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92.168.10.203\Owncloud\epenaq\files\EPQ 130521\Documentos\EPQ\ERU\MPPULTIMO\VIGENTES\Estrategicos\Direccion estrat\Otros\"/>
    </mc:Choice>
  </mc:AlternateContent>
  <bookViews>
    <workbookView xWindow="0" yWindow="0" windowWidth="19200" windowHeight="705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final'!$A$6:$BS$157</definedName>
  </definedNames>
  <calcPr calcId="162913"/>
  <pivotCaches>
    <pivotCache cacheId="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0" i="1" l="1"/>
  <c r="L70" i="1" s="1"/>
  <c r="W70" i="1"/>
  <c r="T70" i="1"/>
  <c r="N70" i="1"/>
  <c r="O70" i="1" s="1"/>
  <c r="AA70" i="1" l="1"/>
  <c r="Q70" i="1"/>
  <c r="P70" i="1"/>
  <c r="AE70" i="1" s="1"/>
  <c r="AD70" i="1" s="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42" i="1"/>
  <c r="N142" i="1"/>
  <c r="O142" i="1" s="1"/>
  <c r="P142" i="1" s="1"/>
  <c r="T142" i="1"/>
  <c r="AA142" i="1" s="1"/>
  <c r="W142" i="1"/>
  <c r="T143" i="1"/>
  <c r="AA143" i="1" s="1"/>
  <c r="W143" i="1"/>
  <c r="T144" i="1"/>
  <c r="AA144" i="1" s="1"/>
  <c r="W144" i="1"/>
  <c r="K145" i="1"/>
  <c r="N145" i="1"/>
  <c r="O145" i="1" s="1"/>
  <c r="T145" i="1"/>
  <c r="AA145" i="1" s="1"/>
  <c r="W145" i="1"/>
  <c r="T146" i="1"/>
  <c r="AA146" i="1" s="1"/>
  <c r="W146" i="1"/>
  <c r="T147" i="1"/>
  <c r="AA147" i="1" s="1"/>
  <c r="AC147" i="1" s="1"/>
  <c r="W147" i="1"/>
  <c r="K148" i="1"/>
  <c r="N148" i="1"/>
  <c r="O148" i="1" s="1"/>
  <c r="P148" i="1" s="1"/>
  <c r="T148" i="1"/>
  <c r="AA148" i="1" s="1"/>
  <c r="W148" i="1"/>
  <c r="T149" i="1"/>
  <c r="AA149" i="1" s="1"/>
  <c r="W149" i="1"/>
  <c r="T150" i="1"/>
  <c r="AA150" i="1" s="1"/>
  <c r="W150" i="1"/>
  <c r="K151" i="1"/>
  <c r="L151" i="1" s="1"/>
  <c r="N151" i="1"/>
  <c r="O151" i="1" s="1"/>
  <c r="T151" i="1"/>
  <c r="AE151" i="1" s="1"/>
  <c r="AD151" i="1" s="1"/>
  <c r="W151" i="1"/>
  <c r="T152" i="1"/>
  <c r="AA152" i="1" s="1"/>
  <c r="W152" i="1"/>
  <c r="T153" i="1"/>
  <c r="AA153" i="1" s="1"/>
  <c r="W153" i="1"/>
  <c r="K154" i="1"/>
  <c r="N154" i="1"/>
  <c r="O154" i="1" s="1"/>
  <c r="P154" i="1" s="1"/>
  <c r="T154" i="1"/>
  <c r="AA154" i="1" s="1"/>
  <c r="W154" i="1"/>
  <c r="T155" i="1"/>
  <c r="AA155" i="1" s="1"/>
  <c r="W155" i="1"/>
  <c r="T156" i="1"/>
  <c r="AA156" i="1" s="1"/>
  <c r="W156" i="1"/>
  <c r="W103" i="1"/>
  <c r="T103" i="1"/>
  <c r="N103" i="1"/>
  <c r="O103" i="1" s="1"/>
  <c r="P103" i="1" s="1"/>
  <c r="K103" i="1"/>
  <c r="AE152" i="1" l="1"/>
  <c r="AD152" i="1" s="1"/>
  <c r="AA151" i="1"/>
  <c r="AC151" i="1" s="1"/>
  <c r="AE147" i="1"/>
  <c r="AD147" i="1" s="1"/>
  <c r="AE145" i="1"/>
  <c r="AD145" i="1" s="1"/>
  <c r="AB147" i="1"/>
  <c r="AE146" i="1"/>
  <c r="AD146" i="1" s="1"/>
  <c r="AC70" i="1"/>
  <c r="AB70" i="1"/>
  <c r="AF70" i="1" s="1"/>
  <c r="AC152" i="1"/>
  <c r="AB152" i="1"/>
  <c r="AC145" i="1"/>
  <c r="AB145" i="1"/>
  <c r="AC146" i="1"/>
  <c r="AB146" i="1"/>
  <c r="AC153" i="1"/>
  <c r="AB153" i="1"/>
  <c r="AZ84" i="18"/>
  <c r="AP104" i="18"/>
  <c r="AP24" i="18"/>
  <c r="AF44" i="18"/>
  <c r="V64" i="18"/>
  <c r="L84" i="18"/>
  <c r="AZ64" i="18"/>
  <c r="AP84" i="18"/>
  <c r="AF104" i="18"/>
  <c r="AF24" i="18"/>
  <c r="V44" i="18"/>
  <c r="L64" i="18"/>
  <c r="AZ44" i="18"/>
  <c r="AP64" i="18"/>
  <c r="AF84" i="18"/>
  <c r="V104" i="18"/>
  <c r="V24" i="18"/>
  <c r="L44" i="18"/>
  <c r="AZ104" i="18"/>
  <c r="AZ24" i="18"/>
  <c r="AP44" i="18"/>
  <c r="AF64" i="18"/>
  <c r="V84" i="18"/>
  <c r="L104" i="18"/>
  <c r="L24" i="18"/>
  <c r="BD44" i="18"/>
  <c r="AT64" i="18"/>
  <c r="AJ84" i="18"/>
  <c r="Z104" i="18"/>
  <c r="Z24" i="18"/>
  <c r="P44" i="18"/>
  <c r="BD104" i="18"/>
  <c r="BD24" i="18"/>
  <c r="AT44" i="18"/>
  <c r="AJ64" i="18"/>
  <c r="Z84" i="18"/>
  <c r="P104" i="18"/>
  <c r="P24" i="18"/>
  <c r="BD84" i="18"/>
  <c r="AT104" i="18"/>
  <c r="AT24" i="18"/>
  <c r="AJ44" i="18"/>
  <c r="Z64" i="18"/>
  <c r="P84" i="18"/>
  <c r="BD64" i="18"/>
  <c r="AT84" i="18"/>
  <c r="AJ104" i="18"/>
  <c r="AJ24" i="18"/>
  <c r="Z44" i="18"/>
  <c r="P64" i="18"/>
  <c r="L142" i="1"/>
  <c r="AX104" i="18"/>
  <c r="AX24" i="18"/>
  <c r="AN44" i="18"/>
  <c r="AD64" i="18"/>
  <c r="T84" i="18"/>
  <c r="J104" i="18"/>
  <c r="J24" i="18"/>
  <c r="AX84" i="18"/>
  <c r="AN104" i="18"/>
  <c r="AN24" i="18"/>
  <c r="AD44" i="18"/>
  <c r="T64" i="18"/>
  <c r="J84" i="18"/>
  <c r="AX64" i="18"/>
  <c r="AN84" i="18"/>
  <c r="AD104" i="18"/>
  <c r="AD24" i="18"/>
  <c r="T44" i="18"/>
  <c r="J64" i="18"/>
  <c r="AX44" i="18"/>
  <c r="AN64" i="18"/>
  <c r="AD84" i="18"/>
  <c r="T104" i="18"/>
  <c r="T24" i="18"/>
  <c r="J44" i="18"/>
  <c r="AE153" i="1"/>
  <c r="AD153" i="1" s="1"/>
  <c r="L148" i="1"/>
  <c r="BB64" i="18"/>
  <c r="AR84" i="18"/>
  <c r="AH104" i="18"/>
  <c r="AH24" i="18"/>
  <c r="X44" i="18"/>
  <c r="N64" i="18"/>
  <c r="BB44" i="18"/>
  <c r="AR64" i="18"/>
  <c r="AH84" i="18"/>
  <c r="X104" i="18"/>
  <c r="X24" i="18"/>
  <c r="N44" i="18"/>
  <c r="BB104" i="18"/>
  <c r="BB24" i="18"/>
  <c r="AR44" i="18"/>
  <c r="AH64" i="18"/>
  <c r="X84" i="18"/>
  <c r="N104" i="18"/>
  <c r="N24" i="18"/>
  <c r="BB84" i="18"/>
  <c r="AR104" i="18"/>
  <c r="AR24" i="18"/>
  <c r="AH44" i="18"/>
  <c r="X64" i="18"/>
  <c r="N84" i="18"/>
  <c r="L154" i="1"/>
  <c r="BF104" i="18"/>
  <c r="BF24" i="18"/>
  <c r="AV44" i="18"/>
  <c r="AL64" i="18"/>
  <c r="AB84" i="18"/>
  <c r="R104" i="18"/>
  <c r="R24" i="18"/>
  <c r="BF84" i="18"/>
  <c r="AV104" i="18"/>
  <c r="AV24" i="18"/>
  <c r="AL44" i="18"/>
  <c r="AB64" i="18"/>
  <c r="R84" i="18"/>
  <c r="BF64" i="18"/>
  <c r="AV84" i="18"/>
  <c r="AL104" i="18"/>
  <c r="AL24" i="18"/>
  <c r="AB44" i="18"/>
  <c r="R64" i="18"/>
  <c r="BF44" i="18"/>
  <c r="AV64" i="18"/>
  <c r="AL84" i="18"/>
  <c r="AB104" i="18"/>
  <c r="AB24" i="18"/>
  <c r="R44" i="18"/>
  <c r="L145" i="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55" i="1"/>
  <c r="AC155" i="1"/>
  <c r="P145" i="1"/>
  <c r="Q145" i="1"/>
  <c r="AB144" i="1"/>
  <c r="AC144" i="1"/>
  <c r="AB142" i="1"/>
  <c r="AC142" i="1"/>
  <c r="Q151" i="1"/>
  <c r="P151" i="1"/>
  <c r="AB150" i="1"/>
  <c r="AC150" i="1"/>
  <c r="AB148" i="1"/>
  <c r="AC148" i="1"/>
  <c r="AB156" i="1"/>
  <c r="AC156" i="1"/>
  <c r="AB154" i="1"/>
  <c r="AC154" i="1"/>
  <c r="AB143" i="1"/>
  <c r="AC143" i="1"/>
  <c r="AB149" i="1"/>
  <c r="AC149" i="1"/>
  <c r="Q154" i="1"/>
  <c r="Q148" i="1"/>
  <c r="Q142" i="1"/>
  <c r="AE156" i="1"/>
  <c r="AD156" i="1" s="1"/>
  <c r="AE155" i="1"/>
  <c r="AD155" i="1" s="1"/>
  <c r="AE154" i="1"/>
  <c r="AD154" i="1" s="1"/>
  <c r="AE150" i="1"/>
  <c r="AD150" i="1" s="1"/>
  <c r="AE149" i="1"/>
  <c r="AD149" i="1" s="1"/>
  <c r="AE148" i="1"/>
  <c r="AD148" i="1" s="1"/>
  <c r="AE144" i="1"/>
  <c r="AD144" i="1" s="1"/>
  <c r="AE143" i="1"/>
  <c r="AD143" i="1" s="1"/>
  <c r="AE142" i="1"/>
  <c r="AD142" i="1" s="1"/>
  <c r="Q103" i="1"/>
  <c r="AE103" i="1"/>
  <c r="AD103" i="1" s="1"/>
  <c r="L103" i="1"/>
  <c r="AA103" i="1" s="1"/>
  <c r="X52" i="19" l="1"/>
  <c r="R52" i="19"/>
  <c r="O52" i="19"/>
  <c r="AB151" i="1"/>
  <c r="S254" i="19" s="1"/>
  <c r="R102" i="19"/>
  <c r="U52" i="19"/>
  <c r="AF147" i="1"/>
  <c r="O152" i="19"/>
  <c r="L202" i="19"/>
  <c r="L252" i="19"/>
  <c r="L102" i="19"/>
  <c r="X102" i="19"/>
  <c r="O252" i="19"/>
  <c r="L52" i="19"/>
  <c r="L152" i="19"/>
  <c r="O102" i="19"/>
  <c r="X152" i="19"/>
  <c r="O202" i="19"/>
  <c r="R252" i="19"/>
  <c r="R152" i="19"/>
  <c r="U252" i="19"/>
  <c r="U102" i="19"/>
  <c r="X202" i="19"/>
  <c r="R202" i="19"/>
  <c r="X252" i="19"/>
  <c r="U152" i="19"/>
  <c r="U202" i="19"/>
  <c r="V154" i="19"/>
  <c r="P254" i="19"/>
  <c r="P54" i="19"/>
  <c r="J104" i="19"/>
  <c r="J204" i="19"/>
  <c r="M204" i="19"/>
  <c r="AF153"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5" i="1"/>
  <c r="V252" i="19"/>
  <c r="V52" i="19"/>
  <c r="V202" i="19"/>
  <c r="S252" i="19"/>
  <c r="V152" i="19"/>
  <c r="S202" i="19"/>
  <c r="V102" i="19"/>
  <c r="S102" i="19"/>
  <c r="P152" i="19"/>
  <c r="M202" i="19"/>
  <c r="S52" i="19"/>
  <c r="P102" i="19"/>
  <c r="M152" i="19"/>
  <c r="S152" i="19"/>
  <c r="P202" i="19"/>
  <c r="M252" i="19"/>
  <c r="J202" i="19"/>
  <c r="M52" i="19"/>
  <c r="J252" i="19"/>
  <c r="P252" i="19"/>
  <c r="M102" i="19"/>
  <c r="J102" i="19"/>
  <c r="J52" i="19"/>
  <c r="P52" i="19"/>
  <c r="J152" i="19"/>
  <c r="AF149"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43"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6"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6"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52"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V201" i="19"/>
  <c r="S251" i="19"/>
  <c r="V151" i="19"/>
  <c r="S201" i="19"/>
  <c r="V101" i="19"/>
  <c r="V251" i="19"/>
  <c r="V51" i="19"/>
  <c r="S51" i="19"/>
  <c r="P101" i="19"/>
  <c r="M151" i="19"/>
  <c r="P251" i="19"/>
  <c r="P51" i="19"/>
  <c r="M101" i="19"/>
  <c r="M51" i="19"/>
  <c r="J251" i="19"/>
  <c r="S151" i="19"/>
  <c r="P201" i="19"/>
  <c r="M251" i="19"/>
  <c r="J101" i="19"/>
  <c r="J151" i="19"/>
  <c r="S101" i="19"/>
  <c r="M201" i="19"/>
  <c r="J201" i="19"/>
  <c r="J51" i="19"/>
  <c r="P151" i="19"/>
  <c r="AF150" i="1"/>
  <c r="AF142" i="1"/>
  <c r="AF154" i="1"/>
  <c r="AF148" i="1"/>
  <c r="AF144" i="1"/>
  <c r="AF155" i="1"/>
  <c r="AB103" i="1"/>
  <c r="AF103" i="1" s="1"/>
  <c r="AC103" i="1"/>
  <c r="J54" i="19" l="1"/>
  <c r="V204" i="19"/>
  <c r="M154" i="19"/>
  <c r="P104" i="19"/>
  <c r="J254" i="19"/>
  <c r="M254" i="19"/>
  <c r="V54" i="19"/>
  <c r="M54" i="19"/>
  <c r="P204" i="19"/>
  <c r="V254" i="19"/>
  <c r="P154" i="19"/>
  <c r="S154" i="19"/>
  <c r="V104" i="19"/>
  <c r="AF151"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AD101" i="1" l="1"/>
  <c r="W101" i="1"/>
  <c r="T101" i="1"/>
  <c r="F221" i="13" l="1"/>
  <c r="F220" i="13"/>
  <c r="F219" i="13"/>
  <c r="F218" i="13"/>
  <c r="F217" i="13"/>
  <c r="F216" i="13"/>
  <c r="F215" i="13"/>
  <c r="F214" i="13"/>
  <c r="F213" i="13"/>
  <c r="F212" i="13"/>
  <c r="F211" i="13"/>
  <c r="F210" i="13"/>
  <c r="W85" i="1" l="1"/>
  <c r="T85" i="1"/>
  <c r="K85" i="1"/>
  <c r="L85" i="1" l="1"/>
  <c r="AA85" i="1" s="1"/>
  <c r="AB85" i="1" l="1"/>
  <c r="AC85" i="1"/>
  <c r="T33" i="1" l="1"/>
  <c r="T21" i="1" l="1"/>
  <c r="AE21" i="1" s="1"/>
  <c r="AD21" i="1" s="1"/>
  <c r="T20" i="1"/>
  <c r="AE20" i="1" s="1"/>
  <c r="AD20" i="1" s="1"/>
  <c r="T18" i="1"/>
  <c r="AE18" i="1" s="1"/>
  <c r="AD18" i="1" s="1"/>
  <c r="T17" i="1"/>
  <c r="AE17" i="1" s="1"/>
  <c r="AD17" i="1" s="1"/>
  <c r="W139" i="1"/>
  <c r="T139" i="1"/>
  <c r="K139" i="1"/>
  <c r="W138" i="1"/>
  <c r="T138" i="1"/>
  <c r="AD138" i="1" s="1"/>
  <c r="W137" i="1"/>
  <c r="T137" i="1"/>
  <c r="AD137" i="1" s="1"/>
  <c r="W136" i="1"/>
  <c r="T136" i="1"/>
  <c r="K136" i="1"/>
  <c r="W135" i="1"/>
  <c r="T135" i="1"/>
  <c r="AD135" i="1" s="1"/>
  <c r="W134" i="1"/>
  <c r="T134" i="1"/>
  <c r="AD134" i="1" s="1"/>
  <c r="W133" i="1"/>
  <c r="T133" i="1"/>
  <c r="K133" i="1"/>
  <c r="T132" i="1"/>
  <c r="AE132" i="1" s="1"/>
  <c r="AD132" i="1" s="1"/>
  <c r="T131" i="1"/>
  <c r="AE131" i="1" s="1"/>
  <c r="AD131" i="1" s="1"/>
  <c r="W130" i="1"/>
  <c r="T130" i="1"/>
  <c r="K130" i="1"/>
  <c r="L139" i="1" l="1"/>
  <c r="AA139" i="1" s="1"/>
  <c r="L136" i="1"/>
  <c r="AA136" i="1" s="1"/>
  <c r="AA137" i="1" s="1"/>
  <c r="AA138" i="1" s="1"/>
  <c r="L133" i="1"/>
  <c r="AA133" i="1" s="1"/>
  <c r="AA134" i="1" s="1"/>
  <c r="AA135" i="1" s="1"/>
  <c r="L130" i="1"/>
  <c r="AA130" i="1" s="1"/>
  <c r="AA131" i="1" s="1"/>
  <c r="AA132" i="1" s="1"/>
  <c r="T126" i="1"/>
  <c r="W125" i="1"/>
  <c r="T125" i="1"/>
  <c r="W124" i="1"/>
  <c r="T124" i="1"/>
  <c r="K124" i="1"/>
  <c r="W123" i="1"/>
  <c r="T123" i="1"/>
  <c r="W122" i="1"/>
  <c r="T122" i="1"/>
  <c r="W121" i="1"/>
  <c r="T121" i="1"/>
  <c r="K121" i="1"/>
  <c r="T120" i="1"/>
  <c r="W119" i="1"/>
  <c r="T119" i="1"/>
  <c r="W118" i="1"/>
  <c r="T118" i="1"/>
  <c r="K118" i="1"/>
  <c r="T117" i="1"/>
  <c r="W116" i="1"/>
  <c r="T116" i="1"/>
  <c r="W115" i="1"/>
  <c r="T115" i="1"/>
  <c r="K115" i="1"/>
  <c r="T114" i="1"/>
  <c r="W113" i="1"/>
  <c r="T113" i="1"/>
  <c r="W112" i="1"/>
  <c r="T112" i="1"/>
  <c r="K112" i="1"/>
  <c r="K127" i="1"/>
  <c r="K109" i="1"/>
  <c r="K106" i="1"/>
  <c r="K100" i="1"/>
  <c r="K97" i="1"/>
  <c r="K94" i="1"/>
  <c r="K91" i="1"/>
  <c r="K88" i="1"/>
  <c r="K82" i="1"/>
  <c r="K79" i="1"/>
  <c r="K76" i="1"/>
  <c r="K73" i="1"/>
  <c r="K67" i="1"/>
  <c r="K64" i="1"/>
  <c r="K61" i="1"/>
  <c r="K58" i="1"/>
  <c r="K55" i="1"/>
  <c r="K52" i="1"/>
  <c r="K49" i="1"/>
  <c r="K46" i="1"/>
  <c r="K43" i="1"/>
  <c r="K40" i="1"/>
  <c r="K37" i="1"/>
  <c r="K34" i="1"/>
  <c r="K31" i="1"/>
  <c r="K28" i="1"/>
  <c r="K25" i="1"/>
  <c r="K22" i="1"/>
  <c r="K19" i="1"/>
  <c r="K16" i="1"/>
  <c r="K13" i="1"/>
  <c r="K10" i="1"/>
  <c r="T129" i="1"/>
  <c r="AE129" i="1" s="1"/>
  <c r="AD129" i="1" s="1"/>
  <c r="T128" i="1"/>
  <c r="AE128" i="1" s="1"/>
  <c r="AD128" i="1" s="1"/>
  <c r="W127" i="1"/>
  <c r="T127" i="1"/>
  <c r="T111" i="1"/>
  <c r="W110" i="1"/>
  <c r="T110" i="1"/>
  <c r="T108" i="1"/>
  <c r="W107" i="1"/>
  <c r="T107" i="1"/>
  <c r="W106" i="1"/>
  <c r="T106" i="1"/>
  <c r="W100" i="1"/>
  <c r="T100" i="1"/>
  <c r="W98" i="1"/>
  <c r="T98" i="1"/>
  <c r="T96" i="1"/>
  <c r="W95" i="1"/>
  <c r="T95" i="1"/>
  <c r="T93" i="1"/>
  <c r="W94" i="1"/>
  <c r="T94" i="1"/>
  <c r="W92" i="1"/>
  <c r="T92" i="1"/>
  <c r="AA92" i="1" s="1"/>
  <c r="T90" i="1"/>
  <c r="T89" i="1"/>
  <c r="W84" i="1"/>
  <c r="T84" i="1"/>
  <c r="W83" i="1"/>
  <c r="T83" i="1"/>
  <c r="W81" i="1"/>
  <c r="T81" i="1"/>
  <c r="AD81" i="1" s="1"/>
  <c r="W80" i="1"/>
  <c r="T80" i="1"/>
  <c r="T78" i="1"/>
  <c r="W76" i="1"/>
  <c r="T76" i="1"/>
  <c r="T77" i="1"/>
  <c r="W75" i="1"/>
  <c r="T75" i="1"/>
  <c r="AD75" i="1" s="1"/>
  <c r="W74" i="1"/>
  <c r="T74" i="1"/>
  <c r="W73" i="1"/>
  <c r="T73" i="1"/>
  <c r="T66" i="1"/>
  <c r="T63" i="1"/>
  <c r="AE63" i="1" s="1"/>
  <c r="AD63" i="1" s="1"/>
  <c r="T62" i="1"/>
  <c r="T60" i="1"/>
  <c r="AE60" i="1" s="1"/>
  <c r="AD60" i="1" s="1"/>
  <c r="T59" i="1"/>
  <c r="T57" i="1"/>
  <c r="AE57" i="1" s="1"/>
  <c r="AD57" i="1" s="1"/>
  <c r="W56" i="1"/>
  <c r="T56" i="1"/>
  <c r="T54" i="1"/>
  <c r="T53" i="1"/>
  <c r="T51" i="1"/>
  <c r="AE51" i="1" s="1"/>
  <c r="AD51" i="1" s="1"/>
  <c r="W52" i="1"/>
  <c r="T52" i="1"/>
  <c r="T50" i="1"/>
  <c r="T48" i="1"/>
  <c r="AE48" i="1" s="1"/>
  <c r="AD48" i="1" s="1"/>
  <c r="T47" i="1"/>
  <c r="T45" i="1"/>
  <c r="AE45" i="1" s="1"/>
  <c r="AD45" i="1" s="1"/>
  <c r="W44" i="1"/>
  <c r="T44" i="1"/>
  <c r="W46" i="1"/>
  <c r="T46" i="1"/>
  <c r="W43" i="1"/>
  <c r="T43" i="1"/>
  <c r="T42" i="1"/>
  <c r="T41" i="1"/>
  <c r="W40" i="1"/>
  <c r="T40" i="1"/>
  <c r="T39" i="1"/>
  <c r="AE39" i="1" s="1"/>
  <c r="AD39" i="1" s="1"/>
  <c r="T38" i="1"/>
  <c r="W37" i="1"/>
  <c r="T37" i="1"/>
  <c r="T36" i="1"/>
  <c r="AE36" i="1" s="1"/>
  <c r="AD36" i="1" s="1"/>
  <c r="T35" i="1"/>
  <c r="W34" i="1"/>
  <c r="T34" i="1"/>
  <c r="W33" i="1"/>
  <c r="AD33" i="1"/>
  <c r="W32" i="1"/>
  <c r="T32" i="1"/>
  <c r="W31" i="1"/>
  <c r="T31" i="1"/>
  <c r="T30" i="1"/>
  <c r="AE30" i="1" s="1"/>
  <c r="AD30" i="1" s="1"/>
  <c r="W29" i="1"/>
  <c r="T29" i="1"/>
  <c r="W28" i="1"/>
  <c r="T28" i="1"/>
  <c r="T27" i="1"/>
  <c r="AE27" i="1" s="1"/>
  <c r="AD27" i="1" s="1"/>
  <c r="T26" i="1"/>
  <c r="W25" i="1"/>
  <c r="T25" i="1"/>
  <c r="W24" i="1"/>
  <c r="T24" i="1"/>
  <c r="AE24" i="1" s="1"/>
  <c r="AD24" i="1" s="1"/>
  <c r="W23" i="1"/>
  <c r="T23" i="1"/>
  <c r="AE26" i="1" l="1"/>
  <c r="AD26" i="1" s="1"/>
  <c r="AD32" i="1"/>
  <c r="AE38" i="1"/>
  <c r="AD38" i="1" s="1"/>
  <c r="AD56" i="1"/>
  <c r="AE62" i="1"/>
  <c r="AD62" i="1" s="1"/>
  <c r="AD80" i="1"/>
  <c r="AE89" i="1"/>
  <c r="AD89" i="1" s="1"/>
  <c r="AE93" i="1"/>
  <c r="AD93" i="1" s="1"/>
  <c r="AA93" i="1"/>
  <c r="AE117" i="1"/>
  <c r="AD117" i="1" s="1"/>
  <c r="AD122" i="1"/>
  <c r="AE23" i="1"/>
  <c r="AD23" i="1" s="1"/>
  <c r="AD29" i="1"/>
  <c r="AE35" i="1"/>
  <c r="AD35" i="1" s="1"/>
  <c r="AE47" i="1"/>
  <c r="AD47" i="1" s="1"/>
  <c r="AE50" i="1"/>
  <c r="AD50" i="1" s="1"/>
  <c r="AE54" i="1"/>
  <c r="AD54" i="1" s="1"/>
  <c r="AD74" i="1"/>
  <c r="AE77" i="1"/>
  <c r="AD77" i="1" s="1"/>
  <c r="AE78" i="1"/>
  <c r="AD78" i="1" s="1"/>
  <c r="AE90" i="1"/>
  <c r="AD90" i="1" s="1"/>
  <c r="AD95" i="1"/>
  <c r="AD98" i="1"/>
  <c r="AD107" i="1"/>
  <c r="AD110" i="1"/>
  <c r="AE114" i="1"/>
  <c r="AD114" i="1" s="1"/>
  <c r="AD119" i="1"/>
  <c r="AE53" i="1"/>
  <c r="AD53" i="1" s="1"/>
  <c r="AE59" i="1"/>
  <c r="AD59" i="1" s="1"/>
  <c r="AE96" i="1"/>
  <c r="AD96" i="1" s="1"/>
  <c r="AE108" i="1"/>
  <c r="AD108" i="1" s="1"/>
  <c r="AE111" i="1"/>
  <c r="AD111" i="1" s="1"/>
  <c r="AD113" i="1"/>
  <c r="AE120" i="1"/>
  <c r="AD120" i="1" s="1"/>
  <c r="AE125" i="1"/>
  <c r="AD125" i="1" s="1"/>
  <c r="AD116" i="1"/>
  <c r="AD123" i="1"/>
  <c r="AE92" i="1"/>
  <c r="AD92" i="1" s="1"/>
  <c r="AD44" i="1"/>
  <c r="AB139" i="1"/>
  <c r="AC139" i="1"/>
  <c r="AB136" i="1"/>
  <c r="AC136" i="1"/>
  <c r="AB138" i="1"/>
  <c r="AC138" i="1"/>
  <c r="AB137" i="1"/>
  <c r="AC137" i="1"/>
  <c r="AB133" i="1"/>
  <c r="AC133" i="1"/>
  <c r="AB135" i="1"/>
  <c r="AC135" i="1"/>
  <c r="AB134" i="1"/>
  <c r="AC134" i="1"/>
  <c r="AB130" i="1"/>
  <c r="AC130" i="1"/>
  <c r="AB132" i="1"/>
  <c r="AC132" i="1"/>
  <c r="AB131" i="1"/>
  <c r="AC131" i="1"/>
  <c r="L124" i="1"/>
  <c r="AA124" i="1" s="1"/>
  <c r="AA125" i="1" s="1"/>
  <c r="L121" i="1"/>
  <c r="AA121" i="1" s="1"/>
  <c r="AA122" i="1" s="1"/>
  <c r="AA123" i="1" s="1"/>
  <c r="L118" i="1"/>
  <c r="AA118" i="1" s="1"/>
  <c r="AA119" i="1" s="1"/>
  <c r="AA120" i="1" s="1"/>
  <c r="L115" i="1"/>
  <c r="AA115" i="1" s="1"/>
  <c r="AA116" i="1" s="1"/>
  <c r="AA117" i="1" s="1"/>
  <c r="L112" i="1"/>
  <c r="AA112" i="1" s="1"/>
  <c r="AA113" i="1" s="1"/>
  <c r="AA114" i="1" s="1"/>
  <c r="L127" i="1"/>
  <c r="AA127" i="1" s="1"/>
  <c r="AA128" i="1" s="1"/>
  <c r="AA129" i="1" s="1"/>
  <c r="L109" i="1"/>
  <c r="L106" i="1"/>
  <c r="AA106" i="1" s="1"/>
  <c r="AA107" i="1" s="1"/>
  <c r="AA108" i="1" s="1"/>
  <c r="L100" i="1"/>
  <c r="AA100" i="1" s="1"/>
  <c r="L97" i="1"/>
  <c r="L94" i="1"/>
  <c r="AA94" i="1" s="1"/>
  <c r="AA95" i="1" s="1"/>
  <c r="AA96" i="1" s="1"/>
  <c r="L91" i="1"/>
  <c r="L88" i="1"/>
  <c r="L82" i="1"/>
  <c r="L79" i="1"/>
  <c r="L76" i="1"/>
  <c r="AA76" i="1" s="1"/>
  <c r="AA77" i="1" s="1"/>
  <c r="AA78" i="1" s="1"/>
  <c r="L73" i="1"/>
  <c r="AA73" i="1" s="1"/>
  <c r="AA74" i="1" s="1"/>
  <c r="AA75" i="1" s="1"/>
  <c r="L67" i="1"/>
  <c r="L64" i="1"/>
  <c r="L61" i="1"/>
  <c r="L58" i="1"/>
  <c r="L55" i="1"/>
  <c r="L52" i="1"/>
  <c r="AA52" i="1" s="1"/>
  <c r="AA53" i="1" s="1"/>
  <c r="AA54" i="1" s="1"/>
  <c r="L49" i="1"/>
  <c r="L46" i="1"/>
  <c r="AA46" i="1" s="1"/>
  <c r="AA47" i="1" s="1"/>
  <c r="AA48" i="1" s="1"/>
  <c r="L43" i="1"/>
  <c r="AA43" i="1" s="1"/>
  <c r="AA44" i="1" s="1"/>
  <c r="AA45" i="1" s="1"/>
  <c r="L40" i="1"/>
  <c r="AA40" i="1" s="1"/>
  <c r="L37" i="1"/>
  <c r="AA37" i="1" s="1"/>
  <c r="AA38" i="1" s="1"/>
  <c r="AA39" i="1" s="1"/>
  <c r="L34" i="1"/>
  <c r="AA34" i="1" s="1"/>
  <c r="AA35" i="1" s="1"/>
  <c r="AA36" i="1" s="1"/>
  <c r="L31" i="1"/>
  <c r="AA31" i="1" s="1"/>
  <c r="AA32" i="1" s="1"/>
  <c r="AA33" i="1" s="1"/>
  <c r="L28" i="1"/>
  <c r="AA28" i="1" s="1"/>
  <c r="AA29" i="1" s="1"/>
  <c r="AA30" i="1" s="1"/>
  <c r="L25" i="1"/>
  <c r="AA25" i="1" s="1"/>
  <c r="AA26" i="1" s="1"/>
  <c r="AA27" i="1" s="1"/>
  <c r="L22" i="1"/>
  <c r="L19" i="1"/>
  <c r="L16" i="1"/>
  <c r="L13" i="1"/>
  <c r="L10" i="1"/>
  <c r="T16" i="1"/>
  <c r="W16" i="1"/>
  <c r="T19" i="1"/>
  <c r="W19" i="1"/>
  <c r="T22" i="1"/>
  <c r="W22" i="1"/>
  <c r="T49" i="1"/>
  <c r="W49" i="1"/>
  <c r="T55" i="1"/>
  <c r="W55" i="1"/>
  <c r="T58" i="1"/>
  <c r="W58" i="1"/>
  <c r="T61" i="1"/>
  <c r="W61" i="1"/>
  <c r="T64" i="1"/>
  <c r="W64" i="1"/>
  <c r="T67" i="1"/>
  <c r="W67" i="1"/>
  <c r="T79" i="1"/>
  <c r="W79" i="1"/>
  <c r="T82" i="1"/>
  <c r="W82" i="1"/>
  <c r="T88" i="1"/>
  <c r="W88" i="1"/>
  <c r="T91" i="1"/>
  <c r="W91" i="1"/>
  <c r="T97" i="1"/>
  <c r="W97" i="1"/>
  <c r="T109" i="1"/>
  <c r="W109"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82" i="1"/>
  <c r="AA83" i="1" s="1"/>
  <c r="AA84" i="1" s="1"/>
  <c r="AB84" i="1" s="1"/>
  <c r="AA91" i="1"/>
  <c r="AF137" i="1"/>
  <c r="AF135" i="1"/>
  <c r="AF134" i="1"/>
  <c r="AF131" i="1"/>
  <c r="AF132" i="1"/>
  <c r="AF138" i="1"/>
  <c r="AB124" i="1"/>
  <c r="AC124" i="1"/>
  <c r="AB125" i="1"/>
  <c r="AC125" i="1"/>
  <c r="AB122" i="1"/>
  <c r="AC122" i="1"/>
  <c r="AB121" i="1"/>
  <c r="AC121" i="1"/>
  <c r="AB123" i="1"/>
  <c r="AC123" i="1"/>
  <c r="AB118" i="1"/>
  <c r="AC118" i="1"/>
  <c r="AB119" i="1"/>
  <c r="AC119" i="1"/>
  <c r="AB120" i="1"/>
  <c r="AC120" i="1"/>
  <c r="AB115" i="1"/>
  <c r="AC115" i="1"/>
  <c r="AB116" i="1"/>
  <c r="AC116" i="1"/>
  <c r="AB117" i="1"/>
  <c r="AC117" i="1"/>
  <c r="AB112" i="1"/>
  <c r="AC112" i="1"/>
  <c r="AB113" i="1"/>
  <c r="AC113" i="1"/>
  <c r="AB114" i="1"/>
  <c r="AC114" i="1"/>
  <c r="AB129" i="1"/>
  <c r="AC129" i="1"/>
  <c r="AB128" i="1"/>
  <c r="AC128" i="1"/>
  <c r="AB127" i="1"/>
  <c r="AC127" i="1"/>
  <c r="AB108" i="1"/>
  <c r="AC108" i="1"/>
  <c r="AB107" i="1"/>
  <c r="AC107" i="1"/>
  <c r="AB106" i="1"/>
  <c r="AC106" i="1"/>
  <c r="AB100" i="1"/>
  <c r="AC100" i="1"/>
  <c r="AB96" i="1"/>
  <c r="AC96" i="1"/>
  <c r="AB95" i="1"/>
  <c r="AC95" i="1"/>
  <c r="AB93" i="1"/>
  <c r="AC93" i="1"/>
  <c r="AB94" i="1"/>
  <c r="AC94" i="1"/>
  <c r="AB92" i="1"/>
  <c r="AC92" i="1"/>
  <c r="AB78" i="1"/>
  <c r="AC78" i="1"/>
  <c r="AB76" i="1"/>
  <c r="AC76" i="1"/>
  <c r="AB77" i="1"/>
  <c r="AC77" i="1"/>
  <c r="AB75" i="1"/>
  <c r="AC75" i="1"/>
  <c r="AB74" i="1"/>
  <c r="AC74" i="1"/>
  <c r="AB73" i="1"/>
  <c r="AC73" i="1"/>
  <c r="AB54" i="1"/>
  <c r="AC54" i="1"/>
  <c r="AB53" i="1"/>
  <c r="AC53" i="1"/>
  <c r="AB52" i="1"/>
  <c r="AC52" i="1"/>
  <c r="AB48" i="1"/>
  <c r="AC48" i="1"/>
  <c r="AB47" i="1"/>
  <c r="AC47" i="1"/>
  <c r="AB45" i="1"/>
  <c r="AC45" i="1"/>
  <c r="AB44" i="1"/>
  <c r="AC44" i="1"/>
  <c r="AB46" i="1"/>
  <c r="AC46" i="1"/>
  <c r="AB43" i="1"/>
  <c r="AC43"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3" i="1"/>
  <c r="AB83" i="1"/>
  <c r="AC84" i="1"/>
  <c r="AF29" i="1"/>
  <c r="AF93" i="1"/>
  <c r="AF116" i="1"/>
  <c r="AF26" i="1"/>
  <c r="AF38" i="1"/>
  <c r="AF47" i="1"/>
  <c r="AF77" i="1"/>
  <c r="AF95" i="1"/>
  <c r="AF107" i="1"/>
  <c r="AF113" i="1"/>
  <c r="AF123" i="1"/>
  <c r="AF33" i="1"/>
  <c r="AF30" i="1"/>
  <c r="AF92" i="1"/>
  <c r="AF96" i="1"/>
  <c r="AF108" i="1"/>
  <c r="AF120" i="1"/>
  <c r="AF75" i="1"/>
  <c r="AF114" i="1"/>
  <c r="AF35" i="1"/>
  <c r="AF39" i="1"/>
  <c r="AF48" i="1"/>
  <c r="AF53" i="1"/>
  <c r="AF128" i="1"/>
  <c r="AF125" i="1"/>
  <c r="AF27" i="1"/>
  <c r="AF32" i="1"/>
  <c r="AF36" i="1"/>
  <c r="AF44" i="1"/>
  <c r="AF54" i="1"/>
  <c r="AF74" i="1"/>
  <c r="AF78" i="1"/>
  <c r="AF129" i="1"/>
  <c r="AF117" i="1"/>
  <c r="AF119" i="1"/>
  <c r="AF122" i="1"/>
  <c r="AF45" i="1"/>
  <c r="AA49" i="1"/>
  <c r="AA50" i="1" s="1"/>
  <c r="AA58" i="1"/>
  <c r="AA59" i="1" s="1"/>
  <c r="AA61" i="1"/>
  <c r="AA62" i="1" s="1"/>
  <c r="AA64" i="1"/>
  <c r="AA67" i="1"/>
  <c r="AA79" i="1"/>
  <c r="AA80" i="1" s="1"/>
  <c r="AA88" i="1"/>
  <c r="AA89" i="1" s="1"/>
  <c r="AA109" i="1"/>
  <c r="AA110" i="1" s="1"/>
  <c r="AA111" i="1" l="1"/>
  <c r="AC110" i="1"/>
  <c r="AB110" i="1"/>
  <c r="AA63" i="1"/>
  <c r="AB62" i="1"/>
  <c r="AC62" i="1"/>
  <c r="AA51" i="1"/>
  <c r="AC50" i="1"/>
  <c r="AB50" i="1"/>
  <c r="AA90" i="1"/>
  <c r="AB89" i="1"/>
  <c r="AC89" i="1"/>
  <c r="AA81" i="1"/>
  <c r="AB80" i="1"/>
  <c r="AC80" i="1"/>
  <c r="AA60" i="1"/>
  <c r="AB59" i="1"/>
  <c r="AC59" i="1"/>
  <c r="AC88" i="1"/>
  <c r="AB88" i="1"/>
  <c r="AC58" i="1"/>
  <c r="AB58" i="1"/>
  <c r="AC61" i="1"/>
  <c r="AB61" i="1"/>
  <c r="AC82" i="1"/>
  <c r="AB82" i="1"/>
  <c r="AC67" i="1"/>
  <c r="AB67" i="1"/>
  <c r="AC91" i="1"/>
  <c r="AB91" i="1"/>
  <c r="AC49" i="1"/>
  <c r="AB49" i="1"/>
  <c r="AC109" i="1"/>
  <c r="AB109" i="1"/>
  <c r="AC79" i="1"/>
  <c r="AB79" i="1"/>
  <c r="AC64" i="1"/>
  <c r="AB64" i="1"/>
  <c r="AA97" i="1"/>
  <c r="AA98" i="1" s="1"/>
  <c r="AA101" i="1" s="1"/>
  <c r="AA55" i="1"/>
  <c r="AA56" i="1" s="1"/>
  <c r="AA19" i="1"/>
  <c r="AA20"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B101" i="1"/>
  <c r="AC101" i="1"/>
  <c r="AB98" i="1"/>
  <c r="AC98" i="1"/>
  <c r="AF89" i="1"/>
  <c r="AA18" i="1"/>
  <c r="AC17" i="1"/>
  <c r="AB17" i="1"/>
  <c r="AF80" i="1"/>
  <c r="AC90" i="1"/>
  <c r="AB90" i="1"/>
  <c r="AF50" i="1"/>
  <c r="AF62" i="1"/>
  <c r="AB111" i="1"/>
  <c r="AC111" i="1"/>
  <c r="AA21" i="1"/>
  <c r="AB20" i="1"/>
  <c r="AC20" i="1"/>
  <c r="AF59" i="1"/>
  <c r="AB81" i="1"/>
  <c r="AC81" i="1"/>
  <c r="AB63" i="1"/>
  <c r="AC63" i="1"/>
  <c r="AA57" i="1"/>
  <c r="AB56" i="1"/>
  <c r="AC56" i="1"/>
  <c r="AC60" i="1"/>
  <c r="AB60" i="1"/>
  <c r="AB51" i="1"/>
  <c r="AC51" i="1"/>
  <c r="AF110" i="1"/>
  <c r="AC19" i="1"/>
  <c r="AB19" i="1"/>
  <c r="AC55" i="1"/>
  <c r="AB55" i="1"/>
  <c r="AC16" i="1"/>
  <c r="AB16" i="1"/>
  <c r="AC97" i="1"/>
  <c r="AB97" i="1"/>
  <c r="L7" i="1"/>
  <c r="AA8" i="1" s="1"/>
  <c r="AA9" i="1" s="1"/>
  <c r="AA22" i="1"/>
  <c r="AA23"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101" i="1"/>
  <c r="AF60" i="1"/>
  <c r="AB57" i="1"/>
  <c r="AC57" i="1"/>
  <c r="AF81" i="1"/>
  <c r="AF20" i="1"/>
  <c r="AF90" i="1"/>
  <c r="AF17" i="1"/>
  <c r="AF51" i="1"/>
  <c r="AB21" i="1"/>
  <c r="AC21" i="1"/>
  <c r="AA24" i="1"/>
  <c r="AC23" i="1"/>
  <c r="AB23" i="1"/>
  <c r="AF63" i="1"/>
  <c r="AB18" i="1"/>
  <c r="AC18" i="1"/>
  <c r="AF98" i="1"/>
  <c r="AF56" i="1"/>
  <c r="AF111" i="1"/>
  <c r="AC22" i="1"/>
  <c r="AB22" i="1"/>
  <c r="AA7" i="1"/>
  <c r="B221" i="13"/>
  <c r="X173" i="19" l="1"/>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N85" i="1"/>
  <c r="O85" i="1" s="1"/>
  <c r="AF18" i="1"/>
  <c r="AB24" i="1"/>
  <c r="AC24" i="1"/>
  <c r="AF21" i="1"/>
  <c r="AF57" i="1"/>
  <c r="AF23" i="1"/>
  <c r="N136" i="1"/>
  <c r="O136" i="1" s="1"/>
  <c r="N133" i="1"/>
  <c r="O133" i="1" s="1"/>
  <c r="N130" i="1"/>
  <c r="O130" i="1" s="1"/>
  <c r="N139" i="1"/>
  <c r="O139" i="1" s="1"/>
  <c r="N94" i="1"/>
  <c r="O94" i="1" s="1"/>
  <c r="N79" i="1"/>
  <c r="O79" i="1" s="1"/>
  <c r="N64" i="1"/>
  <c r="O64" i="1" s="1"/>
  <c r="N52" i="1"/>
  <c r="O52" i="1" s="1"/>
  <c r="N31" i="1"/>
  <c r="O31" i="1" s="1"/>
  <c r="N19" i="1"/>
  <c r="O19" i="1" s="1"/>
  <c r="N10" i="1"/>
  <c r="O10" i="1" s="1"/>
  <c r="N109" i="1"/>
  <c r="O109" i="1" s="1"/>
  <c r="N16" i="1"/>
  <c r="O16" i="1" s="1"/>
  <c r="N106" i="1"/>
  <c r="O106" i="1" s="1"/>
  <c r="N91" i="1"/>
  <c r="O91" i="1" s="1"/>
  <c r="N76" i="1"/>
  <c r="O76" i="1" s="1"/>
  <c r="N61" i="1"/>
  <c r="O61" i="1" s="1"/>
  <c r="N49" i="1"/>
  <c r="O49" i="1" s="1"/>
  <c r="N40" i="1"/>
  <c r="O40" i="1" s="1"/>
  <c r="N28" i="1"/>
  <c r="O28" i="1" s="1"/>
  <c r="N124" i="1"/>
  <c r="O124" i="1" s="1"/>
  <c r="N121" i="1"/>
  <c r="O121" i="1" s="1"/>
  <c r="N118" i="1"/>
  <c r="O118" i="1" s="1"/>
  <c r="N115" i="1"/>
  <c r="O115" i="1" s="1"/>
  <c r="N112" i="1"/>
  <c r="O112" i="1" s="1"/>
  <c r="N100" i="1"/>
  <c r="O100" i="1" s="1"/>
  <c r="N88" i="1"/>
  <c r="O88" i="1" s="1"/>
  <c r="N73" i="1"/>
  <c r="O73" i="1" s="1"/>
  <c r="N58" i="1"/>
  <c r="O58" i="1" s="1"/>
  <c r="N46" i="1"/>
  <c r="O46" i="1" s="1"/>
  <c r="N37" i="1"/>
  <c r="O37" i="1" s="1"/>
  <c r="N25" i="1"/>
  <c r="O25" i="1" s="1"/>
  <c r="N55" i="1"/>
  <c r="O55" i="1" s="1"/>
  <c r="N97" i="1"/>
  <c r="O97" i="1" s="1"/>
  <c r="N34" i="1"/>
  <c r="O34" i="1" s="1"/>
  <c r="N67" i="1"/>
  <c r="O67" i="1" s="1"/>
  <c r="N127" i="1"/>
  <c r="O127" i="1" s="1"/>
  <c r="N13" i="1"/>
  <c r="O13" i="1" s="1"/>
  <c r="N43" i="1"/>
  <c r="O43" i="1" s="1"/>
  <c r="N82" i="1"/>
  <c r="O82" i="1" s="1"/>
  <c r="N22" i="1"/>
  <c r="O22" i="1" s="1"/>
  <c r="AB9" i="1"/>
  <c r="AC9" i="1"/>
  <c r="AC8" i="1"/>
  <c r="AB8" i="1"/>
  <c r="H210" i="13"/>
  <c r="X212" i="19" l="1"/>
  <c r="X12" i="19"/>
  <c r="U62" i="19"/>
  <c r="X62" i="19"/>
  <c r="U112" i="19"/>
  <c r="R162" i="19"/>
  <c r="X112" i="19"/>
  <c r="U162" i="19"/>
  <c r="X162" i="19"/>
  <c r="U212" i="19"/>
  <c r="R12" i="19"/>
  <c r="R62" i="19"/>
  <c r="R212" i="19"/>
  <c r="R112" i="19"/>
  <c r="O162" i="19"/>
  <c r="U12" i="19"/>
  <c r="O212" i="19"/>
  <c r="O12" i="19"/>
  <c r="L212" i="19"/>
  <c r="O112" i="19"/>
  <c r="L162" i="19"/>
  <c r="O62" i="19"/>
  <c r="L112" i="19"/>
  <c r="L62" i="19"/>
  <c r="AZ28" i="18"/>
  <c r="AF68" i="18"/>
  <c r="AZ68" i="18"/>
  <c r="AP8" i="18"/>
  <c r="AZ8" i="18"/>
  <c r="AF48" i="18"/>
  <c r="AZ88" i="18"/>
  <c r="V28" i="18"/>
  <c r="AP48" i="18"/>
  <c r="V8" i="18"/>
  <c r="AF28" i="18"/>
  <c r="L68" i="18"/>
  <c r="AP28" i="18"/>
  <c r="V88" i="18"/>
  <c r="V68" i="18"/>
  <c r="V48" i="18"/>
  <c r="AZ48" i="18"/>
  <c r="AF88" i="18"/>
  <c r="L88" i="18"/>
  <c r="L48" i="18"/>
  <c r="AF8" i="18"/>
  <c r="AP88" i="18"/>
  <c r="L28" i="18"/>
  <c r="AP68" i="18"/>
  <c r="BD46" i="18"/>
  <c r="AJ86" i="18"/>
  <c r="BD86" i="18"/>
  <c r="AT26" i="18"/>
  <c r="BD26" i="18"/>
  <c r="AJ66" i="18"/>
  <c r="AT86" i="18"/>
  <c r="Z46" i="18"/>
  <c r="AT66" i="18"/>
  <c r="AT6" i="18"/>
  <c r="AJ6" i="18"/>
  <c r="Z26" i="18"/>
  <c r="AT46" i="18"/>
  <c r="AJ26" i="18"/>
  <c r="P26" i="18"/>
  <c r="BD66" i="18"/>
  <c r="P66" i="18"/>
  <c r="Z86" i="18"/>
  <c r="Z66" i="18"/>
  <c r="AJ46" i="18"/>
  <c r="Z6" i="18"/>
  <c r="P86" i="18"/>
  <c r="BD6" i="18"/>
  <c r="P46" i="18"/>
  <c r="AP94" i="18"/>
  <c r="AF34" i="18"/>
  <c r="AZ34" i="18"/>
  <c r="AP74" i="18"/>
  <c r="AF14" i="18"/>
  <c r="AP14" i="18"/>
  <c r="L94" i="18"/>
  <c r="AZ14" i="18"/>
  <c r="AP54" i="18"/>
  <c r="L74" i="18"/>
  <c r="AF74" i="18"/>
  <c r="V94" i="18"/>
  <c r="V54" i="18"/>
  <c r="V34" i="18"/>
  <c r="V14" i="18"/>
  <c r="L34" i="18"/>
  <c r="AP34" i="18"/>
  <c r="AF94" i="18"/>
  <c r="AF54" i="18"/>
  <c r="AZ94" i="18"/>
  <c r="AZ74" i="18"/>
  <c r="L54" i="18"/>
  <c r="AZ54" i="18"/>
  <c r="V74" i="18"/>
  <c r="BF100" i="18"/>
  <c r="AV40" i="18"/>
  <c r="AV80" i="18"/>
  <c r="BF80" i="18"/>
  <c r="AV20" i="18"/>
  <c r="AV60" i="18"/>
  <c r="AL40" i="18"/>
  <c r="AL20" i="18"/>
  <c r="BF60" i="18"/>
  <c r="AV100" i="18"/>
  <c r="AB100" i="18"/>
  <c r="AB80" i="18"/>
  <c r="BF40" i="18"/>
  <c r="BF20" i="18"/>
  <c r="AL80" i="18"/>
  <c r="R20" i="18"/>
  <c r="AB60" i="18"/>
  <c r="AB40" i="18"/>
  <c r="AB20" i="18"/>
  <c r="R100" i="18"/>
  <c r="R60" i="18"/>
  <c r="AL60" i="18"/>
  <c r="R80" i="18"/>
  <c r="AL100" i="18"/>
  <c r="R40" i="18"/>
  <c r="AV86" i="18"/>
  <c r="AL26" i="18"/>
  <c r="BF26" i="18"/>
  <c r="AV66" i="18"/>
  <c r="AL6" i="18"/>
  <c r="AV26" i="18"/>
  <c r="AL86" i="18"/>
  <c r="AL66" i="18"/>
  <c r="AL46" i="18"/>
  <c r="R86" i="18"/>
  <c r="AV6" i="18"/>
  <c r="BF66" i="18"/>
  <c r="AV46" i="18"/>
  <c r="R26" i="18"/>
  <c r="R66" i="18"/>
  <c r="BF86" i="18"/>
  <c r="AB86" i="18"/>
  <c r="AB66" i="18"/>
  <c r="AB46" i="18"/>
  <c r="AB26" i="18"/>
  <c r="AB6" i="18"/>
  <c r="BF46" i="18"/>
  <c r="BF6" i="18"/>
  <c r="R46" i="18"/>
  <c r="AV96" i="18"/>
  <c r="AL36" i="18"/>
  <c r="BF36" i="18"/>
  <c r="AV76" i="18"/>
  <c r="AL16" i="18"/>
  <c r="BF56" i="18"/>
  <c r="R96" i="18"/>
  <c r="BF96" i="18"/>
  <c r="AV16" i="18"/>
  <c r="AB96" i="18"/>
  <c r="R76" i="18"/>
  <c r="AV36" i="18"/>
  <c r="R36" i="18"/>
  <c r="BF76" i="18"/>
  <c r="AL56" i="18"/>
  <c r="AB76" i="18"/>
  <c r="AL96" i="18"/>
  <c r="AB56" i="18"/>
  <c r="AB36" i="18"/>
  <c r="AB16" i="18"/>
  <c r="BF16" i="18"/>
  <c r="AL76" i="18"/>
  <c r="R56" i="18"/>
  <c r="AV56" i="18"/>
  <c r="AZ38" i="18"/>
  <c r="AF78" i="18"/>
  <c r="AZ78" i="18"/>
  <c r="AP18" i="18"/>
  <c r="AZ18" i="18"/>
  <c r="AF58" i="18"/>
  <c r="AP38" i="18"/>
  <c r="V38" i="18"/>
  <c r="AP78" i="18"/>
  <c r="V18" i="18"/>
  <c r="AF98" i="18"/>
  <c r="AF18" i="18"/>
  <c r="V78" i="18"/>
  <c r="V58" i="18"/>
  <c r="AZ98" i="18"/>
  <c r="V98" i="18"/>
  <c r="L98" i="18"/>
  <c r="AZ58" i="18"/>
  <c r="L78" i="18"/>
  <c r="L58" i="18"/>
  <c r="AF38" i="18"/>
  <c r="AP98" i="18"/>
  <c r="AP58" i="18"/>
  <c r="L38" i="18"/>
  <c r="BD90" i="18"/>
  <c r="AT30" i="18"/>
  <c r="AT70" i="18"/>
  <c r="BD70" i="18"/>
  <c r="AT10" i="18"/>
  <c r="Z90" i="18"/>
  <c r="AT90" i="18"/>
  <c r="AJ30" i="18"/>
  <c r="AJ10" i="18"/>
  <c r="Z70" i="18"/>
  <c r="AJ90" i="18"/>
  <c r="AJ50" i="18"/>
  <c r="BD50" i="18"/>
  <c r="BD30" i="18"/>
  <c r="BD10" i="18"/>
  <c r="P70" i="18"/>
  <c r="AJ70" i="18"/>
  <c r="P50" i="18"/>
  <c r="AT50" i="18"/>
  <c r="Z50" i="18"/>
  <c r="Z30" i="18"/>
  <c r="Z10" i="18"/>
  <c r="P90" i="18"/>
  <c r="P30" i="18"/>
  <c r="AT52" i="18"/>
  <c r="AT92" i="18"/>
  <c r="BD92" i="18"/>
  <c r="AT32" i="18"/>
  <c r="BD32" i="18"/>
  <c r="AT12" i="18"/>
  <c r="BD72" i="18"/>
  <c r="BD12" i="18"/>
  <c r="AJ72" i="18"/>
  <c r="Z92" i="18"/>
  <c r="Z72" i="18"/>
  <c r="Z52" i="18"/>
  <c r="Z32" i="18"/>
  <c r="AT72" i="18"/>
  <c r="AJ32" i="18"/>
  <c r="Z12" i="18"/>
  <c r="P92" i="18"/>
  <c r="P32" i="18"/>
  <c r="AJ92" i="18"/>
  <c r="P72" i="18"/>
  <c r="AJ52" i="18"/>
  <c r="AJ12" i="18"/>
  <c r="BD52" i="18"/>
  <c r="P52" i="18"/>
  <c r="BB94" i="18"/>
  <c r="AR34" i="18"/>
  <c r="AR74" i="18"/>
  <c r="BB74" i="18"/>
  <c r="AR14" i="18"/>
  <c r="AR54" i="18"/>
  <c r="AH94" i="18"/>
  <c r="AH74" i="18"/>
  <c r="AH54" i="18"/>
  <c r="X74" i="18"/>
  <c r="AR94" i="18"/>
  <c r="AH34" i="18"/>
  <c r="N94" i="18"/>
  <c r="N74" i="18"/>
  <c r="AH14" i="18"/>
  <c r="N54" i="18"/>
  <c r="BB54" i="18"/>
  <c r="N34" i="18"/>
  <c r="BB34" i="18"/>
  <c r="X34" i="18"/>
  <c r="BB14" i="18"/>
  <c r="X94" i="18"/>
  <c r="X54" i="18"/>
  <c r="X14" i="18"/>
  <c r="BD68" i="18"/>
  <c r="AT8" i="18"/>
  <c r="AT48" i="18"/>
  <c r="BD48" i="18"/>
  <c r="AJ88" i="18"/>
  <c r="AT68" i="18"/>
  <c r="Z68" i="18"/>
  <c r="BD8" i="18"/>
  <c r="Z48" i="18"/>
  <c r="Z88" i="18"/>
  <c r="BD88" i="18"/>
  <c r="Z28" i="18"/>
  <c r="Z8" i="18"/>
  <c r="P88" i="18"/>
  <c r="P48" i="18"/>
  <c r="AJ48" i="18"/>
  <c r="BD28" i="18"/>
  <c r="AT88" i="18"/>
  <c r="AJ8" i="18"/>
  <c r="P28" i="18"/>
  <c r="AJ68" i="18"/>
  <c r="AJ28" i="18"/>
  <c r="P68" i="18"/>
  <c r="AT28" i="18"/>
  <c r="BF78" i="18"/>
  <c r="AV18" i="18"/>
  <c r="AV58" i="18"/>
  <c r="BF58" i="18"/>
  <c r="AL98" i="18"/>
  <c r="BF38" i="18"/>
  <c r="AB98" i="18"/>
  <c r="AB78" i="18"/>
  <c r="BF18" i="18"/>
  <c r="AL78" i="18"/>
  <c r="AL58" i="18"/>
  <c r="AL38" i="18"/>
  <c r="AB58" i="18"/>
  <c r="BF98" i="18"/>
  <c r="R78" i="18"/>
  <c r="R58" i="18"/>
  <c r="AV98" i="18"/>
  <c r="R38" i="18"/>
  <c r="AV78" i="18"/>
  <c r="AV38" i="18"/>
  <c r="AB38" i="18"/>
  <c r="R98" i="18"/>
  <c r="AL18" i="18"/>
  <c r="AB18" i="18"/>
  <c r="R18" i="18"/>
  <c r="AV62" i="18"/>
  <c r="AV102" i="18"/>
  <c r="BF102" i="18"/>
  <c r="AV42" i="18"/>
  <c r="AV82" i="18"/>
  <c r="AV22" i="18"/>
  <c r="AL82" i="18"/>
  <c r="AB22" i="18"/>
  <c r="R102" i="18"/>
  <c r="R82" i="18"/>
  <c r="AL62" i="18"/>
  <c r="AL22" i="18"/>
  <c r="AB102" i="18"/>
  <c r="R42" i="18"/>
  <c r="BF82" i="18"/>
  <c r="AL102" i="18"/>
  <c r="R22" i="18"/>
  <c r="BF62" i="18"/>
  <c r="BF42" i="18"/>
  <c r="AL42" i="18"/>
  <c r="AB82" i="18"/>
  <c r="AB42" i="18"/>
  <c r="R62" i="18"/>
  <c r="BF22" i="18"/>
  <c r="AB62" i="18"/>
  <c r="AR68" i="18"/>
  <c r="BB8" i="18"/>
  <c r="AR48" i="18"/>
  <c r="BB28" i="18"/>
  <c r="AH8" i="18"/>
  <c r="BB68" i="18"/>
  <c r="AR28" i="18"/>
  <c r="AR8" i="18"/>
  <c r="X88" i="18"/>
  <c r="X68" i="18"/>
  <c r="X48" i="18"/>
  <c r="BB88" i="18"/>
  <c r="BB48" i="18"/>
  <c r="AH88" i="18"/>
  <c r="X28" i="18"/>
  <c r="X8" i="18"/>
  <c r="N88" i="18"/>
  <c r="N48" i="18"/>
  <c r="AH48" i="18"/>
  <c r="AR88" i="18"/>
  <c r="N28" i="18"/>
  <c r="N68" i="18"/>
  <c r="AH28" i="18"/>
  <c r="AH68" i="18"/>
  <c r="AN50" i="18"/>
  <c r="AN90" i="18"/>
  <c r="AX90" i="18"/>
  <c r="AN30" i="18"/>
  <c r="AX70" i="18"/>
  <c r="AX50" i="18"/>
  <c r="AD90" i="18"/>
  <c r="AD70" i="18"/>
  <c r="T90" i="18"/>
  <c r="AN10" i="18"/>
  <c r="T10" i="18"/>
  <c r="J90" i="18"/>
  <c r="AD50" i="18"/>
  <c r="AX30" i="18"/>
  <c r="AD10" i="18"/>
  <c r="J30" i="18"/>
  <c r="AX10" i="18"/>
  <c r="J70" i="18"/>
  <c r="AN70" i="18"/>
  <c r="AD30" i="18"/>
  <c r="T50" i="18"/>
  <c r="T70" i="18"/>
  <c r="T30" i="18"/>
  <c r="J50" i="18"/>
  <c r="AX98" i="18"/>
  <c r="AN38" i="18"/>
  <c r="AN78" i="18"/>
  <c r="AX78" i="18"/>
  <c r="AN18" i="18"/>
  <c r="AN98" i="18"/>
  <c r="AX38" i="18"/>
  <c r="T78" i="18"/>
  <c r="AD58" i="18"/>
  <c r="AD98" i="18"/>
  <c r="AD18" i="18"/>
  <c r="T58" i="18"/>
  <c r="T38" i="18"/>
  <c r="T18" i="18"/>
  <c r="T98" i="18"/>
  <c r="J98" i="18"/>
  <c r="AX58" i="18"/>
  <c r="AX18" i="18"/>
  <c r="AD78" i="18"/>
  <c r="J78" i="18"/>
  <c r="J58" i="18"/>
  <c r="AD38" i="18"/>
  <c r="AN58" i="18"/>
  <c r="J38" i="18"/>
  <c r="AR56" i="18"/>
  <c r="AR96" i="18"/>
  <c r="BB96" i="18"/>
  <c r="AR36" i="18"/>
  <c r="AH96" i="18"/>
  <c r="AH56" i="18"/>
  <c r="AH36" i="18"/>
  <c r="AH16" i="18"/>
  <c r="BB36" i="18"/>
  <c r="AR16" i="18"/>
  <c r="N36" i="18"/>
  <c r="BB76" i="18"/>
  <c r="X76" i="18"/>
  <c r="X56" i="18"/>
  <c r="X36" i="18"/>
  <c r="BB56" i="18"/>
  <c r="X96" i="18"/>
  <c r="X16" i="18"/>
  <c r="N96" i="18"/>
  <c r="BB16" i="18"/>
  <c r="AR76" i="18"/>
  <c r="AH76" i="18"/>
  <c r="N76" i="18"/>
  <c r="N56" i="18"/>
  <c r="AR90" i="18"/>
  <c r="AH30" i="18"/>
  <c r="BB30" i="18"/>
  <c r="AR70" i="18"/>
  <c r="AH10" i="18"/>
  <c r="AR50" i="18"/>
  <c r="N90" i="18"/>
  <c r="BB50" i="18"/>
  <c r="AH90" i="18"/>
  <c r="AH70" i="18"/>
  <c r="AH50" i="18"/>
  <c r="AR30" i="18"/>
  <c r="N70" i="18"/>
  <c r="BB70" i="18"/>
  <c r="N30" i="18"/>
  <c r="BB10" i="18"/>
  <c r="X90" i="18"/>
  <c r="X70" i="18"/>
  <c r="N50" i="18"/>
  <c r="AR10" i="18"/>
  <c r="X50" i="18"/>
  <c r="X30" i="18"/>
  <c r="X10" i="18"/>
  <c r="BB90" i="18"/>
  <c r="AZ6" i="18"/>
  <c r="AF46" i="18"/>
  <c r="AZ46" i="18"/>
  <c r="AP86" i="18"/>
  <c r="AF26" i="18"/>
  <c r="V6" i="18"/>
  <c r="AZ86" i="18"/>
  <c r="AF86" i="18"/>
  <c r="AF66" i="18"/>
  <c r="AZ26" i="18"/>
  <c r="L86" i="18"/>
  <c r="AP66" i="18"/>
  <c r="AF6" i="18"/>
  <c r="L46" i="18"/>
  <c r="AP46" i="18"/>
  <c r="AP26" i="18"/>
  <c r="AP6" i="18"/>
  <c r="L26" i="18"/>
  <c r="AZ66" i="18"/>
  <c r="V86" i="18"/>
  <c r="L66" i="18"/>
  <c r="V66" i="18"/>
  <c r="V46" i="18"/>
  <c r="V26" i="18"/>
  <c r="AP82" i="18"/>
  <c r="AF22" i="18"/>
  <c r="AZ22" i="18"/>
  <c r="AP62" i="18"/>
  <c r="V102" i="18"/>
  <c r="AZ62" i="18"/>
  <c r="AP42" i="18"/>
  <c r="AZ102" i="18"/>
  <c r="AF82" i="18"/>
  <c r="AF42" i="18"/>
  <c r="L22" i="18"/>
  <c r="AP102" i="18"/>
  <c r="V82" i="18"/>
  <c r="V62" i="18"/>
  <c r="V42" i="18"/>
  <c r="V22" i="18"/>
  <c r="L102" i="18"/>
  <c r="L62" i="18"/>
  <c r="L82" i="18"/>
  <c r="AP22" i="18"/>
  <c r="AF62" i="18"/>
  <c r="AF102" i="18"/>
  <c r="L42" i="18"/>
  <c r="AZ82" i="18"/>
  <c r="AZ42" i="18"/>
  <c r="BB12" i="18"/>
  <c r="AH52" i="18"/>
  <c r="BB52" i="18"/>
  <c r="AR92" i="18"/>
  <c r="AH32" i="18"/>
  <c r="BB92" i="18"/>
  <c r="X12" i="18"/>
  <c r="AR72" i="18"/>
  <c r="AR12" i="18"/>
  <c r="N92" i="18"/>
  <c r="BB32" i="18"/>
  <c r="N52" i="18"/>
  <c r="AH72" i="18"/>
  <c r="X92" i="18"/>
  <c r="X72" i="18"/>
  <c r="X52" i="18"/>
  <c r="X32" i="18"/>
  <c r="AR52" i="18"/>
  <c r="N32" i="18"/>
  <c r="AR32" i="18"/>
  <c r="BB72" i="18"/>
  <c r="AH92" i="18"/>
  <c r="N72" i="18"/>
  <c r="AH12" i="18"/>
  <c r="AN72" i="18"/>
  <c r="AX12" i="18"/>
  <c r="AN52" i="18"/>
  <c r="T92" i="18"/>
  <c r="AN92" i="18"/>
  <c r="AD72" i="18"/>
  <c r="AD52" i="18"/>
  <c r="AD32" i="18"/>
  <c r="AX92" i="18"/>
  <c r="AX32" i="18"/>
  <c r="AX52" i="18"/>
  <c r="AD12" i="18"/>
  <c r="J72" i="18"/>
  <c r="J52" i="18"/>
  <c r="T72" i="18"/>
  <c r="T52" i="18"/>
  <c r="T32" i="18"/>
  <c r="T12" i="18"/>
  <c r="J92" i="18"/>
  <c r="AN32" i="18"/>
  <c r="AN12" i="18"/>
  <c r="J32" i="18"/>
  <c r="AD92" i="18"/>
  <c r="AX72" i="18"/>
  <c r="AX88" i="18"/>
  <c r="AN28" i="18"/>
  <c r="AN68" i="18"/>
  <c r="AX68" i="18"/>
  <c r="AN8" i="18"/>
  <c r="AD28" i="18"/>
  <c r="T88" i="18"/>
  <c r="AX8" i="18"/>
  <c r="T68" i="18"/>
  <c r="AD68" i="18"/>
  <c r="J68" i="18"/>
  <c r="T48" i="18"/>
  <c r="T28" i="18"/>
  <c r="T8" i="18"/>
  <c r="AX48" i="18"/>
  <c r="AD88" i="18"/>
  <c r="AD48" i="18"/>
  <c r="J88" i="18"/>
  <c r="J48" i="18"/>
  <c r="AX28" i="18"/>
  <c r="AD8" i="18"/>
  <c r="AN88" i="18"/>
  <c r="AN48" i="18"/>
  <c r="J28" i="18"/>
  <c r="BB82" i="18"/>
  <c r="AR22" i="18"/>
  <c r="AR62" i="18"/>
  <c r="BB62" i="18"/>
  <c r="AH102" i="18"/>
  <c r="AR102" i="18"/>
  <c r="X82" i="18"/>
  <c r="BB102" i="18"/>
  <c r="BB42" i="18"/>
  <c r="X62" i="18"/>
  <c r="BB22" i="18"/>
  <c r="AR82" i="18"/>
  <c r="X42" i="18"/>
  <c r="X22" i="18"/>
  <c r="N102" i="18"/>
  <c r="N62" i="18"/>
  <c r="N82" i="18"/>
  <c r="AR42" i="18"/>
  <c r="AH62" i="18"/>
  <c r="X102" i="18"/>
  <c r="AH22" i="18"/>
  <c r="N42" i="18"/>
  <c r="AH42" i="18"/>
  <c r="AH82" i="18"/>
  <c r="N22" i="18"/>
  <c r="AZ16" i="18"/>
  <c r="AF56" i="18"/>
  <c r="AZ56" i="18"/>
  <c r="AF96" i="18"/>
  <c r="AP96" i="18"/>
  <c r="AF36" i="18"/>
  <c r="AP56" i="18"/>
  <c r="AF76" i="18"/>
  <c r="V16" i="18"/>
  <c r="AP36" i="18"/>
  <c r="AZ96" i="18"/>
  <c r="L96" i="18"/>
  <c r="L56" i="18"/>
  <c r="AP16" i="18"/>
  <c r="AF16" i="18"/>
  <c r="L36" i="18"/>
  <c r="AZ76" i="18"/>
  <c r="AZ36" i="18"/>
  <c r="V76" i="18"/>
  <c r="V56" i="18"/>
  <c r="V36" i="18"/>
  <c r="V96" i="18"/>
  <c r="AP76" i="18"/>
  <c r="L76" i="18"/>
  <c r="AX20" i="18"/>
  <c r="AD60" i="18"/>
  <c r="AX60" i="18"/>
  <c r="AD100" i="18"/>
  <c r="AN100" i="18"/>
  <c r="AD40" i="18"/>
  <c r="AN80" i="18"/>
  <c r="T20" i="18"/>
  <c r="AX80" i="18"/>
  <c r="AD80" i="18"/>
  <c r="AN60" i="18"/>
  <c r="AD20" i="18"/>
  <c r="J100" i="18"/>
  <c r="T100" i="18"/>
  <c r="J80" i="18"/>
  <c r="J60" i="18"/>
  <c r="AX40" i="18"/>
  <c r="J40" i="18"/>
  <c r="AN40" i="18"/>
  <c r="T80" i="18"/>
  <c r="T60" i="18"/>
  <c r="T40" i="18"/>
  <c r="J20" i="18"/>
  <c r="AX100" i="18"/>
  <c r="AN20" i="18"/>
  <c r="BF52" i="18"/>
  <c r="AL92" i="18"/>
  <c r="BF92" i="18"/>
  <c r="AV32" i="18"/>
  <c r="BF32" i="18"/>
  <c r="AL72" i="18"/>
  <c r="AV72" i="18"/>
  <c r="AB52" i="18"/>
  <c r="BF72" i="18"/>
  <c r="BF12" i="18"/>
  <c r="AB92" i="18"/>
  <c r="AB32" i="18"/>
  <c r="AB72" i="18"/>
  <c r="AV92" i="18"/>
  <c r="AL32" i="18"/>
  <c r="AB12" i="18"/>
  <c r="R92" i="18"/>
  <c r="R32" i="18"/>
  <c r="AV52" i="18"/>
  <c r="AV12" i="18"/>
  <c r="R72" i="18"/>
  <c r="AL52" i="18"/>
  <c r="AL12" i="18"/>
  <c r="R52" i="18"/>
  <c r="BF8" i="18"/>
  <c r="AL48" i="18"/>
  <c r="BF48" i="18"/>
  <c r="AV88" i="18"/>
  <c r="AL28" i="18"/>
  <c r="AV8" i="18"/>
  <c r="AB8" i="18"/>
  <c r="AV48" i="18"/>
  <c r="R88" i="18"/>
  <c r="BF88" i="18"/>
  <c r="AB68" i="18"/>
  <c r="AB48" i="18"/>
  <c r="AB28" i="18"/>
  <c r="R48" i="18"/>
  <c r="AL88" i="18"/>
  <c r="BF68" i="18"/>
  <c r="BF28" i="18"/>
  <c r="AL8" i="18"/>
  <c r="R28" i="18"/>
  <c r="AL68" i="18"/>
  <c r="R68" i="18"/>
  <c r="AV68" i="18"/>
  <c r="AV28" i="18"/>
  <c r="AB88" i="18"/>
  <c r="BD22" i="18"/>
  <c r="AJ62" i="18"/>
  <c r="BD62" i="18"/>
  <c r="AJ102" i="18"/>
  <c r="AT102" i="18"/>
  <c r="AJ42" i="18"/>
  <c r="AT42" i="18"/>
  <c r="Z102" i="18"/>
  <c r="Z22" i="18"/>
  <c r="BD42" i="18"/>
  <c r="AT82" i="18"/>
  <c r="P102" i="18"/>
  <c r="Z82" i="18"/>
  <c r="Z62" i="18"/>
  <c r="Z42" i="18"/>
  <c r="P62" i="18"/>
  <c r="P82" i="18"/>
  <c r="AT62" i="18"/>
  <c r="AT22" i="18"/>
  <c r="AJ22" i="18"/>
  <c r="P42" i="18"/>
  <c r="BD102" i="18"/>
  <c r="BD82" i="18"/>
  <c r="AJ82" i="18"/>
  <c r="P22" i="18"/>
  <c r="AP60" i="18"/>
  <c r="AP100" i="18"/>
  <c r="AZ100" i="18"/>
  <c r="AP40" i="18"/>
  <c r="AP20" i="18"/>
  <c r="AZ20" i="18"/>
  <c r="AF60" i="18"/>
  <c r="AF40" i="18"/>
  <c r="AF20" i="18"/>
  <c r="AF100" i="18"/>
  <c r="AZ80" i="18"/>
  <c r="AZ60" i="18"/>
  <c r="AZ40" i="18"/>
  <c r="AF80" i="18"/>
  <c r="L40" i="18"/>
  <c r="AP80" i="18"/>
  <c r="V80" i="18"/>
  <c r="V60" i="18"/>
  <c r="V40" i="18"/>
  <c r="L20" i="18"/>
  <c r="V20" i="18"/>
  <c r="L100" i="18"/>
  <c r="L60" i="18"/>
  <c r="V100" i="18"/>
  <c r="L80" i="18"/>
  <c r="BD34" i="18"/>
  <c r="AJ74" i="18"/>
  <c r="BD74" i="18"/>
  <c r="AT14" i="18"/>
  <c r="BD14" i="18"/>
  <c r="AJ54" i="18"/>
  <c r="Z94" i="18"/>
  <c r="Z34" i="18"/>
  <c r="AJ94" i="18"/>
  <c r="BD54" i="18"/>
  <c r="AJ34" i="18"/>
  <c r="AJ14" i="18"/>
  <c r="Z14" i="18"/>
  <c r="AT74" i="18"/>
  <c r="AT54" i="18"/>
  <c r="AT34" i="18"/>
  <c r="P74" i="18"/>
  <c r="P54" i="18"/>
  <c r="BD94" i="18"/>
  <c r="Z74" i="18"/>
  <c r="Z54" i="18"/>
  <c r="P34" i="18"/>
  <c r="P94" i="18"/>
  <c r="AT94" i="18"/>
  <c r="AZ72" i="18"/>
  <c r="AP12" i="18"/>
  <c r="AP52" i="18"/>
  <c r="AZ52" i="18"/>
  <c r="AF92" i="18"/>
  <c r="AP32" i="18"/>
  <c r="AF12" i="18"/>
  <c r="V72" i="18"/>
  <c r="AZ32" i="18"/>
  <c r="AP72" i="18"/>
  <c r="V52" i="18"/>
  <c r="AZ12" i="18"/>
  <c r="L52" i="18"/>
  <c r="AP92" i="18"/>
  <c r="AF72" i="18"/>
  <c r="AF32" i="18"/>
  <c r="V92" i="18"/>
  <c r="V32" i="18"/>
  <c r="V12" i="18"/>
  <c r="L92" i="18"/>
  <c r="L32" i="18"/>
  <c r="AZ92" i="18"/>
  <c r="L72" i="18"/>
  <c r="AF52" i="18"/>
  <c r="BB60" i="18"/>
  <c r="AH100" i="18"/>
  <c r="BB100" i="18"/>
  <c r="AR40" i="18"/>
  <c r="BB40" i="18"/>
  <c r="AH80" i="18"/>
  <c r="BB80" i="18"/>
  <c r="X60" i="18"/>
  <c r="AR60" i="18"/>
  <c r="X40" i="18"/>
  <c r="N40" i="18"/>
  <c r="BB20" i="18"/>
  <c r="AR100" i="18"/>
  <c r="AH40" i="18"/>
  <c r="AR80" i="18"/>
  <c r="X80" i="18"/>
  <c r="N20" i="18"/>
  <c r="X20" i="18"/>
  <c r="N100" i="18"/>
  <c r="AR20" i="18"/>
  <c r="AH60" i="18"/>
  <c r="AH20" i="18"/>
  <c r="X100" i="18"/>
  <c r="N80" i="18"/>
  <c r="N60" i="18"/>
  <c r="BD56" i="18"/>
  <c r="AJ96" i="18"/>
  <c r="BD96" i="18"/>
  <c r="AT36" i="18"/>
  <c r="BD36" i="18"/>
  <c r="AJ76" i="18"/>
  <c r="Z56" i="18"/>
  <c r="AT76" i="18"/>
  <c r="Z36" i="18"/>
  <c r="AT56" i="18"/>
  <c r="AT16" i="18"/>
  <c r="P36" i="18"/>
  <c r="BD76" i="18"/>
  <c r="AJ56" i="18"/>
  <c r="AJ16" i="18"/>
  <c r="Z76" i="18"/>
  <c r="Z96" i="18"/>
  <c r="Z16" i="18"/>
  <c r="P96" i="18"/>
  <c r="BD16" i="18"/>
  <c r="P76" i="18"/>
  <c r="AT96" i="18"/>
  <c r="AJ36" i="18"/>
  <c r="P56" i="18"/>
  <c r="AN94" i="18"/>
  <c r="T14" i="18"/>
  <c r="T74" i="18"/>
  <c r="AD54" i="18"/>
  <c r="AD74" i="18"/>
  <c r="AX74" i="18"/>
  <c r="T34" i="18"/>
  <c r="AD94" i="18"/>
  <c r="AN74" i="18"/>
  <c r="AD34" i="18"/>
  <c r="AN54" i="18"/>
  <c r="AX14" i="18"/>
  <c r="J94" i="18"/>
  <c r="AD14" i="18"/>
  <c r="J74" i="18"/>
  <c r="AN14" i="18"/>
  <c r="AX94" i="18"/>
  <c r="J54" i="18"/>
  <c r="J34" i="18"/>
  <c r="AN34" i="18"/>
  <c r="AX54" i="18"/>
  <c r="T54" i="18"/>
  <c r="AX34" i="18"/>
  <c r="T94" i="18"/>
  <c r="AX76" i="18"/>
  <c r="AN16" i="18"/>
  <c r="AN56" i="18"/>
  <c r="AX56" i="18"/>
  <c r="AD96" i="18"/>
  <c r="AX16" i="18"/>
  <c r="T76" i="18"/>
  <c r="AN96" i="18"/>
  <c r="AD16" i="18"/>
  <c r="AN36" i="18"/>
  <c r="T56" i="18"/>
  <c r="AN76" i="18"/>
  <c r="J76" i="18"/>
  <c r="J56" i="18"/>
  <c r="AX96" i="18"/>
  <c r="AD56" i="18"/>
  <c r="J36" i="18"/>
  <c r="AX36" i="18"/>
  <c r="T36" i="18"/>
  <c r="T16" i="18"/>
  <c r="J96" i="18"/>
  <c r="T96" i="18"/>
  <c r="AD36" i="18"/>
  <c r="AD76" i="18"/>
  <c r="AR46" i="18"/>
  <c r="AR86" i="18"/>
  <c r="BB86" i="18"/>
  <c r="AR26" i="18"/>
  <c r="BB46" i="18"/>
  <c r="BB26" i="18"/>
  <c r="AH46" i="18"/>
  <c r="AH26" i="18"/>
  <c r="AR66" i="18"/>
  <c r="X86" i="18"/>
  <c r="AH66" i="18"/>
  <c r="AR6" i="18"/>
  <c r="N26" i="18"/>
  <c r="BB66" i="18"/>
  <c r="N66" i="18"/>
  <c r="AH86" i="18"/>
  <c r="X66" i="18"/>
  <c r="X46" i="18"/>
  <c r="X26" i="18"/>
  <c r="X6" i="18"/>
  <c r="N86" i="18"/>
  <c r="AH6" i="18"/>
  <c r="BB6" i="18"/>
  <c r="N46" i="18"/>
  <c r="AZ50" i="18"/>
  <c r="AF90" i="18"/>
  <c r="AZ90" i="18"/>
  <c r="AP30" i="18"/>
  <c r="AZ30" i="18"/>
  <c r="AF70" i="18"/>
  <c r="AZ10" i="18"/>
  <c r="V50" i="18"/>
  <c r="AP90" i="18"/>
  <c r="AF50" i="18"/>
  <c r="AF30" i="18"/>
  <c r="V30" i="18"/>
  <c r="AZ70" i="18"/>
  <c r="AF10" i="18"/>
  <c r="L30" i="18"/>
  <c r="L70" i="18"/>
  <c r="AP70" i="18"/>
  <c r="AP50" i="18"/>
  <c r="V90" i="18"/>
  <c r="V70" i="18"/>
  <c r="L50" i="18"/>
  <c r="AP10" i="18"/>
  <c r="V10" i="18"/>
  <c r="L90" i="18"/>
  <c r="AX42" i="18"/>
  <c r="AD82" i="18"/>
  <c r="AX82" i="18"/>
  <c r="AN22" i="18"/>
  <c r="AX22" i="18"/>
  <c r="AD62" i="18"/>
  <c r="AD102" i="18"/>
  <c r="T42" i="18"/>
  <c r="AN102" i="18"/>
  <c r="AN42" i="18"/>
  <c r="T22" i="18"/>
  <c r="AD42" i="18"/>
  <c r="J22" i="18"/>
  <c r="AN82" i="18"/>
  <c r="T82" i="18"/>
  <c r="T62" i="18"/>
  <c r="AN62" i="18"/>
  <c r="J102" i="18"/>
  <c r="J62" i="18"/>
  <c r="T102" i="18"/>
  <c r="J82" i="18"/>
  <c r="AX102" i="18"/>
  <c r="AD22" i="18"/>
  <c r="J42" i="18"/>
  <c r="AX62" i="18"/>
  <c r="BF30" i="18"/>
  <c r="AL70" i="18"/>
  <c r="BF70" i="18"/>
  <c r="AV10" i="18"/>
  <c r="BF10" i="18"/>
  <c r="AL50" i="18"/>
  <c r="BF50" i="18"/>
  <c r="AL90" i="18"/>
  <c r="AB30" i="18"/>
  <c r="AV30" i="18"/>
  <c r="AL10" i="18"/>
  <c r="BF90" i="18"/>
  <c r="AB10" i="18"/>
  <c r="R70" i="18"/>
  <c r="AV90" i="18"/>
  <c r="AV70" i="18"/>
  <c r="R50" i="18"/>
  <c r="AV50" i="18"/>
  <c r="AL30" i="18"/>
  <c r="AB90" i="18"/>
  <c r="AB70" i="18"/>
  <c r="AB50" i="18"/>
  <c r="R90" i="18"/>
  <c r="R30" i="18"/>
  <c r="AT100" i="18"/>
  <c r="AJ40" i="18"/>
  <c r="BD40" i="18"/>
  <c r="AT80" i="18"/>
  <c r="AJ20" i="18"/>
  <c r="BD20" i="18"/>
  <c r="AJ80" i="18"/>
  <c r="AJ60" i="18"/>
  <c r="P100" i="18"/>
  <c r="AJ100" i="18"/>
  <c r="BD60" i="18"/>
  <c r="P80" i="18"/>
  <c r="P40" i="18"/>
  <c r="Z80" i="18"/>
  <c r="P20" i="18"/>
  <c r="AT60" i="18"/>
  <c r="AT40" i="18"/>
  <c r="Z60" i="18"/>
  <c r="Z40" i="18"/>
  <c r="Z20" i="18"/>
  <c r="AT20" i="18"/>
  <c r="Z100" i="18"/>
  <c r="P60" i="18"/>
  <c r="BD100" i="18"/>
  <c r="BD80" i="18"/>
  <c r="AT78" i="18"/>
  <c r="AJ18" i="18"/>
  <c r="BD18" i="18"/>
  <c r="AT58" i="18"/>
  <c r="Z98" i="18"/>
  <c r="BD98" i="18"/>
  <c r="AT18" i="18"/>
  <c r="BD78" i="18"/>
  <c r="Z38" i="18"/>
  <c r="Z18" i="18"/>
  <c r="P98" i="18"/>
  <c r="P18" i="18"/>
  <c r="BD58" i="18"/>
  <c r="P78" i="18"/>
  <c r="P58" i="18"/>
  <c r="BD38" i="18"/>
  <c r="AJ78" i="18"/>
  <c r="AJ38" i="18"/>
  <c r="AT98" i="18"/>
  <c r="P38" i="18"/>
  <c r="AJ98" i="18"/>
  <c r="Z78" i="18"/>
  <c r="AT38" i="18"/>
  <c r="AJ58" i="18"/>
  <c r="Z58" i="18"/>
  <c r="AV74" i="18"/>
  <c r="AL14" i="18"/>
  <c r="BF14" i="18"/>
  <c r="AV54" i="18"/>
  <c r="AB94" i="18"/>
  <c r="BF74" i="18"/>
  <c r="BF54" i="18"/>
  <c r="AL74" i="18"/>
  <c r="AL54" i="18"/>
  <c r="AL34" i="18"/>
  <c r="AV94" i="18"/>
  <c r="AV34" i="18"/>
  <c r="R74" i="18"/>
  <c r="R54" i="18"/>
  <c r="BF94" i="18"/>
  <c r="AV14" i="18"/>
  <c r="AL94" i="18"/>
  <c r="AB74" i="18"/>
  <c r="AB54" i="18"/>
  <c r="R34" i="18"/>
  <c r="BF34" i="18"/>
  <c r="AB34" i="18"/>
  <c r="AB14" i="18"/>
  <c r="R94" i="18"/>
  <c r="L12" i="19"/>
  <c r="L18" i="18"/>
  <c r="R16" i="18"/>
  <c r="J18" i="18"/>
  <c r="N16" i="18"/>
  <c r="P16" i="18"/>
  <c r="L16" i="18"/>
  <c r="P85" i="1"/>
  <c r="AE85" i="1" s="1"/>
  <c r="AD85" i="1" s="1"/>
  <c r="Q85" i="1"/>
  <c r="R10" i="18"/>
  <c r="R14" i="18"/>
  <c r="L14" i="18"/>
  <c r="P12" i="18"/>
  <c r="N14" i="18"/>
  <c r="J16" i="18"/>
  <c r="R12" i="18"/>
  <c r="N12" i="18"/>
  <c r="J12" i="18"/>
  <c r="P10" i="18"/>
  <c r="P14" i="18"/>
  <c r="L12" i="18"/>
  <c r="J14" i="18"/>
  <c r="AF24" i="1"/>
  <c r="P130" i="1"/>
  <c r="AE130" i="1" s="1"/>
  <c r="AD130" i="1" s="1"/>
  <c r="Q130" i="1"/>
  <c r="P133" i="1"/>
  <c r="AE133" i="1" s="1"/>
  <c r="AD133" i="1" s="1"/>
  <c r="Q133" i="1"/>
  <c r="P139" i="1"/>
  <c r="AE139" i="1" s="1"/>
  <c r="AD139" i="1" s="1"/>
  <c r="Q139" i="1"/>
  <c r="P136" i="1"/>
  <c r="AE136" i="1" s="1"/>
  <c r="AD136" i="1" s="1"/>
  <c r="Q136" i="1"/>
  <c r="N6" i="18"/>
  <c r="L10" i="18"/>
  <c r="N10" i="18"/>
  <c r="L6" i="18"/>
  <c r="J8" i="18"/>
  <c r="R8" i="18"/>
  <c r="N8" i="18"/>
  <c r="J10" i="18"/>
  <c r="P8" i="18"/>
  <c r="L8" i="18"/>
  <c r="R6" i="18"/>
  <c r="P6" i="18"/>
  <c r="P22" i="1"/>
  <c r="Q22" i="1"/>
  <c r="P55" i="1"/>
  <c r="Q55" i="1"/>
  <c r="P100" i="1"/>
  <c r="AE100" i="1" s="1"/>
  <c r="AD100" i="1" s="1"/>
  <c r="Q100" i="1"/>
  <c r="P49" i="1"/>
  <c r="AE49" i="1" s="1"/>
  <c r="AD49" i="1" s="1"/>
  <c r="Q49" i="1"/>
  <c r="P19" i="1"/>
  <c r="AE19" i="1" s="1"/>
  <c r="AD19" i="1" s="1"/>
  <c r="Q19" i="1"/>
  <c r="P82" i="1"/>
  <c r="Q82" i="1"/>
  <c r="P112" i="1"/>
  <c r="AE112" i="1" s="1"/>
  <c r="AD112" i="1" s="1"/>
  <c r="Q112" i="1"/>
  <c r="P61" i="1"/>
  <c r="AE61" i="1" s="1"/>
  <c r="AD61" i="1" s="1"/>
  <c r="Q61" i="1"/>
  <c r="P31" i="1"/>
  <c r="AE31" i="1" s="1"/>
  <c r="AD31" i="1" s="1"/>
  <c r="Q31" i="1"/>
  <c r="P43" i="1"/>
  <c r="AE43" i="1" s="1"/>
  <c r="AD43" i="1" s="1"/>
  <c r="Q43" i="1"/>
  <c r="P25" i="1"/>
  <c r="AE25" i="1" s="1"/>
  <c r="AD25" i="1" s="1"/>
  <c r="Q25" i="1"/>
  <c r="P115" i="1"/>
  <c r="AE115" i="1" s="1"/>
  <c r="AD115" i="1" s="1"/>
  <c r="Q115" i="1"/>
  <c r="P76" i="1"/>
  <c r="AE76" i="1" s="1"/>
  <c r="AD76" i="1" s="1"/>
  <c r="Q76" i="1"/>
  <c r="P37" i="1"/>
  <c r="AE37" i="1" s="1"/>
  <c r="AD37" i="1" s="1"/>
  <c r="Q37" i="1"/>
  <c r="P118" i="1"/>
  <c r="AE118" i="1" s="1"/>
  <c r="AD118" i="1" s="1"/>
  <c r="Q118" i="1"/>
  <c r="P91" i="1"/>
  <c r="AE91" i="1" s="1"/>
  <c r="AD91" i="1" s="1"/>
  <c r="Q91" i="1"/>
  <c r="P52" i="1"/>
  <c r="AE52" i="1" s="1"/>
  <c r="AD52" i="1" s="1"/>
  <c r="Q52" i="1"/>
  <c r="P13" i="1"/>
  <c r="Q13" i="1"/>
  <c r="P127" i="1"/>
  <c r="AE127" i="1" s="1"/>
  <c r="AD127" i="1" s="1"/>
  <c r="Q127" i="1"/>
  <c r="P46" i="1"/>
  <c r="AE46" i="1" s="1"/>
  <c r="AD46" i="1" s="1"/>
  <c r="Q46" i="1"/>
  <c r="P121" i="1"/>
  <c r="AE121" i="1" s="1"/>
  <c r="AD121" i="1" s="1"/>
  <c r="Q121" i="1"/>
  <c r="P106" i="1"/>
  <c r="AE106" i="1" s="1"/>
  <c r="AD106" i="1" s="1"/>
  <c r="Q106" i="1"/>
  <c r="P64" i="1"/>
  <c r="AE64" i="1" s="1"/>
  <c r="AD64" i="1" s="1"/>
  <c r="Q64" i="1"/>
  <c r="P67" i="1"/>
  <c r="AE67" i="1" s="1"/>
  <c r="AD67" i="1" s="1"/>
  <c r="Q67" i="1"/>
  <c r="P58" i="1"/>
  <c r="AE58" i="1" s="1"/>
  <c r="AD58" i="1" s="1"/>
  <c r="Q58" i="1"/>
  <c r="P124" i="1"/>
  <c r="AE124" i="1" s="1"/>
  <c r="AD124" i="1" s="1"/>
  <c r="Q124" i="1"/>
  <c r="P16" i="1"/>
  <c r="AE16" i="1" s="1"/>
  <c r="AD16" i="1" s="1"/>
  <c r="Q16" i="1"/>
  <c r="P79" i="1"/>
  <c r="AE79" i="1" s="1"/>
  <c r="AD79" i="1" s="1"/>
  <c r="Q79" i="1"/>
  <c r="P73" i="1"/>
  <c r="AE73" i="1" s="1"/>
  <c r="AD73" i="1" s="1"/>
  <c r="Q73" i="1"/>
  <c r="P28" i="1"/>
  <c r="AE28" i="1" s="1"/>
  <c r="AD28" i="1" s="1"/>
  <c r="Q28" i="1"/>
  <c r="P109" i="1"/>
  <c r="AE109" i="1" s="1"/>
  <c r="AD109" i="1" s="1"/>
  <c r="Q109" i="1"/>
  <c r="P94" i="1"/>
  <c r="AE94" i="1" s="1"/>
  <c r="AD94" i="1" s="1"/>
  <c r="Q94" i="1"/>
  <c r="P34" i="1"/>
  <c r="AE34" i="1" s="1"/>
  <c r="AD34" i="1" s="1"/>
  <c r="Q34" i="1"/>
  <c r="P97" i="1"/>
  <c r="Q97" i="1"/>
  <c r="P88" i="1"/>
  <c r="AE88" i="1" s="1"/>
  <c r="AD88" i="1" s="1"/>
  <c r="Q88" i="1"/>
  <c r="P40" i="1"/>
  <c r="AE40" i="1" s="1"/>
  <c r="AD40" i="1" s="1"/>
  <c r="Q40" i="1"/>
  <c r="P10" i="1"/>
  <c r="Q10" i="1"/>
  <c r="V185" i="19" l="1"/>
  <c r="V135" i="19"/>
  <c r="S135" i="19"/>
  <c r="V35" i="19"/>
  <c r="S35" i="19"/>
  <c r="S185" i="19"/>
  <c r="V85" i="19"/>
  <c r="P185" i="19"/>
  <c r="S85" i="19"/>
  <c r="P135" i="19"/>
  <c r="J85" i="19"/>
  <c r="P235" i="19"/>
  <c r="M135" i="19"/>
  <c r="S235" i="19"/>
  <c r="P35" i="19"/>
  <c r="J185" i="19"/>
  <c r="V235" i="19"/>
  <c r="P85" i="19"/>
  <c r="M35" i="19"/>
  <c r="M185" i="19"/>
  <c r="J135" i="19"/>
  <c r="J235" i="19"/>
  <c r="M85" i="19"/>
  <c r="M235" i="19"/>
  <c r="V211" i="19"/>
  <c r="V11" i="19"/>
  <c r="V161" i="19"/>
  <c r="S11" i="19"/>
  <c r="S161" i="19"/>
  <c r="V61" i="19"/>
  <c r="P161" i="19"/>
  <c r="S61" i="19"/>
  <c r="S211" i="19"/>
  <c r="V111" i="19"/>
  <c r="P211" i="19"/>
  <c r="P11" i="19"/>
  <c r="J161" i="19"/>
  <c r="M11" i="19"/>
  <c r="M161" i="19"/>
  <c r="S111" i="19"/>
  <c r="P61" i="19"/>
  <c r="J111" i="19"/>
  <c r="M61" i="19"/>
  <c r="P111" i="19"/>
  <c r="M211" i="19"/>
  <c r="J211" i="19"/>
  <c r="J61" i="19"/>
  <c r="M111" i="19"/>
  <c r="S192" i="19"/>
  <c r="V92" i="19"/>
  <c r="P192" i="19"/>
  <c r="S92" i="19"/>
  <c r="S242" i="19"/>
  <c r="P92" i="19"/>
  <c r="V192" i="19"/>
  <c r="V142" i="19"/>
  <c r="P242" i="19"/>
  <c r="S142" i="19"/>
  <c r="V42" i="19"/>
  <c r="P142" i="19"/>
  <c r="M192" i="19"/>
  <c r="J142" i="19"/>
  <c r="M92" i="19"/>
  <c r="J242" i="19"/>
  <c r="M242" i="19"/>
  <c r="V242" i="19"/>
  <c r="J92" i="19"/>
  <c r="S42" i="19"/>
  <c r="M142" i="19"/>
  <c r="P42" i="19"/>
  <c r="J192" i="19"/>
  <c r="J42" i="19"/>
  <c r="M42" i="19"/>
  <c r="V177" i="19"/>
  <c r="V227" i="19"/>
  <c r="V127" i="19"/>
  <c r="S127" i="19"/>
  <c r="V27" i="19"/>
  <c r="S27" i="19"/>
  <c r="S177" i="19"/>
  <c r="V77" i="19"/>
  <c r="P177" i="19"/>
  <c r="S77" i="19"/>
  <c r="P77" i="19"/>
  <c r="J77" i="19"/>
  <c r="S227" i="19"/>
  <c r="P227" i="19"/>
  <c r="M127" i="19"/>
  <c r="P27" i="19"/>
  <c r="J177" i="19"/>
  <c r="M27" i="19"/>
  <c r="P127" i="19"/>
  <c r="M177" i="19"/>
  <c r="J127" i="19"/>
  <c r="M77" i="19"/>
  <c r="M227" i="19"/>
  <c r="J227" i="19"/>
  <c r="V183" i="19"/>
  <c r="V233" i="19"/>
  <c r="V33" i="19"/>
  <c r="S33" i="19"/>
  <c r="S183" i="19"/>
  <c r="V83" i="19"/>
  <c r="P183" i="19"/>
  <c r="S83" i="19"/>
  <c r="S233" i="19"/>
  <c r="V133" i="19"/>
  <c r="P233" i="19"/>
  <c r="S133" i="19"/>
  <c r="P33" i="19"/>
  <c r="J183" i="19"/>
  <c r="M33" i="19"/>
  <c r="P83" i="19"/>
  <c r="M183" i="19"/>
  <c r="P133" i="19"/>
  <c r="J133" i="19"/>
  <c r="M83" i="19"/>
  <c r="M233" i="19"/>
  <c r="J233" i="19"/>
  <c r="J83" i="19"/>
  <c r="M133" i="19"/>
  <c r="V240" i="19"/>
  <c r="S90" i="19"/>
  <c r="S240" i="19"/>
  <c r="P90" i="19"/>
  <c r="V190" i="19"/>
  <c r="V140" i="19"/>
  <c r="P240" i="19"/>
  <c r="S140" i="19"/>
  <c r="V40" i="19"/>
  <c r="P140" i="19"/>
  <c r="S40" i="19"/>
  <c r="S190" i="19"/>
  <c r="M90" i="19"/>
  <c r="J40" i="19"/>
  <c r="P190" i="19"/>
  <c r="M240" i="19"/>
  <c r="J90" i="19"/>
  <c r="M140" i="19"/>
  <c r="V90" i="19"/>
  <c r="P40" i="19"/>
  <c r="J190" i="19"/>
  <c r="M40" i="19"/>
  <c r="M190" i="19"/>
  <c r="J140" i="19"/>
  <c r="J240" i="19"/>
  <c r="S210" i="19"/>
  <c r="V110" i="19"/>
  <c r="P210" i="19"/>
  <c r="V210" i="19"/>
  <c r="S110" i="19"/>
  <c r="V10" i="19"/>
  <c r="P110" i="19"/>
  <c r="V160" i="19"/>
  <c r="S10" i="19"/>
  <c r="S160" i="19"/>
  <c r="V60" i="19"/>
  <c r="P160" i="19"/>
  <c r="M210" i="19"/>
  <c r="J210" i="19"/>
  <c r="J60" i="19"/>
  <c r="S60" i="19"/>
  <c r="M110" i="19"/>
  <c r="P10" i="19"/>
  <c r="J160" i="19"/>
  <c r="M10" i="19"/>
  <c r="M160" i="19"/>
  <c r="M60" i="19"/>
  <c r="J110" i="19"/>
  <c r="P60" i="19"/>
  <c r="S176" i="19"/>
  <c r="S26" i="19"/>
  <c r="J226" i="19"/>
  <c r="P226" i="19"/>
  <c r="P76" i="19"/>
  <c r="V76" i="19"/>
  <c r="S226" i="19"/>
  <c r="P26" i="19"/>
  <c r="M126" i="19"/>
  <c r="V226" i="19"/>
  <c r="M76" i="19"/>
  <c r="J126" i="19"/>
  <c r="V26" i="19"/>
  <c r="J76" i="19"/>
  <c r="J176" i="19"/>
  <c r="S126" i="19"/>
  <c r="S76" i="19"/>
  <c r="M26" i="19"/>
  <c r="V126" i="19"/>
  <c r="P176" i="19"/>
  <c r="P126" i="19"/>
  <c r="V176" i="19"/>
  <c r="M226" i="19"/>
  <c r="M176" i="19"/>
  <c r="V243" i="19"/>
  <c r="V193" i="19"/>
  <c r="S243" i="19"/>
  <c r="V143" i="19"/>
  <c r="P243" i="19"/>
  <c r="S143" i="19"/>
  <c r="V43" i="19"/>
  <c r="P143" i="19"/>
  <c r="S43" i="19"/>
  <c r="S193" i="19"/>
  <c r="V93" i="19"/>
  <c r="P193" i="19"/>
  <c r="M243" i="19"/>
  <c r="J243" i="19"/>
  <c r="J93" i="19"/>
  <c r="P93" i="19"/>
  <c r="M143" i="19"/>
  <c r="P43" i="19"/>
  <c r="J193" i="19"/>
  <c r="M43" i="19"/>
  <c r="M193" i="19"/>
  <c r="J43" i="19"/>
  <c r="M93" i="19"/>
  <c r="J143" i="19"/>
  <c r="S93" i="19"/>
  <c r="V113" i="19"/>
  <c r="S113" i="19"/>
  <c r="V13" i="19"/>
  <c r="V213" i="19"/>
  <c r="V163" i="19"/>
  <c r="S13" i="19"/>
  <c r="S163" i="19"/>
  <c r="V63" i="19"/>
  <c r="P163" i="19"/>
  <c r="S63" i="19"/>
  <c r="P213" i="19"/>
  <c r="J63" i="19"/>
  <c r="M113" i="19"/>
  <c r="P13" i="19"/>
  <c r="J163" i="19"/>
  <c r="M13" i="19"/>
  <c r="M163" i="19"/>
  <c r="P63" i="19"/>
  <c r="J113" i="19"/>
  <c r="S213" i="19"/>
  <c r="M63" i="19"/>
  <c r="P113" i="19"/>
  <c r="M213" i="19"/>
  <c r="J213" i="19"/>
  <c r="S141" i="19"/>
  <c r="V41" i="19"/>
  <c r="P141" i="19"/>
  <c r="V241" i="19"/>
  <c r="S41" i="19"/>
  <c r="S191" i="19"/>
  <c r="V91" i="19"/>
  <c r="P191" i="19"/>
  <c r="S91" i="19"/>
  <c r="S241" i="19"/>
  <c r="M141" i="19"/>
  <c r="V191" i="19"/>
  <c r="P41" i="19"/>
  <c r="M41" i="19"/>
  <c r="M191" i="19"/>
  <c r="P241" i="19"/>
  <c r="J141" i="19"/>
  <c r="P91" i="19"/>
  <c r="M91" i="19"/>
  <c r="V141" i="19"/>
  <c r="J41" i="19"/>
  <c r="J91" i="19"/>
  <c r="J191" i="19"/>
  <c r="J241" i="19"/>
  <c r="M241" i="19"/>
  <c r="V171" i="19"/>
  <c r="V121" i="19"/>
  <c r="S121" i="19"/>
  <c r="V21" i="19"/>
  <c r="S21" i="19"/>
  <c r="S171" i="19"/>
  <c r="V71" i="19"/>
  <c r="P171" i="19"/>
  <c r="V221" i="19"/>
  <c r="S71" i="19"/>
  <c r="J71" i="19"/>
  <c r="M121" i="19"/>
  <c r="P121" i="19"/>
  <c r="P21" i="19"/>
  <c r="J171" i="19"/>
  <c r="M21" i="19"/>
  <c r="M171" i="19"/>
  <c r="P71" i="19"/>
  <c r="S221" i="19"/>
  <c r="J121" i="19"/>
  <c r="P221" i="19"/>
  <c r="M221" i="19"/>
  <c r="J221" i="19"/>
  <c r="M71" i="19"/>
  <c r="S218" i="19"/>
  <c r="V118" i="19"/>
  <c r="P218" i="19"/>
  <c r="S118" i="19"/>
  <c r="V18" i="19"/>
  <c r="P118" i="19"/>
  <c r="V168" i="19"/>
  <c r="S18" i="19"/>
  <c r="V218" i="19"/>
  <c r="S168" i="19"/>
  <c r="V68" i="19"/>
  <c r="P168" i="19"/>
  <c r="S68" i="19"/>
  <c r="M218" i="19"/>
  <c r="J218" i="19"/>
  <c r="J68" i="19"/>
  <c r="M118" i="19"/>
  <c r="J168" i="19"/>
  <c r="P18" i="19"/>
  <c r="M18" i="19"/>
  <c r="M168" i="19"/>
  <c r="P68" i="19"/>
  <c r="M68" i="19"/>
  <c r="J118" i="19"/>
  <c r="S130" i="19"/>
  <c r="V230" i="19"/>
  <c r="V30" i="19"/>
  <c r="P130" i="19"/>
  <c r="S30" i="19"/>
  <c r="S180" i="19"/>
  <c r="V180" i="19"/>
  <c r="V80" i="19"/>
  <c r="P180" i="19"/>
  <c r="S80" i="19"/>
  <c r="S230" i="19"/>
  <c r="M130" i="19"/>
  <c r="P80" i="19"/>
  <c r="P30" i="19"/>
  <c r="P230" i="19"/>
  <c r="M30" i="19"/>
  <c r="V130" i="19"/>
  <c r="M180" i="19"/>
  <c r="J130" i="19"/>
  <c r="M80" i="19"/>
  <c r="J80" i="19"/>
  <c r="J180" i="19"/>
  <c r="M230" i="19"/>
  <c r="J230" i="19"/>
  <c r="V175" i="19"/>
  <c r="S175" i="19"/>
  <c r="V75" i="19"/>
  <c r="P175" i="19"/>
  <c r="S75" i="19"/>
  <c r="S225" i="19"/>
  <c r="V225" i="19"/>
  <c r="V125" i="19"/>
  <c r="P225" i="19"/>
  <c r="S125" i="19"/>
  <c r="V25" i="19"/>
  <c r="P125" i="19"/>
  <c r="M175" i="19"/>
  <c r="M75" i="19"/>
  <c r="M225" i="19"/>
  <c r="J225" i="19"/>
  <c r="P75" i="19"/>
  <c r="J75" i="19"/>
  <c r="S25" i="19"/>
  <c r="M125" i="19"/>
  <c r="M25" i="19"/>
  <c r="P25" i="19"/>
  <c r="J125" i="19"/>
  <c r="J175" i="19"/>
  <c r="V214" i="19"/>
  <c r="V164" i="19"/>
  <c r="S14" i="19"/>
  <c r="S164" i="19"/>
  <c r="V64" i="19"/>
  <c r="S64" i="19"/>
  <c r="S214" i="19"/>
  <c r="P64" i="19"/>
  <c r="V114" i="19"/>
  <c r="P214" i="19"/>
  <c r="S114" i="19"/>
  <c r="M14" i="19"/>
  <c r="M164" i="19"/>
  <c r="J114" i="19"/>
  <c r="M64" i="19"/>
  <c r="P114" i="19"/>
  <c r="M214" i="19"/>
  <c r="J214" i="19"/>
  <c r="J64" i="19"/>
  <c r="J164" i="19"/>
  <c r="P14" i="19"/>
  <c r="M114" i="19"/>
  <c r="P164" i="19"/>
  <c r="V14" i="19"/>
  <c r="V245" i="19"/>
  <c r="V95" i="19"/>
  <c r="S95" i="19"/>
  <c r="S245" i="19"/>
  <c r="V145" i="19"/>
  <c r="P245" i="19"/>
  <c r="S145" i="19"/>
  <c r="V195" i="19"/>
  <c r="V45" i="19"/>
  <c r="P145" i="19"/>
  <c r="S45" i="19"/>
  <c r="J145" i="19"/>
  <c r="M95" i="19"/>
  <c r="S195" i="19"/>
  <c r="M245" i="19"/>
  <c r="J245" i="19"/>
  <c r="P95" i="19"/>
  <c r="J95" i="19"/>
  <c r="J45" i="19"/>
  <c r="M145" i="19"/>
  <c r="P45" i="19"/>
  <c r="J195" i="19"/>
  <c r="P195" i="19"/>
  <c r="M195" i="19"/>
  <c r="M45" i="19"/>
  <c r="V239" i="19"/>
  <c r="S39" i="19"/>
  <c r="S189" i="19"/>
  <c r="V89" i="19"/>
  <c r="S89" i="19"/>
  <c r="S239" i="19"/>
  <c r="P89" i="19"/>
  <c r="V189" i="19"/>
  <c r="V139" i="19"/>
  <c r="P239" i="19"/>
  <c r="S139" i="19"/>
  <c r="M39" i="19"/>
  <c r="M189" i="19"/>
  <c r="J139" i="19"/>
  <c r="M89" i="19"/>
  <c r="V39" i="19"/>
  <c r="P189" i="19"/>
  <c r="M239" i="19"/>
  <c r="J239" i="19"/>
  <c r="P139" i="19"/>
  <c r="J89" i="19"/>
  <c r="M139" i="19"/>
  <c r="J189" i="19"/>
  <c r="J39" i="19"/>
  <c r="P39" i="19"/>
  <c r="V217" i="19"/>
  <c r="S167" i="19"/>
  <c r="V67" i="19"/>
  <c r="P167" i="19"/>
  <c r="S67" i="19"/>
  <c r="S217" i="19"/>
  <c r="V117" i="19"/>
  <c r="P217" i="19"/>
  <c r="S117" i="19"/>
  <c r="V17" i="19"/>
  <c r="M167" i="19"/>
  <c r="V167" i="19"/>
  <c r="P67" i="19"/>
  <c r="M67" i="19"/>
  <c r="M217" i="19"/>
  <c r="J217" i="19"/>
  <c r="J67" i="19"/>
  <c r="P117" i="19"/>
  <c r="M117" i="19"/>
  <c r="J117" i="19"/>
  <c r="J167" i="19"/>
  <c r="M17" i="19"/>
  <c r="P17" i="19"/>
  <c r="S17" i="19"/>
  <c r="V219" i="19"/>
  <c r="V19" i="19"/>
  <c r="V169" i="19"/>
  <c r="S19" i="19"/>
  <c r="S169" i="19"/>
  <c r="V69" i="19"/>
  <c r="P169" i="19"/>
  <c r="S69" i="19"/>
  <c r="S219" i="19"/>
  <c r="V119" i="19"/>
  <c r="P219" i="19"/>
  <c r="P119" i="19"/>
  <c r="P19" i="19"/>
  <c r="J169" i="19"/>
  <c r="M19" i="19"/>
  <c r="S119" i="19"/>
  <c r="M169" i="19"/>
  <c r="J119" i="19"/>
  <c r="P69" i="19"/>
  <c r="M69" i="19"/>
  <c r="M219" i="19"/>
  <c r="J219" i="19"/>
  <c r="J69" i="19"/>
  <c r="M119" i="19"/>
  <c r="V237" i="19"/>
  <c r="S87" i="19"/>
  <c r="S237" i="19"/>
  <c r="P87" i="19"/>
  <c r="V187" i="19"/>
  <c r="V137" i="19"/>
  <c r="P237" i="19"/>
  <c r="S137" i="19"/>
  <c r="V37" i="19"/>
  <c r="P137" i="19"/>
  <c r="S37" i="19"/>
  <c r="S187" i="19"/>
  <c r="M87" i="19"/>
  <c r="P187" i="19"/>
  <c r="M237" i="19"/>
  <c r="J87" i="19"/>
  <c r="V87" i="19"/>
  <c r="M137" i="19"/>
  <c r="P37" i="19"/>
  <c r="J187" i="19"/>
  <c r="M37" i="19"/>
  <c r="M187" i="19"/>
  <c r="J137" i="19"/>
  <c r="J237" i="19"/>
  <c r="V232" i="19"/>
  <c r="V182" i="19"/>
  <c r="S232" i="19"/>
  <c r="V132" i="19"/>
  <c r="P232" i="19"/>
  <c r="S132" i="19"/>
  <c r="V32" i="19"/>
  <c r="P132" i="19"/>
  <c r="S32" i="19"/>
  <c r="S182" i="19"/>
  <c r="V82" i="19"/>
  <c r="P182" i="19"/>
  <c r="M232" i="19"/>
  <c r="J232" i="19"/>
  <c r="J82" i="19"/>
  <c r="M132" i="19"/>
  <c r="P32" i="19"/>
  <c r="J182" i="19"/>
  <c r="P82" i="19"/>
  <c r="M32" i="19"/>
  <c r="M182" i="19"/>
  <c r="S82" i="19"/>
  <c r="J132" i="19"/>
  <c r="M82" i="19"/>
  <c r="V220" i="19"/>
  <c r="V70" i="19"/>
  <c r="S70" i="19"/>
  <c r="S220" i="19"/>
  <c r="V120" i="19"/>
  <c r="P220" i="19"/>
  <c r="S120" i="19"/>
  <c r="V20" i="19"/>
  <c r="V170" i="19"/>
  <c r="S20" i="19"/>
  <c r="J120" i="19"/>
  <c r="M70" i="19"/>
  <c r="P170" i="19"/>
  <c r="P70" i="19"/>
  <c r="M220" i="19"/>
  <c r="J220" i="19"/>
  <c r="J70" i="19"/>
  <c r="S170" i="19"/>
  <c r="M120" i="19"/>
  <c r="P120" i="19"/>
  <c r="P20" i="19"/>
  <c r="J170" i="19"/>
  <c r="M20" i="19"/>
  <c r="M170" i="19"/>
  <c r="V234" i="19"/>
  <c r="V84" i="19"/>
  <c r="S84" i="19"/>
  <c r="V184" i="19"/>
  <c r="S234" i="19"/>
  <c r="V134" i="19"/>
  <c r="P234" i="19"/>
  <c r="S134" i="19"/>
  <c r="V34" i="19"/>
  <c r="S34" i="19"/>
  <c r="J134" i="19"/>
  <c r="S184" i="19"/>
  <c r="P184" i="19"/>
  <c r="M84" i="19"/>
  <c r="M234" i="19"/>
  <c r="J234" i="19"/>
  <c r="P134" i="19"/>
  <c r="J84" i="19"/>
  <c r="M134" i="19"/>
  <c r="P84" i="19"/>
  <c r="P34" i="19"/>
  <c r="J184" i="19"/>
  <c r="M184" i="19"/>
  <c r="M34" i="19"/>
  <c r="S116" i="19"/>
  <c r="V16" i="19"/>
  <c r="P116" i="19"/>
  <c r="V166" i="19"/>
  <c r="S16" i="19"/>
  <c r="V216" i="19"/>
  <c r="S166" i="19"/>
  <c r="V66" i="19"/>
  <c r="P166" i="19"/>
  <c r="S66" i="19"/>
  <c r="S216" i="19"/>
  <c r="V116" i="19"/>
  <c r="M116" i="19"/>
  <c r="P216" i="19"/>
  <c r="P16" i="19"/>
  <c r="M16" i="19"/>
  <c r="M166" i="19"/>
  <c r="J116" i="19"/>
  <c r="P66" i="19"/>
  <c r="M66" i="19"/>
  <c r="M216" i="19"/>
  <c r="J166" i="19"/>
  <c r="J216" i="19"/>
  <c r="J66" i="19"/>
  <c r="V228" i="19"/>
  <c r="S28" i="19"/>
  <c r="S178" i="19"/>
  <c r="V178" i="19"/>
  <c r="V78" i="19"/>
  <c r="S78" i="19"/>
  <c r="S228" i="19"/>
  <c r="P78" i="19"/>
  <c r="V128" i="19"/>
  <c r="P228" i="19"/>
  <c r="S128" i="19"/>
  <c r="M28" i="19"/>
  <c r="P128" i="19"/>
  <c r="M178" i="19"/>
  <c r="V28" i="19"/>
  <c r="J128" i="19"/>
  <c r="M78" i="19"/>
  <c r="M228" i="19"/>
  <c r="J228" i="19"/>
  <c r="J78" i="19"/>
  <c r="J178" i="19"/>
  <c r="M128" i="19"/>
  <c r="P178" i="19"/>
  <c r="P28" i="19"/>
  <c r="S124" i="19"/>
  <c r="V24" i="19"/>
  <c r="P124" i="19"/>
  <c r="S24" i="19"/>
  <c r="V174" i="19"/>
  <c r="S174" i="19"/>
  <c r="V74" i="19"/>
  <c r="P174" i="19"/>
  <c r="S74" i="19"/>
  <c r="S224" i="19"/>
  <c r="V224" i="19"/>
  <c r="V124" i="19"/>
  <c r="M124" i="19"/>
  <c r="P24" i="19"/>
  <c r="M24" i="19"/>
  <c r="M174" i="19"/>
  <c r="J124" i="19"/>
  <c r="M74" i="19"/>
  <c r="P224" i="19"/>
  <c r="M224" i="19"/>
  <c r="J174" i="19"/>
  <c r="J224" i="19"/>
  <c r="P74" i="19"/>
  <c r="J74" i="19"/>
  <c r="V194" i="19"/>
  <c r="V244" i="19"/>
  <c r="V44" i="19"/>
  <c r="S44" i="19"/>
  <c r="S194" i="19"/>
  <c r="V94" i="19"/>
  <c r="P194" i="19"/>
  <c r="S94" i="19"/>
  <c r="S244" i="19"/>
  <c r="V144" i="19"/>
  <c r="P244" i="19"/>
  <c r="P44" i="19"/>
  <c r="J194" i="19"/>
  <c r="S144" i="19"/>
  <c r="M44" i="19"/>
  <c r="M194" i="19"/>
  <c r="P94" i="19"/>
  <c r="P144" i="19"/>
  <c r="J144" i="19"/>
  <c r="M94" i="19"/>
  <c r="J44" i="19"/>
  <c r="M244" i="19"/>
  <c r="J244" i="19"/>
  <c r="J94" i="19"/>
  <c r="M144" i="19"/>
  <c r="V222" i="19"/>
  <c r="S22" i="19"/>
  <c r="V172" i="19"/>
  <c r="S172" i="19"/>
  <c r="V72" i="19"/>
  <c r="S72" i="19"/>
  <c r="S222" i="19"/>
  <c r="P72" i="19"/>
  <c r="V122" i="19"/>
  <c r="P222" i="19"/>
  <c r="S122" i="19"/>
  <c r="M22" i="19"/>
  <c r="M172" i="19"/>
  <c r="J122" i="19"/>
  <c r="M72" i="19"/>
  <c r="P172" i="19"/>
  <c r="M222" i="19"/>
  <c r="J222" i="19"/>
  <c r="V22" i="19"/>
  <c r="J72" i="19"/>
  <c r="M122" i="19"/>
  <c r="P22" i="19"/>
  <c r="P122" i="19"/>
  <c r="J172" i="19"/>
  <c r="V229" i="19"/>
  <c r="S79" i="19"/>
  <c r="S229" i="19"/>
  <c r="P79" i="19"/>
  <c r="V129" i="19"/>
  <c r="P229" i="19"/>
  <c r="S129" i="19"/>
  <c r="V29" i="19"/>
  <c r="P129" i="19"/>
  <c r="S29" i="19"/>
  <c r="S179" i="19"/>
  <c r="M79" i="19"/>
  <c r="V179" i="19"/>
  <c r="M229" i="19"/>
  <c r="J79" i="19"/>
  <c r="V79" i="19"/>
  <c r="M129" i="19"/>
  <c r="P179" i="19"/>
  <c r="P29" i="19"/>
  <c r="J179" i="19"/>
  <c r="M29" i="19"/>
  <c r="M179" i="19"/>
  <c r="J229" i="19"/>
  <c r="J129" i="19"/>
  <c r="S65" i="19"/>
  <c r="S215" i="19"/>
  <c r="V115" i="19"/>
  <c r="P215" i="19"/>
  <c r="S115" i="19"/>
  <c r="V15" i="19"/>
  <c r="P115" i="19"/>
  <c r="V165" i="19"/>
  <c r="S15" i="19"/>
  <c r="V215" i="19"/>
  <c r="S165" i="19"/>
  <c r="V65" i="19"/>
  <c r="P65" i="19"/>
  <c r="M65" i="19"/>
  <c r="M215" i="19"/>
  <c r="J65" i="19"/>
  <c r="M115" i="19"/>
  <c r="P165" i="19"/>
  <c r="P15" i="19"/>
  <c r="J165" i="19"/>
  <c r="M15" i="19"/>
  <c r="J215" i="19"/>
  <c r="M165" i="19"/>
  <c r="J115"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5" i="1"/>
  <c r="AE82" i="1"/>
  <c r="AE84" i="1"/>
  <c r="AD84" i="1" s="1"/>
  <c r="AF130" i="1"/>
  <c r="AF136" i="1"/>
  <c r="AF133" i="1"/>
  <c r="AF139" i="1"/>
  <c r="AF34" i="1"/>
  <c r="AF58" i="1"/>
  <c r="AF109" i="1"/>
  <c r="AE15" i="1"/>
  <c r="AD15" i="1" s="1"/>
  <c r="AE14" i="1"/>
  <c r="AD14" i="1" s="1"/>
  <c r="AE13" i="1"/>
  <c r="AD13" i="1" s="1"/>
  <c r="AF25" i="1"/>
  <c r="AF31" i="1"/>
  <c r="AF37" i="1"/>
  <c r="AF94" i="1"/>
  <c r="AF67" i="1"/>
  <c r="AF61" i="1"/>
  <c r="AF112" i="1"/>
  <c r="AF28" i="1"/>
  <c r="AF106" i="1"/>
  <c r="AF121" i="1"/>
  <c r="AF52" i="1"/>
  <c r="AF43" i="1"/>
  <c r="AF19" i="1"/>
  <c r="AF88" i="1"/>
  <c r="AF79" i="1"/>
  <c r="AE12" i="1"/>
  <c r="AD12" i="1" s="1"/>
  <c r="AE11" i="1"/>
  <c r="AD11" i="1" s="1"/>
  <c r="AE10" i="1"/>
  <c r="AD10" i="1" s="1"/>
  <c r="AF40" i="1"/>
  <c r="AF16" i="1"/>
  <c r="AF124" i="1"/>
  <c r="AF127" i="1"/>
  <c r="AF100" i="1"/>
  <c r="AF64" i="1"/>
  <c r="AF76" i="1"/>
  <c r="AF115" i="1"/>
  <c r="AF73" i="1"/>
  <c r="AF46" i="1"/>
  <c r="AF91" i="1"/>
  <c r="AF118" i="1"/>
  <c r="AF49" i="1"/>
  <c r="W10" i="1"/>
  <c r="AA10" i="1" s="1"/>
  <c r="AA11" i="1" s="1"/>
  <c r="W13" i="1"/>
  <c r="AA13" i="1" s="1"/>
  <c r="AA14" i="1" s="1"/>
  <c r="X231" i="19" l="1"/>
  <c r="U81" i="19"/>
  <c r="U231" i="19"/>
  <c r="R81" i="19"/>
  <c r="X131" i="19"/>
  <c r="R231" i="19"/>
  <c r="U131" i="19"/>
  <c r="X31" i="19"/>
  <c r="R131" i="19"/>
  <c r="U31" i="19"/>
  <c r="U181" i="19"/>
  <c r="O81" i="19"/>
  <c r="O231" i="19"/>
  <c r="L81" i="19"/>
  <c r="O131" i="19"/>
  <c r="X181" i="19"/>
  <c r="R31" i="19"/>
  <c r="L181" i="19"/>
  <c r="X81" i="19"/>
  <c r="O31" i="19"/>
  <c r="R181" i="19"/>
  <c r="L131" i="19"/>
  <c r="L231" i="19"/>
  <c r="O181" i="19"/>
  <c r="L31" i="19"/>
  <c r="AA15" i="1"/>
  <c r="AC14" i="1"/>
  <c r="AB14" i="1"/>
  <c r="W208" i="19" s="1"/>
  <c r="AA12" i="1"/>
  <c r="AB11" i="1"/>
  <c r="W207" i="19" s="1"/>
  <c r="AC11" i="1"/>
  <c r="AF84" i="1"/>
  <c r="AD82" i="1"/>
  <c r="AE83" i="1"/>
  <c r="AD83" i="1" s="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W231" i="19"/>
  <c r="W181" i="19"/>
  <c r="W81" i="19"/>
  <c r="T81" i="19"/>
  <c r="T231" i="19"/>
  <c r="W131" i="19"/>
  <c r="Q231" i="19"/>
  <c r="T131" i="19"/>
  <c r="W31" i="19"/>
  <c r="T31" i="19"/>
  <c r="K131" i="19"/>
  <c r="Q131" i="19"/>
  <c r="N81" i="19"/>
  <c r="N231" i="19"/>
  <c r="K231" i="19"/>
  <c r="K81" i="19"/>
  <c r="N131" i="19"/>
  <c r="Q81" i="19"/>
  <c r="Q31" i="19"/>
  <c r="K181" i="19"/>
  <c r="T181" i="19"/>
  <c r="Q181" i="19"/>
  <c r="N31" i="19"/>
  <c r="N181" i="19"/>
  <c r="S181" i="19"/>
  <c r="V181" i="19"/>
  <c r="V81" i="19"/>
  <c r="P181" i="19"/>
  <c r="S81" i="19"/>
  <c r="S231" i="19"/>
  <c r="V131" i="19"/>
  <c r="P231" i="19"/>
  <c r="S131" i="19"/>
  <c r="V231" i="19"/>
  <c r="V31" i="19"/>
  <c r="M181" i="19"/>
  <c r="J131" i="19"/>
  <c r="S31" i="19"/>
  <c r="P131" i="19"/>
  <c r="M81" i="19"/>
  <c r="M231" i="19"/>
  <c r="J231" i="19"/>
  <c r="J81" i="19"/>
  <c r="P81" i="19"/>
  <c r="M131" i="19"/>
  <c r="J181" i="19"/>
  <c r="P31" i="19"/>
  <c r="M31" i="19"/>
  <c r="K31" i="19"/>
  <c r="K7" i="19"/>
  <c r="K8" i="19"/>
  <c r="J31" i="19"/>
  <c r="AF14" i="1"/>
  <c r="AF11" i="1"/>
  <c r="AF82" i="1"/>
  <c r="AC15" i="1"/>
  <c r="AB15" i="1"/>
  <c r="AB12" i="1"/>
  <c r="AC12" i="1"/>
  <c r="AF83"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S57" i="19" l="1"/>
  <c r="S7" i="19"/>
  <c r="P7" i="19"/>
  <c r="P157" i="19"/>
  <c r="V207" i="19"/>
  <c r="S157" i="19"/>
  <c r="J157" i="19"/>
  <c r="S207" i="19"/>
  <c r="M57" i="19"/>
  <c r="V57" i="19"/>
  <c r="P57" i="19"/>
  <c r="V107" i="19"/>
  <c r="M207" i="19"/>
  <c r="M7" i="19"/>
  <c r="P107" i="19"/>
  <c r="J107" i="19"/>
  <c r="S107" i="19"/>
  <c r="J57" i="19"/>
  <c r="J207" i="19"/>
  <c r="V157" i="19"/>
  <c r="V7" i="19"/>
  <c r="P207" i="19"/>
  <c r="M157" i="19"/>
  <c r="M107" i="19"/>
  <c r="J7" i="19"/>
  <c r="AF10" i="1"/>
  <c r="AC10" i="1"/>
  <c r="AB13" i="1" s="1"/>
  <c r="S108" i="19" l="1"/>
  <c r="S58" i="19"/>
  <c r="P58" i="19"/>
  <c r="V58" i="19"/>
  <c r="V8" i="19"/>
  <c r="V208" i="19"/>
  <c r="J108" i="19"/>
  <c r="J208" i="19"/>
  <c r="P108" i="19"/>
  <c r="S208" i="19"/>
  <c r="M58" i="19"/>
  <c r="V158" i="19"/>
  <c r="M108" i="19"/>
  <c r="J58" i="19"/>
  <c r="P208" i="19"/>
  <c r="M8" i="19"/>
  <c r="J158" i="19"/>
  <c r="M158" i="19"/>
  <c r="S8" i="19"/>
  <c r="V108" i="19"/>
  <c r="S158" i="19"/>
  <c r="P8" i="19"/>
  <c r="M208" i="19"/>
  <c r="P158" i="19"/>
  <c r="J8" i="19"/>
  <c r="AF13" i="1"/>
  <c r="AC13" i="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N7" i="1"/>
  <c r="O7" i="1" s="1"/>
  <c r="AX66" i="18" l="1"/>
  <c r="AN6" i="18"/>
  <c r="AN46" i="18"/>
  <c r="AX46" i="18"/>
  <c r="AD86" i="18"/>
  <c r="T66" i="18"/>
  <c r="AN26" i="18"/>
  <c r="AX86" i="18"/>
  <c r="AD66" i="18"/>
  <c r="AD46" i="18"/>
  <c r="AD26" i="18"/>
  <c r="T46" i="18"/>
  <c r="AX6" i="18"/>
  <c r="AN86" i="18"/>
  <c r="AN66" i="18"/>
  <c r="AD6" i="18"/>
  <c r="J46" i="18"/>
  <c r="J26" i="18"/>
  <c r="AX26" i="18"/>
  <c r="T86" i="18"/>
  <c r="J66" i="18"/>
  <c r="T6" i="18"/>
  <c r="T26" i="18"/>
  <c r="J86" i="18"/>
  <c r="J6" i="18"/>
  <c r="AE55" i="1"/>
  <c r="AD55" i="1" s="1"/>
  <c r="AE97" i="1"/>
  <c r="AD97" i="1" s="1"/>
  <c r="AE22" i="1"/>
  <c r="AD22" i="1" s="1"/>
  <c r="P7" i="1"/>
  <c r="Q7" i="1"/>
  <c r="V212" i="19" l="1"/>
  <c r="V62" i="19"/>
  <c r="S62" i="19"/>
  <c r="S212" i="19"/>
  <c r="V112" i="19"/>
  <c r="P212" i="19"/>
  <c r="S112" i="19"/>
  <c r="V12" i="19"/>
  <c r="V162" i="19"/>
  <c r="S12" i="19"/>
  <c r="P62" i="19"/>
  <c r="J112" i="19"/>
  <c r="M62" i="19"/>
  <c r="P112" i="19"/>
  <c r="M212" i="19"/>
  <c r="J212" i="19"/>
  <c r="J62" i="19"/>
  <c r="P162" i="19"/>
  <c r="M112" i="19"/>
  <c r="S162" i="19"/>
  <c r="P12" i="19"/>
  <c r="J162" i="19"/>
  <c r="M162" i="19"/>
  <c r="M12" i="19"/>
  <c r="V236" i="19"/>
  <c r="S36" i="19"/>
  <c r="S186" i="19"/>
  <c r="V86" i="19"/>
  <c r="S86" i="19"/>
  <c r="S236" i="19"/>
  <c r="P86" i="19"/>
  <c r="V186" i="19"/>
  <c r="V136" i="19"/>
  <c r="P236" i="19"/>
  <c r="S136" i="19"/>
  <c r="M36" i="19"/>
  <c r="M186" i="19"/>
  <c r="J136" i="19"/>
  <c r="V36" i="19"/>
  <c r="M86" i="19"/>
  <c r="P186" i="19"/>
  <c r="M236" i="19"/>
  <c r="J236" i="19"/>
  <c r="P136" i="19"/>
  <c r="J86" i="19"/>
  <c r="M136" i="19"/>
  <c r="J186" i="19"/>
  <c r="P36" i="19"/>
  <c r="V223" i="19"/>
  <c r="S73" i="19"/>
  <c r="S223" i="19"/>
  <c r="P73" i="19"/>
  <c r="V123" i="19"/>
  <c r="P223" i="19"/>
  <c r="S123" i="19"/>
  <c r="V23" i="19"/>
  <c r="P123" i="19"/>
  <c r="S23" i="19"/>
  <c r="V173" i="19"/>
  <c r="S173" i="19"/>
  <c r="M73" i="19"/>
  <c r="P173" i="19"/>
  <c r="M223" i="19"/>
  <c r="J73" i="19"/>
  <c r="M123" i="19"/>
  <c r="P23" i="19"/>
  <c r="J173" i="19"/>
  <c r="M23" i="19"/>
  <c r="M173" i="19"/>
  <c r="J123" i="19"/>
  <c r="V73" i="19"/>
  <c r="J223" i="19"/>
  <c r="J12" i="19"/>
  <c r="J36" i="19"/>
  <c r="J23" i="19"/>
  <c r="AF97" i="1"/>
  <c r="AF22" i="1"/>
  <c r="AF55" i="1"/>
  <c r="AE7" i="1"/>
  <c r="AD7" i="1" s="1"/>
  <c r="AE9" i="1"/>
  <c r="AD9" i="1" s="1"/>
  <c r="AE8" i="1"/>
  <c r="AD8" i="1" s="1"/>
  <c r="V206" i="19" l="1"/>
  <c r="V156" i="19"/>
  <c r="S6" i="19"/>
  <c r="S156" i="19"/>
  <c r="V56" i="19"/>
  <c r="S56" i="19"/>
  <c r="S206" i="19"/>
  <c r="V106" i="19"/>
  <c r="P206" i="19"/>
  <c r="S106" i="19"/>
  <c r="P106" i="19"/>
  <c r="M6" i="19"/>
  <c r="M156" i="19"/>
  <c r="P56" i="19"/>
  <c r="J106" i="19"/>
  <c r="P156" i="19"/>
  <c r="V6" i="19"/>
  <c r="M56" i="19"/>
  <c r="M206" i="19"/>
  <c r="J206" i="19"/>
  <c r="J56" i="19"/>
  <c r="J156" i="19"/>
  <c r="P6" i="19"/>
  <c r="M106" i="19"/>
  <c r="X206" i="19"/>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J6" i="19"/>
  <c r="AF9" i="1"/>
  <c r="AF8" i="1"/>
  <c r="AF7" i="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<sst xmlns="http://schemas.openxmlformats.org/spreadsheetml/2006/main" count="1540" uniqueCount="605">
  <si>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</si>
  <si>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</si>
  <si>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</si>
  <si>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</si>
  <si>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</si>
  <si>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</si>
  <si>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</si>
  <si>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</si>
  <si>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</si>
  <si>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</si>
  <si>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</si>
  <si>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</si>
  <si>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</si>
  <si>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</si>
  <si>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</si>
  <si>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</si>
  <si>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</si>
  <si>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</si>
  <si>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</si>
  <si>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</si>
  <si>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</si>
  <si>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</si>
  <si>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</si>
  <si>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</si>
  <si>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</si>
  <si>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</si>
  <si>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</si>
  <si>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</si>
  <si>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</si>
  <si>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</si>
  <si>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</si>
  <si>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</si>
  <si>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</si>
  <si>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</si>
  <si>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</si>
  <si>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</si>
  <si>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</si>
  <si>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</si>
  <si>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</si>
  <si>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</si>
  <si>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</si>
  <si>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</si>
  <si>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</si>
  <si>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</si>
  <si>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</si>
  <si>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</si>
  <si>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</si>
  <si>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</si>
  <si>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</si>
  <si>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</si>
  <si>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</si>
  <si>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</si>
  <si>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</si>
  <si>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</si>
  <si>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</si>
  <si>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</si>
  <si>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</si>
  <si>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</si>
  <si>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</si>
  <si>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</si>
  <si>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</si>
  <si>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</si>
  <si>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</si>
  <si>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</si>
  <si>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</si>
  <si>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</si>
  <si>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</si>
  <si>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</si>
  <si>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</si>
  <si>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</si>
  <si>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</si>
  <si>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</si>
  <si>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</si>
  <si>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</si>
  <si>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</si>
  <si>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</si>
  <si>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</si>
  <si>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</si>
  <si>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</si>
  <si>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</si>
  <si>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</si>
  <si>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</si>
  <si>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</si>
  <si>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</si>
  <si>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</si>
  <si>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</si>
  <si>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</si>
  <si>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</si>
  <si>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</si>
  <si>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</si>
  <si>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</si>
  <si>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</si>
  <si>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</si>
  <si>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</si>
  <si>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</si>
  <si>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</si>
  <si>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</si>
  <si>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</si>
  <si>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</si>
  <si>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</si>
  <si>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</si>
  <si>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</si>
  <si>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</si>
  <si>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</si>
  <si>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</si>
  <si>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</si>
  <si>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</si>
  <si>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</si>
  <si>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</si>
  <si>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</si>
  <si>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</si>
  <si>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</si>
  <si>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</si>
  <si>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</si>
  <si>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</si>
  <si>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</si>
  <si>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</si>
  <si>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</si>
  <si>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</si>
  <si>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</si>
  <si>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</si>
  <si>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</si>
  <si>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</si>
  <si>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</si>
  <si>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</si>
  <si>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</si>
  <si>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</si>
  <si>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</si>
  <si>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</si>
  <si>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</si>
  <si>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</si>
  <si>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</si>
  <si>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</si>
  <si>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</si>
  <si>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</si>
  <si>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</si>
  <si>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</si>
  <si>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</si>
  <si>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</si>
  <si>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</si>
  <si>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</si>
  <si>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</si>
  <si>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</si>
  <si>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</si>
  <si>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</si>
  <si>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</si>
  <si>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</si>
  <si>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</si>
  <si>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</si>
  <si>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</si>
  <si>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</si>
  <si>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</si>
  <si>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</si>
  <si>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</si>
  <si>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</si>
  <si>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</si>
  <si>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</si>
  <si>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</si>
  <si>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</si>
  <si>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</si>
  <si>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</si>
  <si>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</si>
  <si>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</si>
  <si>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</si>
  <si>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</si>
  <si>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</si>
  <si>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</si>
  <si>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</si>
  <si>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</si>
  <si>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</si>
  <si>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</si>
  <si>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</si>
  <si>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</si>
  <si>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</si>
  <si>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</si>
  <si>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</si>
  <si>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</si>
  <si>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</si>
  <si>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</si>
  <si>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</si>
  <si>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</si>
  <si>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</si>
  <si>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</si>
  <si>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</si>
  <si>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</si>
  <si>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</si>
  <si>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</si>
  <si>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</si>
  <si>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</si>
  <si>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</si>
  <si>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</si>
  <si>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</si>
  <si>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</si>
  <si>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</si>
  <si>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</si>
  <si>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</si>
  <si>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</si>
  <si>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</si>
  <si>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</si>
  <si>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</si>
  <si>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</si>
  <si>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</si>
  <si>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</si>
  <si>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</si>
  <si>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</si>
  <si>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</si>
  <si>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</si>
  <si>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</si>
  <si>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</si>
  <si>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</si>
  <si>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</si>
  <si>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</si>
  <si>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</si>
  <si>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</si>
  <si>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</si>
  <si>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</si>
  <si>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</si>
  <si>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</si>
  <si>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</si>
  <si>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</si>
  <si>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</si>
  <si>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</si>
  <si>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</si>
  <si>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</si>
  <si>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</si>
  <si>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</si>
  <si>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</si>
  <si>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</si>
  <si>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</si>
  <si>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</si>
  <si>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</si>
  <si>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</si>
  <si>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</si>
  <si>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</si>
  <si>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</si>
  <si>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</si>
  <si>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</si>
  <si>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</si>
  <si>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</si>
  <si>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</si>
  <si>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</si>
  <si>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</si>
  <si>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</si>
  <si>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</si>
  <si>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</si>
  <si>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</si>
  <si>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</si>
  <si>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</si>
  <si>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</si>
  <si>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</si>
  <si>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</si>
  <si>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</si>
  <si>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</si>
  <si>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</si>
  <si>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</si>
  <si>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</si>
  <si>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</si>
  <si>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</si>
  <si>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</si>
  <si>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</si>
  <si>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</si>
  <si>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</si>
  <si>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</si>
  <si>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</si>
  <si>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</si>
  <si>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</si>
  <si>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</si>
  <si>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</si>
  <si>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</si>
  <si>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</si>
  <si>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</si>
  <si>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</si>
  <si>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</si>
  <si>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</si>
  <si>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</si>
  <si>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</si>
  <si>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</si>
  <si>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</si>
  <si>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</si>
  <si>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</si>
  <si>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</si>
  <si>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</si>
  <si>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</si>
  <si>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</si>
  <si>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</si>
  <si>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</si>
  <si>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</si>
  <si>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</si>
  <si>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</si>
  <si>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</si>
  <si>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 xml:space="preserve">Informar en los tiempos establecidos a los colaboradores que tienen prestamos a su nombre, con el fin de solicitar la devolución o actualización de ser necesario. </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</si>
  <si>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</si>
  <si>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</si>
  <si>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</si>
  <si>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</si>
  <si>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</si>
  <si>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</si>
  <si>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</si>
  <si>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</si>
  <si>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</si>
  <si>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</si>
  <si>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</si>
  <si>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</si>
  <si>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</si>
  <si>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</si>
  <si>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</si>
  <si>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</si>
  <si>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</si>
  <si>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</si>
  <si>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</si>
  <si>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</si>
  <si>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</si>
  <si>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</si>
  <si>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Cuatrimestral</t>
  </si>
  <si>
    <t>Reinducción del manejo del sistema Bogotá te escucha.</t>
  </si>
  <si>
    <t>Demanda</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</si>
  <si>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</si>
  <si>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</si>
  <si>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</si>
  <si>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</si>
  <si>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</si>
  <si>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</si>
  <si>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</si>
  <si>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</si>
  <si>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</si>
  <si>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</si>
  <si>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</si>
  <si>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</si>
  <si>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</si>
  <si>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</si>
  <si>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</si>
  <si>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</si>
  <si>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</si>
  <si>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</si>
  <si>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</si>
  <si>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</si>
  <si>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</si>
  <si>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</si>
  <si>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</si>
  <si>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El auxiliar administrativo de atención al ciudadano realiza el seguimiento trimestral de la oportunidad y la calidad en las repuestas de las PQRS este seguimiento se realiza tomando una muestra del total de las PQRS recibidas en el trimestre ,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</si>
  <si>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</si>
  <si>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</si>
  <si>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</si>
  <si>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</si>
  <si>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</si>
  <si>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</si>
  <si>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</si>
  <si>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</si>
  <si>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</si>
  <si>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</si>
  <si>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</si>
  <si>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</si>
  <si>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</si>
  <si>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</si>
  <si>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</si>
  <si>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</si>
  <si>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</si>
  <si>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</si>
  <si>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</si>
  <si>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</si>
  <si>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</si>
  <si>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</si>
  <si>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</si>
  <si>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</si>
  <si>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</si>
  <si>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</si>
  <si>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</si>
  <si>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</si>
  <si>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</si>
  <si>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</si>
  <si>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</si>
  <si>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</si>
  <si>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</si>
  <si>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</si>
  <si>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</si>
  <si>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</si>
  <si>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</si>
  <si>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</si>
  <si>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</si>
  <si>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</si>
  <si>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</si>
  <si>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</si>
  <si>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</si>
  <si>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</si>
  <si>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</si>
  <si>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</si>
  <si>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</si>
  <si>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</si>
  <si>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</si>
  <si>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</si>
  <si>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</si>
  <si>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</si>
  <si>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</si>
  <si>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</si>
  <si>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</si>
  <si>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</si>
  <si>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</si>
  <si>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</si>
  <si>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</si>
  <si>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</si>
  <si>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</si>
  <si>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</si>
  <si>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</si>
  <si>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</si>
  <si>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</si>
  <si>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El técnico del Centro Administrativo Documental - CAD, realiza la actualización diaria del Inventario Único Documental, identificando de manera exacta el contenido (cantidad de unidades de conservación y folios).</t>
  </si>
  <si>
    <t>Verificar el adecuado diligenciamiento y actualización de los inventarios documentales.</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</si>
  <si>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</si>
  <si>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</si>
  <si>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</si>
  <si>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</si>
  <si>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</si>
  <si>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</si>
  <si>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</si>
  <si>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</si>
  <si>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</si>
  <si>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</si>
  <si>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</si>
  <si>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</si>
  <si>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</si>
  <si>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El Gestor Senior 1 de atención al ciudadano cada vez que ingresa un colaborador genera la inducción en las temáticas de Atención al ciudadano, resultado de esta reunión quedan las grabaciones y las listas de asistencia.</t>
  </si>
  <si>
    <t>Posibilidad de afectación reputacional por un alcance inadecuado en la respuesta al peticionario debido a falta de información o entrega de ésta.</t>
  </si>
  <si>
    <t>Documentar el control en el Procedimiento PD-29 Peticiones, Quejas, Reclamos y Soluciones.</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</si>
  <si>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</si>
  <si>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</si>
  <si>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</si>
  <si>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</si>
  <si>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</si>
  <si>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</si>
  <si>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</si>
  <si>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</si>
  <si>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</si>
  <si>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</si>
  <si>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</si>
  <si>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</si>
  <si>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</si>
  <si>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</si>
  <si>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</si>
  <si>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</si>
  <si>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</si>
  <si>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</si>
  <si>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</si>
  <si>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</si>
  <si>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</si>
  <si>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</si>
  <si>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</si>
  <si>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</si>
  <si>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</si>
  <si>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</si>
  <si>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</si>
  <si>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</si>
  <si>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</si>
  <si>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</si>
  <si>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</si>
  <si>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</si>
  <si>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</si>
  <si>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</si>
  <si>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</si>
  <si>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Generación de alertas inoportunas.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</si>
  <si>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</si>
  <si>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</si>
  <si>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</si>
  <si>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</si>
  <si>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</si>
  <si>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</si>
  <si>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</si>
  <si>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</si>
  <si>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</si>
  <si>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</si>
  <si>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</si>
  <si>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</si>
  <si>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</si>
  <si>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 xml:space="preserve">El abogado una vez se genera cualquier actuación judicial debe actualizar el Sistema de Información de Procesos Judiciales SIPROJ, adjuntando la respectiva actuación. En caso de encontrar desviaciones se informará a los entes de control internos y externos. </t>
  </si>
  <si>
    <t>Elaborar actas de seguimiento a los procesos judiciales donde se plasme la estrategia del abogado y las demás recomendaciones de sus compañeros.</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</si>
  <si>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</si>
  <si>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</si>
  <si>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</si>
  <si>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</si>
  <si>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</si>
  <si>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</si>
  <si>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</si>
  <si>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</si>
  <si>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</si>
  <si>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</si>
  <si>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</si>
  <si>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</si>
  <si>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</si>
  <si>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</si>
  <si>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Debilidad en la capacitación en materia de Atención al Ciudadano.</t>
  </si>
  <si>
    <t>Alcance inadecuado en la respuesta al peticionario.</t>
  </si>
  <si>
    <t>Falta de información o entrega de ésta.</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</si>
  <si>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</si>
  <si>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</si>
  <si>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</si>
  <si>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</si>
  <si>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</si>
  <si>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</si>
  <si>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</si>
  <si>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Generar capacitaciones sobre temáticas de atención al ciudadano.</t>
  </si>
  <si>
    <t>Posibilidad de afectación reputacional por debilidad en la capacitación en materia de Atención al Ciudadano debido a falta de conocimiento frente a la norma, la política y al manejo de las PQRS.</t>
  </si>
  <si>
    <t>Falta de conocimiento frente a la norma, la política y al manejo de las PQRS.</t>
  </si>
  <si>
    <t>Hacer la retroalimentación respectiva al colaborador que falló en la atención, de acuerdo con la queja o reclamo recibida.</t>
  </si>
  <si>
    <t>Sensibilizar a la alta dirección sobre la importancia de que los colaboradores participen en los eventos.</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</si>
  <si>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ESCUCHA).
En los casos que corresponda se emite un memorando a la dependencia en la que se presenta la situación con copia a Oficina de Control Interno reportando el hecho.</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</si>
  <si>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</si>
  <si>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</si>
  <si>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</si>
  <si>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</si>
  <si>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</si>
  <si>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</si>
  <si>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</si>
  <si>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</si>
  <si>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</si>
  <si>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</si>
  <si>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</si>
  <si>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</si>
  <si>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</si>
  <si>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</si>
  <si>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</si>
  <si>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</si>
  <si>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</si>
  <si>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</si>
  <si>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</si>
  <si>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</si>
  <si>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</si>
  <si>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</si>
  <si>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</si>
  <si>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</si>
  <si>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Cargar las fichas y las actas del Comité de Defensa Judicial, Conciliación y Repetición al SIPROJ WEB.</t>
  </si>
  <si>
    <t>Revisar el cargue de las actuaciones procesales, por parte del líder del SIPOJWEB dentro de la Subgerencia Jurídica.</t>
  </si>
  <si>
    <t>Revisar la matriz de seguimiento de los procesos judiciales por parte del equipo de Defensa Judicial.</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</si>
  <si>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</si>
  <si>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Al inicio de cada vigencia el Gestor senior 1 y el delegado para la empresa ante la Alcaldía Mayor,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</si>
  <si>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</si>
  <si>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</si>
  <si>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</si>
  <si>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</si>
  <si>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</si>
  <si>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</si>
  <si>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</si>
  <si>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</si>
  <si>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</si>
  <si>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</si>
  <si>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</si>
  <si>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</si>
  <si>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</si>
  <si>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</si>
  <si>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</si>
  <si>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</si>
  <si>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</si>
  <si>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</si>
  <si>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</si>
  <si>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</si>
  <si>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</si>
  <si>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</si>
  <si>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</si>
  <si>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</si>
  <si>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</si>
  <si>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</si>
  <si>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</si>
  <si>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El Gestor Senior 1 de la Oficina e Gestión Social trimestralmente solicita a la Dirección Contractual una base de datos con los contratos celebrados en el periodo en donde se relacionen cuales y cuantos cuentan con la obligación de cumplimiento de la política Distrital de Servicio al Ciudadano y normatividad en materia de atención a Derechos de Petición , de esta manera se asegura que todos los contratos suscritos incluyan esta obligación.</t>
  </si>
  <si>
    <t>Afectación reputacional debido al incumplimiento en la generación de respuestas de PQRS por falta de atención oportuna a las mismas.</t>
  </si>
  <si>
    <t>Reportar la participación de los colaboradores inscritos a los eventos programados.</t>
  </si>
  <si>
    <t>En los términos de Referencia y los contratos de prestación de servicios profesionales se incluyo la obligación del cumplimiento de la política publica de servicio al ciudadano.</t>
  </si>
  <si>
    <t xml:space="preserve">llamado de atención al colaborador, en caso de materializarse el riesgo. </t>
  </si>
  <si>
    <t>Mapa Riesgos Institucional Empresa de Renovación y Desarrollo Urbano de Bogotá - 2022</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</si>
  <si>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</si>
  <si>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</si>
  <si>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</si>
  <si>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</si>
  <si>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</si>
  <si>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</si>
  <si>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</si>
  <si>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</si>
  <si>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</si>
  <si>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</si>
  <si>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</si>
  <si>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</si>
  <si>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</si>
  <si>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</si>
  <si>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</si>
  <si>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</si>
  <si>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</si>
  <si>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</si>
  <si>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</si>
  <si>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</si>
  <si>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</si>
  <si>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</si>
  <si>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</si>
  <si>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</si>
  <si>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</si>
  <si>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</si>
  <si>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</si>
  <si>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Uso indebido de información privilegiada para favorecimiento de un interés particular.</t>
  </si>
  <si>
    <r>
      <t xml:space="preserve">Posibilidad de </t>
    </r>
    <r>
      <rPr>
        <sz val="10"/>
        <rFont val="Arial Narrow"/>
        <family val="2"/>
      </rPr>
      <t>uso indebido de información privilegiada para favorecimiento de un interés particular.</t>
    </r>
  </si>
  <si>
    <t>Posibilidad de sustracción, inclusión y/o adulteración de documentos en los expedientes (misionales y de gestión) en beneficio de terceros.</t>
  </si>
  <si>
    <r>
      <t xml:space="preserve">Posibilidad de </t>
    </r>
    <r>
      <rPr>
        <sz val="10"/>
        <rFont val="Arial Narrow"/>
        <family val="2"/>
      </rPr>
      <t>manipulación indebida de procesos judiciales para favorecer un interés particular.</t>
    </r>
  </si>
  <si>
    <t>Informar al jefe inmediato para dar lineamientos.
Garantizar el profesional idóneo para la formulación e implementación del plan de SST.</t>
  </si>
  <si>
    <t>Realizar seguimiento a alertas y avance de los proyectos, en la instancia de seguimiento "Comité de Proyectos".</t>
  </si>
  <si>
    <t>Inadecuado cumplimiento de los lineamientos para el diligenciamiento de la matriz de seguimiento, en su veracidad y oportunidad por parte de los lideres de proyecto que permitan la generación de alertas.</t>
  </si>
  <si>
    <t>Posibilidad de afectación reputacional por la generación de alertas inoportunas debido a un inadecuado cumplimiento de los lineamientos para el diligenciamiento de la matriz de seguimiento, en su veracidad y oportunidad por parte de los lideres de proyecto que permitan la generación de alertas.</t>
  </si>
  <si>
    <t>Los profesionales de la Subgerencia de Planeación y Administración de Proyectos verifican semanalmente la información en la Matriz de Seguimiento, garantizando su veracidad de acuerdo al cronograma Línea Base.
Si hay información pendiente por actualizar, se solicita por correo electrónico al líder del proyecto, realizar el ajuste correspondiente en la Matriz de Seguimiento en el siguiente corte. Dicha información es utilizada para la generación de alertas y reportes que se requieran por parte de los grupos de interés.</t>
  </si>
  <si>
    <t>Conciliar Plan de Contingencia con los miembros del Comité de Proyectos.</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</si>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</sst>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3"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0" fontId="6" fillId="3" borderId="0" xfId="0" applyFont="1" applyFill="1" applyAlignment="1">
      <alignment vertical="center"/>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4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3" xfId="0" applyFont="1" applyFill="1" applyBorder="1" applyAlignment="1">
      <alignment horizontal="justify" vertical="center" wrapText="1"/>
    </xf>
    <xf numFmtId="0" fontId="6" fillId="0" borderId="83"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65"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48"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protection locked="0"/>
    </xf>
    <xf numFmtId="14" fontId="6" fillId="3" borderId="0"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3"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2" fillId="0" borderId="77" xfId="0" applyFont="1" applyBorder="1" applyAlignment="1">
      <alignment horizontal="center" vertical="center" wrapText="1"/>
    </xf>
    <xf numFmtId="0" fontId="42" fillId="0" borderId="0" xfId="0" applyFont="1" applyBorder="1" applyAlignment="1">
      <alignment horizontal="center" vertical="center"/>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justify"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8" fillId="0" borderId="4"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0" borderId="5" xfId="0" applyFont="1" applyBorder="1" applyAlignment="1" applyProtection="1">
      <alignment horizontal="center" vertical="center"/>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xf>
    <xf numFmtId="0" fontId="6" fillId="0" borderId="5" xfId="0" applyFont="1" applyBorder="1" applyAlignment="1" applyProtection="1">
      <alignment horizontal="justify" vertical="center" wrapText="1"/>
    </xf>
    <xf numFmtId="0" fontId="6" fillId="3" borderId="8" xfId="0" quotePrefix="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20" fillId="11" borderId="0" xfId="0" applyFont="1" applyFill="1" applyBorder="1" applyAlignment="1" applyProtection="1">
      <alignment horizontal="center" vertic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20" fillId="11" borderId="75" xfId="0" applyFont="1" applyFill="1" applyBorder="1" applyAlignment="1" applyProtection="1">
      <alignment horizontal="center" vertical="center" wrapText="1" readingOrder="1"/>
      <protection hidden="1"/>
    </xf>
    <xf numFmtId="0" fontId="20" fillId="11" borderId="76" xfId="0" applyFont="1" applyFill="1" applyBorder="1" applyAlignment="1" applyProtection="1">
      <alignment horizontal="center" vertical="center" wrapText="1" readingOrder="1"/>
      <protection hidden="1"/>
    </xf>
    <xf numFmtId="0" fontId="20" fillId="11" borderId="7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20" fillId="5" borderId="17" xfId="0" applyFont="1" applyFill="1" applyBorder="1" applyAlignment="1" applyProtection="1">
      <alignment horizont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6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53125" defaultRowHeight="14.5" x14ac:dyDescent="0.35"/>
  <cols>
    <col min="1" max="1" width="2.81640625" style="56" customWidth="1"/>
    <col min="2" max="3" width="24.7265625" style="56" customWidth="1"/>
    <col min="4" max="4" width="16" style="56" customWidth="1"/>
    <col min="5" max="5" width="24.7265625" style="56" customWidth="1"/>
    <col min="6" max="6" width="27.7265625" style="56" customWidth="1"/>
    <col min="7" max="8" width="24.7265625" style="56" customWidth="1"/>
    <col min="9" max="16384" width="11.453125" style="56"/>
  </cols>
  <sheetData>
    <row r="1" spans="2:8" ht="15" thickBot="1" x14ac:dyDescent="0.4"/>
    <row r="2" spans="2:8" ht="18" x14ac:dyDescent="0.35">
      <c r="B2" s="243" t="s">
        <v>140</v>
      </c>
      <c r="C2" s="244"/>
      <c r="D2" s="244"/>
      <c r="E2" s="244"/>
      <c r="F2" s="244"/>
      <c r="G2" s="244"/>
      <c r="H2" s="245"/>
    </row>
    <row r="3" spans="2:8" x14ac:dyDescent="0.35">
      <c r="B3" s="57"/>
      <c r="C3" s="58"/>
      <c r="D3" s="58"/>
      <c r="E3" s="58"/>
      <c r="F3" s="58"/>
      <c r="G3" s="58"/>
      <c r="H3" s="59"/>
    </row>
    <row r="4" spans="2:8" ht="63" customHeight="1" x14ac:dyDescent="0.35">
      <c r="B4" s="246" t="s">
        <v>183</v>
      </c>
      <c r="C4" s="247"/>
      <c r="D4" s="247"/>
      <c r="E4" s="247"/>
      <c r="F4" s="247"/>
      <c r="G4" s="247"/>
      <c r="H4" s="248"/>
    </row>
    <row r="5" spans="2:8" ht="63" customHeight="1" x14ac:dyDescent="0.35">
      <c r="B5" s="249"/>
      <c r="C5" s="250"/>
      <c r="D5" s="250"/>
      <c r="E5" s="250"/>
      <c r="F5" s="250"/>
      <c r="G5" s="250"/>
      <c r="H5" s="251"/>
    </row>
    <row r="6" spans="2:8" x14ac:dyDescent="0.35">
      <c r="B6" s="252" t="s">
        <v>138</v>
      </c>
      <c r="C6" s="253"/>
      <c r="D6" s="253"/>
      <c r="E6" s="253"/>
      <c r="F6" s="253"/>
      <c r="G6" s="253"/>
      <c r="H6" s="254"/>
    </row>
    <row r="7" spans="2:8" ht="95.25" customHeight="1" x14ac:dyDescent="0.35">
      <c r="B7" s="262" t="s">
        <v>143</v>
      </c>
      <c r="C7" s="263"/>
      <c r="D7" s="263"/>
      <c r="E7" s="263"/>
      <c r="F7" s="263"/>
      <c r="G7" s="263"/>
      <c r="H7" s="264"/>
    </row>
    <row r="8" spans="2:8" x14ac:dyDescent="0.35">
      <c r="B8" s="94"/>
      <c r="C8" s="95"/>
      <c r="D8" s="95"/>
      <c r="E8" s="95"/>
      <c r="F8" s="95"/>
      <c r="G8" s="95"/>
      <c r="H8" s="96"/>
    </row>
    <row r="9" spans="2:8" ht="16.5" customHeight="1" x14ac:dyDescent="0.35">
      <c r="B9" s="255" t="s">
        <v>176</v>
      </c>
      <c r="C9" s="256"/>
      <c r="D9" s="256"/>
      <c r="E9" s="256"/>
      <c r="F9" s="256"/>
      <c r="G9" s="256"/>
      <c r="H9" s="257"/>
    </row>
    <row r="10" spans="2:8" ht="44.25" customHeight="1" x14ac:dyDescent="0.35">
      <c r="B10" s="255"/>
      <c r="C10" s="256"/>
      <c r="D10" s="256"/>
      <c r="E10" s="256"/>
      <c r="F10" s="256"/>
      <c r="G10" s="256"/>
      <c r="H10" s="257"/>
    </row>
    <row r="11" spans="2:8" ht="15" thickBot="1" x14ac:dyDescent="0.4">
      <c r="B11" s="82"/>
      <c r="C11" s="85"/>
      <c r="D11" s="90"/>
      <c r="E11" s="91"/>
      <c r="F11" s="91"/>
      <c r="G11" s="92"/>
      <c r="H11" s="93"/>
    </row>
    <row r="12" spans="2:8" ht="15" thickTop="1" x14ac:dyDescent="0.35">
      <c r="B12" s="82"/>
      <c r="C12" s="258" t="s">
        <v>139</v>
      </c>
      <c r="D12" s="259"/>
      <c r="E12" s="260" t="s">
        <v>177</v>
      </c>
      <c r="F12" s="261"/>
      <c r="G12" s="85"/>
      <c r="H12" s="86"/>
    </row>
    <row r="13" spans="2:8" ht="35.25" customHeight="1" x14ac:dyDescent="0.35">
      <c r="B13" s="82"/>
      <c r="C13" s="265" t="s">
        <v>170</v>
      </c>
      <c r="D13" s="266"/>
      <c r="E13" s="267" t="s">
        <v>175</v>
      </c>
      <c r="F13" s="268"/>
      <c r="G13" s="85"/>
      <c r="H13" s="86"/>
    </row>
    <row r="14" spans="2:8" ht="17.25" customHeight="1" x14ac:dyDescent="0.35">
      <c r="B14" s="82"/>
      <c r="C14" s="265" t="s">
        <v>171</v>
      </c>
      <c r="D14" s="266"/>
      <c r="E14" s="267" t="s">
        <v>173</v>
      </c>
      <c r="F14" s="268"/>
      <c r="G14" s="85"/>
      <c r="H14" s="86"/>
    </row>
    <row r="15" spans="2:8" ht="19.5" customHeight="1" x14ac:dyDescent="0.35">
      <c r="B15" s="82"/>
      <c r="C15" s="265" t="s">
        <v>172</v>
      </c>
      <c r="D15" s="266"/>
      <c r="E15" s="267" t="s">
        <v>174</v>
      </c>
      <c r="F15" s="268"/>
      <c r="G15" s="85"/>
      <c r="H15" s="86"/>
    </row>
    <row r="16" spans="2:8" ht="69.75" customHeight="1" x14ac:dyDescent="0.35">
      <c r="B16" s="82"/>
      <c r="C16" s="265" t="s">
        <v>141</v>
      </c>
      <c r="D16" s="266"/>
      <c r="E16" s="267" t="s">
        <v>142</v>
      </c>
      <c r="F16" s="268"/>
      <c r="G16" s="85"/>
      <c r="H16" s="86"/>
    </row>
    <row r="17" spans="2:8" ht="34.5" customHeight="1" x14ac:dyDescent="0.35">
      <c r="B17" s="82"/>
      <c r="C17" s="269" t="s">
        <v>2</v>
      </c>
      <c r="D17" s="270"/>
      <c r="E17" s="271" t="s">
        <v>184</v>
      </c>
      <c r="F17" s="272"/>
      <c r="G17" s="85"/>
      <c r="H17" s="86"/>
    </row>
    <row r="18" spans="2:8" ht="27.75" customHeight="1" x14ac:dyDescent="0.35">
      <c r="B18" s="82"/>
      <c r="C18" s="269" t="s">
        <v>3</v>
      </c>
      <c r="D18" s="270"/>
      <c r="E18" s="271" t="s">
        <v>185</v>
      </c>
      <c r="F18" s="272"/>
      <c r="G18" s="85"/>
      <c r="H18" s="86"/>
    </row>
    <row r="19" spans="2:8" ht="28.5" customHeight="1" x14ac:dyDescent="0.35">
      <c r="B19" s="82"/>
      <c r="C19" s="269" t="s">
        <v>38</v>
      </c>
      <c r="D19" s="270"/>
      <c r="E19" s="271" t="s">
        <v>186</v>
      </c>
      <c r="F19" s="272"/>
      <c r="G19" s="85"/>
      <c r="H19" s="86"/>
    </row>
    <row r="20" spans="2:8" ht="72.75" customHeight="1" x14ac:dyDescent="0.35">
      <c r="B20" s="82"/>
      <c r="C20" s="269" t="s">
        <v>1</v>
      </c>
      <c r="D20" s="270"/>
      <c r="E20" s="271" t="s">
        <v>187</v>
      </c>
      <c r="F20" s="272"/>
      <c r="G20" s="85"/>
      <c r="H20" s="86"/>
    </row>
    <row r="21" spans="2:8" ht="64.5" customHeight="1" x14ac:dyDescent="0.35">
      <c r="B21" s="82"/>
      <c r="C21" s="269" t="s">
        <v>44</v>
      </c>
      <c r="D21" s="270"/>
      <c r="E21" s="271" t="s">
        <v>145</v>
      </c>
      <c r="F21" s="272"/>
      <c r="G21" s="85"/>
      <c r="H21" s="86"/>
    </row>
    <row r="22" spans="2:8" ht="71.25" customHeight="1" x14ac:dyDescent="0.35">
      <c r="B22" s="82"/>
      <c r="C22" s="269" t="s">
        <v>144</v>
      </c>
      <c r="D22" s="270"/>
      <c r="E22" s="271" t="s">
        <v>146</v>
      </c>
      <c r="F22" s="272"/>
      <c r="G22" s="85"/>
      <c r="H22" s="86"/>
    </row>
    <row r="23" spans="2:8" ht="55.5" customHeight="1" x14ac:dyDescent="0.35">
      <c r="B23" s="82"/>
      <c r="C23" s="276" t="s">
        <v>147</v>
      </c>
      <c r="D23" s="277"/>
      <c r="E23" s="271" t="s">
        <v>148</v>
      </c>
      <c r="F23" s="272"/>
      <c r="G23" s="85"/>
      <c r="H23" s="86"/>
    </row>
    <row r="24" spans="2:8" ht="42" customHeight="1" x14ac:dyDescent="0.35">
      <c r="B24" s="82"/>
      <c r="C24" s="276" t="s">
        <v>42</v>
      </c>
      <c r="D24" s="277"/>
      <c r="E24" s="271" t="s">
        <v>149</v>
      </c>
      <c r="F24" s="272"/>
      <c r="G24" s="85"/>
      <c r="H24" s="86"/>
    </row>
    <row r="25" spans="2:8" ht="59.25" customHeight="1" x14ac:dyDescent="0.35">
      <c r="B25" s="82"/>
      <c r="C25" s="276" t="s">
        <v>137</v>
      </c>
      <c r="D25" s="277"/>
      <c r="E25" s="271" t="s">
        <v>150</v>
      </c>
      <c r="F25" s="272"/>
      <c r="G25" s="85"/>
      <c r="H25" s="86"/>
    </row>
    <row r="26" spans="2:8" ht="23.25" customHeight="1" x14ac:dyDescent="0.35">
      <c r="B26" s="82"/>
      <c r="C26" s="276" t="s">
        <v>12</v>
      </c>
      <c r="D26" s="277"/>
      <c r="E26" s="271" t="s">
        <v>151</v>
      </c>
      <c r="F26" s="272"/>
      <c r="G26" s="85"/>
      <c r="H26" s="86"/>
    </row>
    <row r="27" spans="2:8" ht="30.75" customHeight="1" x14ac:dyDescent="0.35">
      <c r="B27" s="82"/>
      <c r="C27" s="276" t="s">
        <v>155</v>
      </c>
      <c r="D27" s="277"/>
      <c r="E27" s="271" t="s">
        <v>152</v>
      </c>
      <c r="F27" s="272"/>
      <c r="G27" s="85"/>
      <c r="H27" s="86"/>
    </row>
    <row r="28" spans="2:8" ht="35.25" customHeight="1" x14ac:dyDescent="0.35">
      <c r="B28" s="82"/>
      <c r="C28" s="276" t="s">
        <v>156</v>
      </c>
      <c r="D28" s="277"/>
      <c r="E28" s="271" t="s">
        <v>153</v>
      </c>
      <c r="F28" s="272"/>
      <c r="G28" s="85"/>
      <c r="H28" s="86"/>
    </row>
    <row r="29" spans="2:8" ht="33" customHeight="1" x14ac:dyDescent="0.35">
      <c r="B29" s="82"/>
      <c r="C29" s="276" t="s">
        <v>156</v>
      </c>
      <c r="D29" s="277"/>
      <c r="E29" s="271" t="s">
        <v>153</v>
      </c>
      <c r="F29" s="272"/>
      <c r="G29" s="85"/>
      <c r="H29" s="86"/>
    </row>
    <row r="30" spans="2:8" ht="30" customHeight="1" x14ac:dyDescent="0.35">
      <c r="B30" s="82"/>
      <c r="C30" s="276" t="s">
        <v>157</v>
      </c>
      <c r="D30" s="277"/>
      <c r="E30" s="271" t="s">
        <v>154</v>
      </c>
      <c r="F30" s="272"/>
      <c r="G30" s="85"/>
      <c r="H30" s="86"/>
    </row>
    <row r="31" spans="2:8" ht="35.25" customHeight="1" x14ac:dyDescent="0.35">
      <c r="B31" s="82"/>
      <c r="C31" s="276" t="s">
        <v>158</v>
      </c>
      <c r="D31" s="277"/>
      <c r="E31" s="271" t="s">
        <v>159</v>
      </c>
      <c r="F31" s="272"/>
      <c r="G31" s="85"/>
      <c r="H31" s="86"/>
    </row>
    <row r="32" spans="2:8" ht="31.5" customHeight="1" x14ac:dyDescent="0.35">
      <c r="B32" s="82"/>
      <c r="C32" s="276" t="s">
        <v>160</v>
      </c>
      <c r="D32" s="277"/>
      <c r="E32" s="271" t="s">
        <v>161</v>
      </c>
      <c r="F32" s="272"/>
      <c r="G32" s="85"/>
      <c r="H32" s="86"/>
    </row>
    <row r="33" spans="2:8" ht="35.25" customHeight="1" x14ac:dyDescent="0.35">
      <c r="B33" s="82"/>
      <c r="C33" s="276" t="s">
        <v>162</v>
      </c>
      <c r="D33" s="277"/>
      <c r="E33" s="271" t="s">
        <v>163</v>
      </c>
      <c r="F33" s="272"/>
      <c r="G33" s="85"/>
      <c r="H33" s="86"/>
    </row>
    <row r="34" spans="2:8" ht="59.25" customHeight="1" x14ac:dyDescent="0.35">
      <c r="B34" s="82"/>
      <c r="C34" s="276" t="s">
        <v>164</v>
      </c>
      <c r="D34" s="277"/>
      <c r="E34" s="271" t="s">
        <v>165</v>
      </c>
      <c r="F34" s="272"/>
      <c r="G34" s="85"/>
      <c r="H34" s="86"/>
    </row>
    <row r="35" spans="2:8" ht="29.25" customHeight="1" x14ac:dyDescent="0.35">
      <c r="B35" s="82"/>
      <c r="C35" s="276" t="s">
        <v>29</v>
      </c>
      <c r="D35" s="277"/>
      <c r="E35" s="271" t="s">
        <v>166</v>
      </c>
      <c r="F35" s="272"/>
      <c r="G35" s="85"/>
      <c r="H35" s="86"/>
    </row>
    <row r="36" spans="2:8" ht="82.5" customHeight="1" x14ac:dyDescent="0.35">
      <c r="B36" s="82"/>
      <c r="C36" s="276" t="s">
        <v>168</v>
      </c>
      <c r="D36" s="277"/>
      <c r="E36" s="271" t="s">
        <v>167</v>
      </c>
      <c r="F36" s="272"/>
      <c r="G36" s="85"/>
      <c r="H36" s="86"/>
    </row>
    <row r="37" spans="2:8" ht="46.5" customHeight="1" x14ac:dyDescent="0.35">
      <c r="B37" s="82"/>
      <c r="C37" s="276" t="s">
        <v>35</v>
      </c>
      <c r="D37" s="277"/>
      <c r="E37" s="271" t="s">
        <v>169</v>
      </c>
      <c r="F37" s="272"/>
      <c r="G37" s="85"/>
      <c r="H37" s="86"/>
    </row>
    <row r="38" spans="2:8" ht="6.75" customHeight="1" thickBot="1" x14ac:dyDescent="0.4">
      <c r="B38" s="82"/>
      <c r="C38" s="278"/>
      <c r="D38" s="279"/>
      <c r="E38" s="280"/>
      <c r="F38" s="281"/>
      <c r="G38" s="85"/>
      <c r="H38" s="86"/>
    </row>
    <row r="39" spans="2:8" ht="15" thickTop="1" x14ac:dyDescent="0.35">
      <c r="B39" s="82"/>
      <c r="C39" s="83"/>
      <c r="D39" s="83"/>
      <c r="E39" s="84"/>
      <c r="F39" s="84"/>
      <c r="G39" s="85"/>
      <c r="H39" s="86"/>
    </row>
    <row r="40" spans="2:8" ht="21" customHeight="1" x14ac:dyDescent="0.35">
      <c r="B40" s="273" t="s">
        <v>178</v>
      </c>
      <c r="C40" s="274"/>
      <c r="D40" s="274"/>
      <c r="E40" s="274"/>
      <c r="F40" s="274"/>
      <c r="G40" s="274"/>
      <c r="H40" s="275"/>
    </row>
    <row r="41" spans="2:8" ht="20.25" customHeight="1" x14ac:dyDescent="0.35">
      <c r="B41" s="273" t="s">
        <v>179</v>
      </c>
      <c r="C41" s="274"/>
      <c r="D41" s="274"/>
      <c r="E41" s="274"/>
      <c r="F41" s="274"/>
      <c r="G41" s="274"/>
      <c r="H41" s="275"/>
    </row>
    <row r="42" spans="2:8" ht="20.25" customHeight="1" x14ac:dyDescent="0.35">
      <c r="B42" s="273" t="s">
        <v>180</v>
      </c>
      <c r="C42" s="274"/>
      <c r="D42" s="274"/>
      <c r="E42" s="274"/>
      <c r="F42" s="274"/>
      <c r="G42" s="274"/>
      <c r="H42" s="275"/>
    </row>
    <row r="43" spans="2:8" ht="20.25" customHeight="1" x14ac:dyDescent="0.35">
      <c r="B43" s="273" t="s">
        <v>181</v>
      </c>
      <c r="C43" s="274"/>
      <c r="D43" s="274"/>
      <c r="E43" s="274"/>
      <c r="F43" s="274"/>
      <c r="G43" s="274"/>
      <c r="H43" s="275"/>
    </row>
    <row r="44" spans="2:8" x14ac:dyDescent="0.35">
      <c r="B44" s="273" t="s">
        <v>182</v>
      </c>
      <c r="C44" s="274"/>
      <c r="D44" s="274"/>
      <c r="E44" s="274"/>
      <c r="F44" s="274"/>
      <c r="G44" s="274"/>
      <c r="H44" s="275"/>
    </row>
    <row r="45" spans="2:8" ht="15" thickBot="1" x14ac:dyDescent="0.4">
      <c r="B45" s="87"/>
      <c r="C45" s="88"/>
      <c r="D45" s="88"/>
      <c r="E45" s="88"/>
      <c r="F45" s="88"/>
      <c r="G45" s="88"/>
      <c r="H45" s="8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240" zoomScale="60" zoomScaleNormal="60" workbookViewId="0">
      <selection activeCell="O273" sqref="O273"/>
    </sheetView>
  </sheetViews>
  <sheetFormatPr baseColWidth="10" defaultRowHeight="14.5" x14ac:dyDescent="0.35"/>
  <cols>
    <col min="2" max="9" width="5.7265625" customWidth="1"/>
    <col min="10" max="10" width="10.54296875" bestFit="1" customWidth="1"/>
    <col min="11" max="12" width="11" bestFit="1" customWidth="1"/>
    <col min="13" max="13" width="10.54296875" bestFit="1" customWidth="1"/>
    <col min="14" max="15" width="11" bestFit="1" customWidth="1"/>
    <col min="16" max="16" width="10.81640625" customWidth="1"/>
    <col min="17" max="17" width="11" bestFit="1" customWidth="1"/>
    <col min="18" max="18" width="11" customWidth="1"/>
    <col min="19" max="19" width="10.54296875" bestFit="1" customWidth="1"/>
    <col min="20" max="21" width="11" customWidth="1"/>
    <col min="22" max="22" width="10.81640625" bestFit="1" customWidth="1"/>
    <col min="23" max="24" width="9.7265625" customWidth="1"/>
    <col min="26" max="31" width="5.7265625" customWidth="1"/>
  </cols>
  <sheetData>
    <row r="1" spans="1:76"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row>
    <row r="2" spans="1:76" ht="18" customHeight="1" x14ac:dyDescent="0.35">
      <c r="A2" s="56"/>
      <c r="B2" s="308" t="s">
        <v>134</v>
      </c>
      <c r="C2" s="309"/>
      <c r="D2" s="309"/>
      <c r="E2" s="309"/>
      <c r="F2" s="309"/>
      <c r="G2" s="309"/>
      <c r="H2" s="309"/>
      <c r="I2" s="309"/>
      <c r="J2" s="310" t="s">
        <v>2</v>
      </c>
      <c r="K2" s="310"/>
      <c r="L2" s="310"/>
      <c r="M2" s="310"/>
      <c r="N2" s="310"/>
      <c r="O2" s="310"/>
      <c r="P2" s="310"/>
      <c r="Q2" s="310"/>
      <c r="R2" s="310"/>
      <c r="S2" s="310"/>
      <c r="T2" s="310"/>
      <c r="U2" s="310"/>
      <c r="V2" s="310"/>
      <c r="W2" s="310"/>
      <c r="X2" s="310"/>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ht="18.75" customHeight="1" x14ac:dyDescent="0.35">
      <c r="A3" s="56"/>
      <c r="B3" s="309"/>
      <c r="C3" s="309"/>
      <c r="D3" s="309"/>
      <c r="E3" s="309"/>
      <c r="F3" s="309"/>
      <c r="G3" s="309"/>
      <c r="H3" s="309"/>
      <c r="I3" s="309"/>
      <c r="J3" s="310"/>
      <c r="K3" s="310"/>
      <c r="L3" s="310"/>
      <c r="M3" s="310"/>
      <c r="N3" s="310"/>
      <c r="O3" s="310"/>
      <c r="P3" s="310"/>
      <c r="Q3" s="310"/>
      <c r="R3" s="310"/>
      <c r="S3" s="310"/>
      <c r="T3" s="310"/>
      <c r="U3" s="310"/>
      <c r="V3" s="310"/>
      <c r="W3" s="310"/>
      <c r="X3" s="310"/>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ht="15" customHeight="1" x14ac:dyDescent="0.35">
      <c r="A4" s="56"/>
      <c r="B4" s="309"/>
      <c r="C4" s="309"/>
      <c r="D4" s="309"/>
      <c r="E4" s="309"/>
      <c r="F4" s="309"/>
      <c r="G4" s="309"/>
      <c r="H4" s="309"/>
      <c r="I4" s="309"/>
      <c r="J4" s="310"/>
      <c r="K4" s="310"/>
      <c r="L4" s="310"/>
      <c r="M4" s="310"/>
      <c r="N4" s="310"/>
      <c r="O4" s="310"/>
      <c r="P4" s="310"/>
      <c r="Q4" s="310"/>
      <c r="R4" s="310"/>
      <c r="S4" s="310"/>
      <c r="T4" s="310"/>
      <c r="U4" s="310"/>
      <c r="V4" s="310"/>
      <c r="W4" s="310"/>
      <c r="X4" s="310"/>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row>
    <row r="5" spans="1:76"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76" ht="15" customHeight="1" x14ac:dyDescent="0.35">
      <c r="A6" s="56"/>
      <c r="B6" s="311" t="s">
        <v>4</v>
      </c>
      <c r="C6" s="311"/>
      <c r="D6" s="312"/>
      <c r="E6" s="299" t="s">
        <v>107</v>
      </c>
      <c r="F6" s="300"/>
      <c r="G6" s="300"/>
      <c r="H6" s="300"/>
      <c r="I6" s="300"/>
      <c r="J6" s="102" t="str">
        <f>IF(AND('Mapa final'!$AB$7="Muy Alta",'Mapa final'!$AD$7="Leve"),CONCATENATE("R1C",'Mapa final'!$R$7),"")</f>
        <v/>
      </c>
      <c r="K6" s="103" t="str">
        <f>IF(AND('Mapa final'!$AB$8="Muy Alta",'Mapa final'!$AD$8="Leve"),CONCATENATE("R1C",'Mapa final'!$R$8),"")</f>
        <v/>
      </c>
      <c r="L6" s="104" t="str">
        <f>IF(AND('Mapa final'!$AB$9="Muy Alta",'Mapa final'!$AD$9="Leve"),CONCATENATE("R1C",'Mapa final'!$R$9),"")</f>
        <v/>
      </c>
      <c r="M6" s="102" t="str">
        <f>IF(AND('Mapa final'!$AB$7="Muy Alta",'Mapa final'!$AD$7="Menor"),CONCATENATE("R1C",'Mapa final'!$R$7),"")</f>
        <v/>
      </c>
      <c r="N6" s="103" t="str">
        <f>IF(AND('Mapa final'!$AB$8="Muy Alta",'Mapa final'!$AD$8="Menor"),CONCATENATE("R1C",'Mapa final'!$R$8),"")</f>
        <v/>
      </c>
      <c r="O6" s="104" t="str">
        <f>IF(AND('Mapa final'!$AB$9="Muy Alta",'Mapa final'!$AD$9="Menor"),CONCATENATE("R1C",'Mapa final'!$R$9),"")</f>
        <v/>
      </c>
      <c r="P6" s="102" t="str">
        <f>IF(AND('Mapa final'!$AB$7="Muy Alta",'Mapa final'!$AD$7="Moderado"),CONCATENATE("R1C",'Mapa final'!$R$7),"")</f>
        <v/>
      </c>
      <c r="Q6" s="103" t="str">
        <f>IF(AND('Mapa final'!$AB$8="Muy Alta",'Mapa final'!$AD$8="Moderado"),CONCATENATE("R1C",'Mapa final'!$R$8),"")</f>
        <v/>
      </c>
      <c r="R6" s="104" t="str">
        <f>IF(AND('Mapa final'!$AB$9="Muy Alta",'Mapa final'!$AD$9="Moderado"),CONCATENATE("R1C",'Mapa final'!$R$9),"")</f>
        <v/>
      </c>
      <c r="S6" s="102" t="str">
        <f>IF(AND('Mapa final'!$AB$7="Muy Alta",'Mapa final'!$AD$7="Mayor"),CONCATENATE("R1C",'Mapa final'!$R$7),"")</f>
        <v/>
      </c>
      <c r="T6" s="103" t="str">
        <f>IF(AND('Mapa final'!$AB$8="Muy Alta",'Mapa final'!$AD$8="Mayor"),CONCATENATE("R1C",'Mapa final'!$R$8),"")</f>
        <v/>
      </c>
      <c r="U6" s="104" t="str">
        <f>IF(AND('Mapa final'!$AB$9="Muy Alta",'Mapa final'!$AD$9="Mayor"),CONCATENATE("R1C",'Mapa final'!$R$9),"")</f>
        <v/>
      </c>
      <c r="V6" s="40" t="str">
        <f>IF(AND('Mapa final'!$AB$7="Muy Alta",'Mapa final'!$AD$7="Catastrófico"),CONCATENATE("R1C",'Mapa final'!$R$7),"")</f>
        <v/>
      </c>
      <c r="W6" s="41" t="str">
        <f>IF(AND('Mapa final'!$AB$8="Muy Alta",'Mapa final'!$AD$8="Catastrófico"),CONCATENATE("R1C",'Mapa final'!$R$8),"")</f>
        <v/>
      </c>
      <c r="X6" s="99" t="str">
        <f>IF(AND('Mapa final'!$AB$9="Muy Alta",'Mapa final'!$AD$9="Catastrófico"),CONCATENATE("R1C",'Mapa final'!$R$9),"")</f>
        <v/>
      </c>
      <c r="Y6" s="56"/>
      <c r="Z6" s="302" t="s">
        <v>73</v>
      </c>
      <c r="AA6" s="303"/>
      <c r="AB6" s="303"/>
      <c r="AC6" s="303"/>
      <c r="AD6" s="303"/>
      <c r="AE6" s="304"/>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76" ht="15" customHeight="1" x14ac:dyDescent="0.35">
      <c r="A7" s="56"/>
      <c r="B7" s="311"/>
      <c r="C7" s="311"/>
      <c r="D7" s="312"/>
      <c r="E7" s="288"/>
      <c r="F7" s="301"/>
      <c r="G7" s="301"/>
      <c r="H7" s="301"/>
      <c r="I7" s="283"/>
      <c r="J7" s="105" t="str">
        <f>IF(AND('Mapa final'!$AB$10="Muy Alta",'Mapa final'!$AD$10="Leve"),CONCATENATE("R2C",'Mapa final'!$R$10),"")</f>
        <v/>
      </c>
      <c r="K7" s="42" t="str">
        <f>IF(AND('Mapa final'!$AB$11="Muy Alta",'Mapa final'!$AD$11="Leve"),CONCATENATE("R2C",'Mapa final'!$R$11),"")</f>
        <v/>
      </c>
      <c r="L7" s="106" t="str">
        <f>IF(AND('Mapa final'!$AB$12="Muy Alta",'Mapa final'!$AD$12="Leve"),CONCATENATE("R2C",'Mapa final'!$R$12),"")</f>
        <v/>
      </c>
      <c r="M7" s="105" t="str">
        <f>IF(AND('Mapa final'!$AB$10="Muy Alta",'Mapa final'!$AD$10="Menor"),CONCATENATE("R2C",'Mapa final'!$R$10),"")</f>
        <v/>
      </c>
      <c r="N7" s="42" t="str">
        <f>IF(AND('Mapa final'!$AB$11="Muy Alta",'Mapa final'!$AD$11="Menor"),CONCATENATE("R2C",'Mapa final'!$R$11),"")</f>
        <v/>
      </c>
      <c r="O7" s="106" t="str">
        <f>IF(AND('Mapa final'!$AB$12="Muy Alta",'Mapa final'!$AD$12="Menor"),CONCATENATE("R2C",'Mapa final'!$R$12),"")</f>
        <v/>
      </c>
      <c r="P7" s="105" t="str">
        <f>IF(AND('Mapa final'!$AB$10="Muy Alta",'Mapa final'!$AD$10="Moderado"),CONCATENATE("R2C",'Mapa final'!$R$10),"")</f>
        <v/>
      </c>
      <c r="Q7" s="42" t="str">
        <f>IF(AND('Mapa final'!$AB$11="Muy Alta",'Mapa final'!$AD$11="Moderado"),CONCATENATE("R2C",'Mapa final'!$R$11),"")</f>
        <v/>
      </c>
      <c r="R7" s="106" t="str">
        <f>IF(AND('Mapa final'!$AB$12="Muy Alta",'Mapa final'!$AD$12="Moderado"),CONCATENATE("R2C",'Mapa final'!$R$12),"")</f>
        <v/>
      </c>
      <c r="S7" s="105" t="str">
        <f>IF(AND('Mapa final'!$AB$10="Muy Alta",'Mapa final'!$AD$10="Mayor"),CONCATENATE("R2C",'Mapa final'!$R$10),"")</f>
        <v/>
      </c>
      <c r="T7" s="42" t="str">
        <f>IF(AND('Mapa final'!$AB$11="Muy Alta",'Mapa final'!$AD$11="Mayor"),CONCATENATE("R2C",'Mapa final'!$R$11),"")</f>
        <v/>
      </c>
      <c r="U7" s="106" t="str">
        <f>IF(AND('Mapa final'!$AB$12="Muy Alta",'Mapa final'!$AD$12="Mayor"),CONCATENATE("R2C",'Mapa final'!$R$12),"")</f>
        <v/>
      </c>
      <c r="V7" s="43" t="str">
        <f>IF(AND('Mapa final'!$AB$10="Muy Alta",'Mapa final'!$AD$10="Catastrófico"),CONCATENATE("R2C",'Mapa final'!$R$10),"")</f>
        <v/>
      </c>
      <c r="W7" s="44" t="str">
        <f>IF(AND('Mapa final'!$AB$11="Muy Alta",'Mapa final'!$AD$11="Catastrófico"),CONCATENATE("R2C",'Mapa final'!$R$11),"")</f>
        <v/>
      </c>
      <c r="X7" s="100" t="str">
        <f>IF(AND('Mapa final'!$AB$12="Muy Alta",'Mapa final'!$AD$12="Catastrófico"),CONCATENATE("R2C",'Mapa final'!$R$12),"")</f>
        <v/>
      </c>
      <c r="Y7" s="56"/>
      <c r="Z7" s="305"/>
      <c r="AA7" s="306"/>
      <c r="AB7" s="306"/>
      <c r="AC7" s="306"/>
      <c r="AD7" s="306"/>
      <c r="AE7" s="307"/>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76" ht="15" customHeight="1" x14ac:dyDescent="0.35">
      <c r="A8" s="56"/>
      <c r="B8" s="311"/>
      <c r="C8" s="311"/>
      <c r="D8" s="312"/>
      <c r="E8" s="288"/>
      <c r="F8" s="301"/>
      <c r="G8" s="301"/>
      <c r="H8" s="301"/>
      <c r="I8" s="283"/>
      <c r="J8" s="105" t="str">
        <f>IF(AND('Mapa final'!$AB$13="Muy Alta",'Mapa final'!$AD$13="Leve"),CONCATENATE("R3C",'Mapa final'!$R$13),"")</f>
        <v/>
      </c>
      <c r="K8" s="42" t="str">
        <f>IF(AND('Mapa final'!$AB$14="Muy Alta",'Mapa final'!$AD$14="Leve"),CONCATENATE("R3C",'Mapa final'!$R$14),"")</f>
        <v/>
      </c>
      <c r="L8" s="106" t="str">
        <f>IF(AND('Mapa final'!$AB$15="Muy Alta",'Mapa final'!$AD$15="Leve"),CONCATENATE("R3C",'Mapa final'!$R$15),"")</f>
        <v/>
      </c>
      <c r="M8" s="105" t="str">
        <f>IF(AND('Mapa final'!$AB$13="Muy Alta",'Mapa final'!$AD$13="Menor"),CONCATENATE("R3C",'Mapa final'!$R$13),"")</f>
        <v/>
      </c>
      <c r="N8" s="42" t="str">
        <f>IF(AND('Mapa final'!$AB$14="Muy Alta",'Mapa final'!$AD$14="Menor"),CONCATENATE("R3C",'Mapa final'!$R$14),"")</f>
        <v/>
      </c>
      <c r="O8" s="106" t="str">
        <f>IF(AND('Mapa final'!$AB$15="Muy Alta",'Mapa final'!$AD$15="Menor"),CONCATENATE("R3C",'Mapa final'!$R$15),"")</f>
        <v/>
      </c>
      <c r="P8" s="105" t="str">
        <f>IF(AND('Mapa final'!$AB$13="Muy Alta",'Mapa final'!$AD$13="Moderado"),CONCATENATE("R3C",'Mapa final'!$R$13),"")</f>
        <v/>
      </c>
      <c r="Q8" s="42" t="str">
        <f>IF(AND('Mapa final'!$AB$14="Muy Alta",'Mapa final'!$AD$14="Moderado"),CONCATENATE("R3C",'Mapa final'!$R$14),"")</f>
        <v/>
      </c>
      <c r="R8" s="106" t="str">
        <f>IF(AND('Mapa final'!$AB$15="Muy Alta",'Mapa final'!$AD$15="Moderado"),CONCATENATE("R3C",'Mapa final'!$R$15),"")</f>
        <v/>
      </c>
      <c r="S8" s="105" t="str">
        <f>IF(AND('Mapa final'!$AB$13="Muy Alta",'Mapa final'!$AD$13="Mayor"),CONCATENATE("R3C",'Mapa final'!$R$13),"")</f>
        <v/>
      </c>
      <c r="T8" s="42" t="str">
        <f>IF(AND('Mapa final'!$AB$14="Muy Alta",'Mapa final'!$AD$14="Mayor"),CONCATENATE("R3C",'Mapa final'!$R$14),"")</f>
        <v/>
      </c>
      <c r="U8" s="106" t="str">
        <f>IF(AND('Mapa final'!$AB$15="Muy Alta",'Mapa final'!$AD$15="Mayor"),CONCATENATE("R3C",'Mapa final'!$R$15),"")</f>
        <v/>
      </c>
      <c r="V8" s="43" t="str">
        <f>IF(AND('Mapa final'!$AB$13="Muy Alta",'Mapa final'!$AD$13="Catastrófico"),CONCATENATE("R3C",'Mapa final'!$R$13),"")</f>
        <v/>
      </c>
      <c r="W8" s="44" t="str">
        <f>IF(AND('Mapa final'!$AB$14="Muy Alta",'Mapa final'!$AD$14="Catastrófico"),CONCATENATE("R3C",'Mapa final'!$R$14),"")</f>
        <v/>
      </c>
      <c r="X8" s="100" t="str">
        <f>IF(AND('Mapa final'!$AB$15="Muy Alta",'Mapa final'!$AD$15="Catastrófico"),CONCATENATE("R3C",'Mapa final'!$R$15),"")</f>
        <v/>
      </c>
      <c r="Y8" s="56"/>
      <c r="Z8" s="305"/>
      <c r="AA8" s="306"/>
      <c r="AB8" s="306"/>
      <c r="AC8" s="306"/>
      <c r="AD8" s="306"/>
      <c r="AE8" s="307"/>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76" ht="15" customHeight="1" x14ac:dyDescent="0.35">
      <c r="A9" s="56"/>
      <c r="B9" s="311"/>
      <c r="C9" s="311"/>
      <c r="D9" s="312"/>
      <c r="E9" s="288"/>
      <c r="F9" s="301"/>
      <c r="G9" s="301"/>
      <c r="H9" s="301"/>
      <c r="I9" s="283"/>
      <c r="J9" s="105" t="e">
        <f>IF(AND('Mapa final'!#REF!="Muy Alta",'Mapa final'!#REF!="Leve"),CONCATENATE("R4C",'Mapa final'!#REF!),"")</f>
        <v>#REF!</v>
      </c>
      <c r="K9" s="42" t="e">
        <f>IF(AND('Mapa final'!#REF!="Muy Alta",'Mapa final'!#REF!="Leve"),CONCATENATE("R4C",'Mapa final'!#REF!),"")</f>
        <v>#REF!</v>
      </c>
      <c r="L9" s="106" t="e">
        <f>IF(AND('Mapa final'!#REF!="Muy Alta",'Mapa final'!#REF!="Leve"),CONCATENATE("R4C",'Mapa final'!#REF!),"")</f>
        <v>#REF!</v>
      </c>
      <c r="M9" s="105" t="e">
        <f>IF(AND('Mapa final'!#REF!="Muy Alta",'Mapa final'!#REF!="Menor"),CONCATENATE("R4C",'Mapa final'!#REF!),"")</f>
        <v>#REF!</v>
      </c>
      <c r="N9" s="42" t="e">
        <f>IF(AND('Mapa final'!#REF!="Muy Alta",'Mapa final'!#REF!="Menor"),CONCATENATE("R4C",'Mapa final'!#REF!),"")</f>
        <v>#REF!</v>
      </c>
      <c r="O9" s="106" t="e">
        <f>IF(AND('Mapa final'!#REF!="Muy Alta",'Mapa final'!#REF!="Menor"),CONCATENATE("R4C",'Mapa final'!#REF!),"")</f>
        <v>#REF!</v>
      </c>
      <c r="P9" s="105" t="e">
        <f>IF(AND('Mapa final'!#REF!="Muy Alta",'Mapa final'!#REF!="Moderado"),CONCATENATE("R4C",'Mapa final'!#REF!),"")</f>
        <v>#REF!</v>
      </c>
      <c r="Q9" s="42" t="e">
        <f>IF(AND('Mapa final'!#REF!="Muy Alta",'Mapa final'!#REF!="Moderado"),CONCATENATE("R4C",'Mapa final'!#REF!),"")</f>
        <v>#REF!</v>
      </c>
      <c r="R9" s="106" t="e">
        <f>IF(AND('Mapa final'!#REF!="Muy Alta",'Mapa final'!#REF!="Moderado"),CONCATENATE("R4C",'Mapa final'!#REF!),"")</f>
        <v>#REF!</v>
      </c>
      <c r="S9" s="105" t="e">
        <f>IF(AND('Mapa final'!#REF!="Muy Alta",'Mapa final'!#REF!="Mayor"),CONCATENATE("R4C",'Mapa final'!#REF!),"")</f>
        <v>#REF!</v>
      </c>
      <c r="T9" s="42" t="e">
        <f>IF(AND('Mapa final'!#REF!="Muy Alta",'Mapa final'!#REF!="Mayor"),CONCATENATE("R4C",'Mapa final'!#REF!),"")</f>
        <v>#REF!</v>
      </c>
      <c r="U9" s="106" t="e">
        <f>IF(AND('Mapa final'!#REF!="Muy Alta",'Mapa final'!#REF!="Mayor"),CONCATENATE("R4C",'Mapa final'!#REF!),"")</f>
        <v>#REF!</v>
      </c>
      <c r="V9" s="43" t="e">
        <f>IF(AND('Mapa final'!#REF!="Muy Alta",'Mapa final'!#REF!="Catastrófico"),CONCATENATE("R4C",'Mapa final'!#REF!),"")</f>
        <v>#REF!</v>
      </c>
      <c r="W9" s="44" t="e">
        <f>IF(AND('Mapa final'!#REF!="Muy Alta",'Mapa final'!#REF!="Catastrófico"),CONCATENATE("R4C",'Mapa final'!#REF!),"")</f>
        <v>#REF!</v>
      </c>
      <c r="X9" s="100" t="e">
        <f>IF(AND('Mapa final'!#REF!="Muy Alta",'Mapa final'!#REF!="Catastrófico"),CONCATENATE("R4C",'Mapa final'!#REF!),"")</f>
        <v>#REF!</v>
      </c>
      <c r="Y9" s="56"/>
      <c r="Z9" s="305"/>
      <c r="AA9" s="306"/>
      <c r="AB9" s="306"/>
      <c r="AC9" s="306"/>
      <c r="AD9" s="306"/>
      <c r="AE9" s="307"/>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76" ht="15" customHeight="1" x14ac:dyDescent="0.35">
      <c r="A10" s="56"/>
      <c r="B10" s="311"/>
      <c r="C10" s="311"/>
      <c r="D10" s="312"/>
      <c r="E10" s="288"/>
      <c r="F10" s="301"/>
      <c r="G10" s="301"/>
      <c r="H10" s="301"/>
      <c r="I10" s="283"/>
      <c r="J10" s="105" t="str">
        <f>IF(AND('Mapa final'!$AB$16="Muy Alta",'Mapa final'!$AD$16="Leve"),CONCATENATE("R5C",'Mapa final'!$R$16),"")</f>
        <v/>
      </c>
      <c r="K10" s="42" t="str">
        <f>IF(AND('Mapa final'!$AB$17="Muy Alta",'Mapa final'!$AD$17="Leve"),CONCATENATE("R5C",'Mapa final'!$R$17),"")</f>
        <v/>
      </c>
      <c r="L10" s="106" t="str">
        <f>IF(AND('Mapa final'!$AB$18="Muy Alta",'Mapa final'!$AD$18="Leve"),CONCATENATE("R5C",'Mapa final'!$R$18),"")</f>
        <v/>
      </c>
      <c r="M10" s="105" t="str">
        <f>IF(AND('Mapa final'!$AB$16="Muy Alta",'Mapa final'!$AD$16="Menor"),CONCATENATE("R5C",'Mapa final'!$R$16),"")</f>
        <v/>
      </c>
      <c r="N10" s="42" t="str">
        <f>IF(AND('Mapa final'!$AB$17="Muy Alta",'Mapa final'!$AD$17="Menor"),CONCATENATE("R5C",'Mapa final'!$R$17),"")</f>
        <v/>
      </c>
      <c r="O10" s="106" t="str">
        <f>IF(AND('Mapa final'!$AB$18="Muy Alta",'Mapa final'!$AD$18="Menor"),CONCATENATE("R5C",'Mapa final'!$R$18),"")</f>
        <v/>
      </c>
      <c r="P10" s="105" t="str">
        <f>IF(AND('Mapa final'!$AB$16="Muy Alta",'Mapa final'!$AD$16="Moderado"),CONCATENATE("R5C",'Mapa final'!$R$16),"")</f>
        <v/>
      </c>
      <c r="Q10" s="42" t="str">
        <f>IF(AND('Mapa final'!$AB$17="Muy Alta",'Mapa final'!$AD$17="Moderado"),CONCATENATE("R5C",'Mapa final'!$R$17),"")</f>
        <v/>
      </c>
      <c r="R10" s="106" t="str">
        <f>IF(AND('Mapa final'!$AB$18="Muy Alta",'Mapa final'!$AD$18="Moderado"),CONCATENATE("R5C",'Mapa final'!$R$18),"")</f>
        <v/>
      </c>
      <c r="S10" s="105" t="str">
        <f>IF(AND('Mapa final'!$AB$16="Muy Alta",'Mapa final'!$AD$16="Mayor"),CONCATENATE("R5C",'Mapa final'!$R$16),"")</f>
        <v/>
      </c>
      <c r="T10" s="42" t="str">
        <f>IF(AND('Mapa final'!$AB$17="Muy Alta",'Mapa final'!$AD$17="Mayor"),CONCATENATE("R5C",'Mapa final'!$R$17),"")</f>
        <v/>
      </c>
      <c r="U10" s="106" t="str">
        <f>IF(AND('Mapa final'!$AB$18="Muy Alta",'Mapa final'!$AD$18="Mayor"),CONCATENATE("R5C",'Mapa final'!$R$18),"")</f>
        <v/>
      </c>
      <c r="V10" s="43" t="str">
        <f>IF(AND('Mapa final'!$AB$16="Muy Alta",'Mapa final'!$AD$16="Catastrófico"),CONCATENATE("R5C",'Mapa final'!$R$16),"")</f>
        <v/>
      </c>
      <c r="W10" s="44" t="str">
        <f>IF(AND('Mapa final'!$AB$17="Muy Alta",'Mapa final'!$AD$17="Catastrófico"),CONCATENATE("R5C",'Mapa final'!$R$17),"")</f>
        <v/>
      </c>
      <c r="X10" s="100" t="str">
        <f>IF(AND('Mapa final'!$AB$18="Muy Alta",'Mapa final'!$AD$18="Catastrófico"),CONCATENATE("R5C",'Mapa final'!$R$18),"")</f>
        <v/>
      </c>
      <c r="Y10" s="56"/>
      <c r="Z10" s="305"/>
      <c r="AA10" s="306"/>
      <c r="AB10" s="306"/>
      <c r="AC10" s="306"/>
      <c r="AD10" s="306"/>
      <c r="AE10" s="307"/>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76" ht="15" customHeight="1" x14ac:dyDescent="0.35">
      <c r="A11" s="56"/>
      <c r="B11" s="311"/>
      <c r="C11" s="311"/>
      <c r="D11" s="312"/>
      <c r="E11" s="288"/>
      <c r="F11" s="301"/>
      <c r="G11" s="301"/>
      <c r="H11" s="301"/>
      <c r="I11" s="283"/>
      <c r="J11" s="105" t="str">
        <f>IF(AND('Mapa final'!$AB$19="Muy Alta",'Mapa final'!$AD$19="Leve"),CONCATENATE("R6C",'Mapa final'!$R$19),"")</f>
        <v/>
      </c>
      <c r="K11" s="42" t="str">
        <f>IF(AND('Mapa final'!$AB$20="Muy Alta",'Mapa final'!$AD$20="Leve"),CONCATENATE("R6C",'Mapa final'!$R$20),"")</f>
        <v/>
      </c>
      <c r="L11" s="106" t="str">
        <f>IF(AND('Mapa final'!$AB$21="Muy Alta",'Mapa final'!$AD$21="Leve"),CONCATENATE("R6C",'Mapa final'!$R$21),"")</f>
        <v/>
      </c>
      <c r="M11" s="105" t="str">
        <f>IF(AND('Mapa final'!$AB$19="Muy Alta",'Mapa final'!$AD$19="Menor"),CONCATENATE("R6C",'Mapa final'!$R$19),"")</f>
        <v/>
      </c>
      <c r="N11" s="42" t="str">
        <f>IF(AND('Mapa final'!$AB$20="Muy Alta",'Mapa final'!$AD$20="Menor"),CONCATENATE("R6C",'Mapa final'!$R$20),"")</f>
        <v/>
      </c>
      <c r="O11" s="106" t="str">
        <f>IF(AND('Mapa final'!$AB$21="Muy Alta",'Mapa final'!$AD$21="Menor"),CONCATENATE("R6C",'Mapa final'!$R$21),"")</f>
        <v/>
      </c>
      <c r="P11" s="105" t="str">
        <f>IF(AND('Mapa final'!$AB$19="Muy Alta",'Mapa final'!$AD$19="Moderado"),CONCATENATE("R6C",'Mapa final'!$R$19),"")</f>
        <v/>
      </c>
      <c r="Q11" s="42" t="str">
        <f>IF(AND('Mapa final'!$AB$20="Muy Alta",'Mapa final'!$AD$20="Moderado"),CONCATENATE("R6C",'Mapa final'!$R$20),"")</f>
        <v/>
      </c>
      <c r="R11" s="106" t="str">
        <f>IF(AND('Mapa final'!$AB$21="Muy Alta",'Mapa final'!$AD$21="Moderado"),CONCATENATE("R6C",'Mapa final'!$R$21),"")</f>
        <v/>
      </c>
      <c r="S11" s="105" t="str">
        <f>IF(AND('Mapa final'!$AB$19="Muy Alta",'Mapa final'!$AD$19="Mayor"),CONCATENATE("R6C",'Mapa final'!$R$19),"")</f>
        <v/>
      </c>
      <c r="T11" s="42" t="str">
        <f>IF(AND('Mapa final'!$AB$20="Muy Alta",'Mapa final'!$AD$20="Mayor"),CONCATENATE("R6C",'Mapa final'!$R$20),"")</f>
        <v/>
      </c>
      <c r="U11" s="106" t="str">
        <f>IF(AND('Mapa final'!$AB$21="Muy Alta",'Mapa final'!$AD$21="Mayor"),CONCATENATE("R6C",'Mapa final'!$R$21),"")</f>
        <v/>
      </c>
      <c r="V11" s="43" t="str">
        <f>IF(AND('Mapa final'!$AB$19="Muy Alta",'Mapa final'!$AD$19="Catastrófico"),CONCATENATE("R6C",'Mapa final'!$R$19),"")</f>
        <v/>
      </c>
      <c r="W11" s="44" t="str">
        <f>IF(AND('Mapa final'!$AB$20="Muy Alta",'Mapa final'!$AD$20="Catastrófico"),CONCATENATE("R6C",'Mapa final'!$R$20),"")</f>
        <v/>
      </c>
      <c r="X11" s="100" t="str">
        <f>IF(AND('Mapa final'!$AB$21="Muy Alta",'Mapa final'!$AD$21="Catastrófico"),CONCATENATE("R6C",'Mapa final'!$R$21),"")</f>
        <v/>
      </c>
      <c r="Y11" s="56"/>
      <c r="Z11" s="305"/>
      <c r="AA11" s="306"/>
      <c r="AB11" s="306"/>
      <c r="AC11" s="306"/>
      <c r="AD11" s="306"/>
      <c r="AE11" s="307"/>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76" ht="15" customHeight="1" x14ac:dyDescent="0.35">
      <c r="A12" s="56"/>
      <c r="B12" s="311"/>
      <c r="C12" s="311"/>
      <c r="D12" s="312"/>
      <c r="E12" s="288"/>
      <c r="F12" s="301"/>
      <c r="G12" s="301"/>
      <c r="H12" s="301"/>
      <c r="I12" s="283"/>
      <c r="J12" s="105" t="str">
        <f>IF(AND('Mapa final'!$AB$22="Muy Alta",'Mapa final'!$AD$22="Leve"),CONCATENATE("R7C",'Mapa final'!$R$22),"")</f>
        <v/>
      </c>
      <c r="K12" s="42" t="str">
        <f>IF(AND('Mapa final'!$AB$23="Muy Alta",'Mapa final'!$AD$23="Leve"),CONCATENATE("R7C",'Mapa final'!$R$23),"")</f>
        <v/>
      </c>
      <c r="L12" s="106" t="str">
        <f>IF(AND('Mapa final'!$AB$24="Muy Alta",'Mapa final'!$AD$24="Leve"),CONCATENATE("R7C",'Mapa final'!$R$24),"")</f>
        <v/>
      </c>
      <c r="M12" s="105" t="str">
        <f>IF(AND('Mapa final'!$AB$22="Muy Alta",'Mapa final'!$AD$22="Menor"),CONCATENATE("R7C",'Mapa final'!$R$22),"")</f>
        <v/>
      </c>
      <c r="N12" s="42" t="str">
        <f>IF(AND('Mapa final'!$AB$23="Muy Alta",'Mapa final'!$AD$23="Menor"),CONCATENATE("R7C",'Mapa final'!$R$23),"")</f>
        <v/>
      </c>
      <c r="O12" s="106" t="str">
        <f>IF(AND('Mapa final'!$AB$24="Muy Alta",'Mapa final'!$AD$24="Menor"),CONCATENATE("R7C",'Mapa final'!$R$24),"")</f>
        <v/>
      </c>
      <c r="P12" s="105" t="str">
        <f>IF(AND('Mapa final'!$AB$22="Muy Alta",'Mapa final'!$AD$22="Moderado"),CONCATENATE("R7C",'Mapa final'!$R$22),"")</f>
        <v/>
      </c>
      <c r="Q12" s="42" t="str">
        <f>IF(AND('Mapa final'!$AB$23="Muy Alta",'Mapa final'!$AD$23="Moderado"),CONCATENATE("R7C",'Mapa final'!$R$23),"")</f>
        <v/>
      </c>
      <c r="R12" s="106" t="str">
        <f>IF(AND('Mapa final'!$AB$24="Muy Alta",'Mapa final'!$AD$24="Moderado"),CONCATENATE("R7C",'Mapa final'!$R$24),"")</f>
        <v/>
      </c>
      <c r="S12" s="105" t="str">
        <f>IF(AND('Mapa final'!$AB$22="Muy Alta",'Mapa final'!$AD$22="Mayor"),CONCATENATE("R7C",'Mapa final'!$R$22),"")</f>
        <v/>
      </c>
      <c r="T12" s="42" t="str">
        <f>IF(AND('Mapa final'!$AB$23="Muy Alta",'Mapa final'!$AD$23="Mayor"),CONCATENATE("R7C",'Mapa final'!$R$23),"")</f>
        <v/>
      </c>
      <c r="U12" s="106" t="str">
        <f>IF(AND('Mapa final'!$AB$24="Muy Alta",'Mapa final'!$AD$24="Mayor"),CONCATENATE("R7C",'Mapa final'!$R$24),"")</f>
        <v/>
      </c>
      <c r="V12" s="43" t="str">
        <f>IF(AND('Mapa final'!$AB$22="Muy Alta",'Mapa final'!$AD$22="Catastrófico"),CONCATENATE("R7C",'Mapa final'!$R$22),"")</f>
        <v/>
      </c>
      <c r="W12" s="44" t="str">
        <f>IF(AND('Mapa final'!$AB$23="Muy Alta",'Mapa final'!$AD$23="Catastrófico"),CONCATENATE("R7C",'Mapa final'!$R$23),"")</f>
        <v/>
      </c>
      <c r="X12" s="100" t="str">
        <f>IF(AND('Mapa final'!$AB$24="Muy Alta",'Mapa final'!$AD$24="Catastrófico"),CONCATENATE("R7C",'Mapa final'!$R$24),"")</f>
        <v/>
      </c>
      <c r="Y12" s="56"/>
      <c r="Z12" s="305"/>
      <c r="AA12" s="306"/>
      <c r="AB12" s="306"/>
      <c r="AC12" s="306"/>
      <c r="AD12" s="306"/>
      <c r="AE12" s="307"/>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76" ht="15" customHeight="1" x14ac:dyDescent="0.35">
      <c r="A13" s="56"/>
      <c r="B13" s="311"/>
      <c r="C13" s="311"/>
      <c r="D13" s="312"/>
      <c r="E13" s="288"/>
      <c r="F13" s="301"/>
      <c r="G13" s="301"/>
      <c r="H13" s="301"/>
      <c r="I13" s="283"/>
      <c r="J13" s="105" t="str">
        <f>IF(AND('Mapa final'!$AB$25="Muy Alta",'Mapa final'!$AD$25="Leve"),CONCATENATE("R8C",'Mapa final'!$R$25),"")</f>
        <v/>
      </c>
      <c r="K13" s="42" t="str">
        <f>IF(AND('Mapa final'!$AB$26="Muy Alta",'Mapa final'!$AD$26="Leve"),CONCATENATE("R8C",'Mapa final'!$R$26),"")</f>
        <v/>
      </c>
      <c r="L13" s="106" t="str">
        <f>IF(AND('Mapa final'!$AB$27="Muy Alta",'Mapa final'!$AD$27="Leve"),CONCATENATE("R8C",'Mapa final'!$R$27),"")</f>
        <v/>
      </c>
      <c r="M13" s="105" t="str">
        <f>IF(AND('Mapa final'!$AB$25="Muy Alta",'Mapa final'!$AD$25="Menor"),CONCATENATE("R8C",'Mapa final'!$R$25),"")</f>
        <v/>
      </c>
      <c r="N13" s="42" t="str">
        <f>IF(AND('Mapa final'!$AB$26="Muy Alta",'Mapa final'!$AD$26="Menor"),CONCATENATE("R8C",'Mapa final'!$R$26),"")</f>
        <v/>
      </c>
      <c r="O13" s="106" t="str">
        <f>IF(AND('Mapa final'!$AB$27="Muy Alta",'Mapa final'!$AD$27="Menor"),CONCATENATE("R8C",'Mapa final'!$R$27),"")</f>
        <v/>
      </c>
      <c r="P13" s="105" t="str">
        <f>IF(AND('Mapa final'!$AB$25="Muy Alta",'Mapa final'!$AD$25="Moderado"),CONCATENATE("R8C",'Mapa final'!$R$25),"")</f>
        <v/>
      </c>
      <c r="Q13" s="42" t="str">
        <f>IF(AND('Mapa final'!$AB$26="Muy Alta",'Mapa final'!$AD$26="Moderado"),CONCATENATE("R8C",'Mapa final'!$R$26),"")</f>
        <v/>
      </c>
      <c r="R13" s="106" t="str">
        <f>IF(AND('Mapa final'!$AB$27="Muy Alta",'Mapa final'!$AD$27="Moderado"),CONCATENATE("R8C",'Mapa final'!$R$27),"")</f>
        <v/>
      </c>
      <c r="S13" s="105" t="str">
        <f>IF(AND('Mapa final'!$AB$25="Muy Alta",'Mapa final'!$AD$25="Mayor"),CONCATENATE("R8C",'Mapa final'!$R$25),"")</f>
        <v/>
      </c>
      <c r="T13" s="42" t="str">
        <f>IF(AND('Mapa final'!$AB$26="Muy Alta",'Mapa final'!$AD$26="Mayor"),CONCATENATE("R8C",'Mapa final'!$R$26),"")</f>
        <v/>
      </c>
      <c r="U13" s="106" t="str">
        <f>IF(AND('Mapa final'!$AB$27="Muy Alta",'Mapa final'!$AD$27="Mayor"),CONCATENATE("R8C",'Mapa final'!$R$27),"")</f>
        <v/>
      </c>
      <c r="V13" s="43" t="str">
        <f>IF(AND('Mapa final'!$AB$25="Muy Alta",'Mapa final'!$AD$25="Catastrófico"),CONCATENATE("R8C",'Mapa final'!$R$25),"")</f>
        <v/>
      </c>
      <c r="W13" s="44" t="str">
        <f>IF(AND('Mapa final'!$AB$26="Muy Alta",'Mapa final'!$AD$26="Catastrófico"),CONCATENATE("R8C",'Mapa final'!$R$26),"")</f>
        <v/>
      </c>
      <c r="X13" s="100" t="str">
        <f>IF(AND('Mapa final'!$AB$27="Muy Alta",'Mapa final'!$AD$27="Catastrófico"),CONCATENATE("R8C",'Mapa final'!$R$27),"")</f>
        <v/>
      </c>
      <c r="Y13" s="56"/>
      <c r="Z13" s="305"/>
      <c r="AA13" s="306"/>
      <c r="AB13" s="306"/>
      <c r="AC13" s="306"/>
      <c r="AD13" s="306"/>
      <c r="AE13" s="307"/>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76" ht="15" customHeight="1" x14ac:dyDescent="0.35">
      <c r="A14" s="56"/>
      <c r="B14" s="311"/>
      <c r="C14" s="311"/>
      <c r="D14" s="312"/>
      <c r="E14" s="288"/>
      <c r="F14" s="301"/>
      <c r="G14" s="301"/>
      <c r="H14" s="301"/>
      <c r="I14" s="283"/>
      <c r="J14" s="105" t="str">
        <f>IF(AND('Mapa final'!$AB$28="Muy Alta",'Mapa final'!$AD$28="Leve"),CONCATENATE("R9C",'Mapa final'!$R$28),"")</f>
        <v/>
      </c>
      <c r="K14" s="42" t="str">
        <f>IF(AND('Mapa final'!$AB$29="Muy Alta",'Mapa final'!$AD$29="Leve"),CONCATENATE("R9C",'Mapa final'!$R$29),"")</f>
        <v/>
      </c>
      <c r="L14" s="106" t="str">
        <f>IF(AND('Mapa final'!$AB$30="Muy Alta",'Mapa final'!$AD$30="Leve"),CONCATENATE("R9C",'Mapa final'!$R$30),"")</f>
        <v/>
      </c>
      <c r="M14" s="105" t="str">
        <f>IF(AND('Mapa final'!$AB$28="Muy Alta",'Mapa final'!$AD$28="Menor"),CONCATENATE("R9C",'Mapa final'!$R$28),"")</f>
        <v/>
      </c>
      <c r="N14" s="42" t="str">
        <f>IF(AND('Mapa final'!$AB$29="Muy Alta",'Mapa final'!$AD$29="Menor"),CONCATENATE("R9C",'Mapa final'!$R$29),"")</f>
        <v/>
      </c>
      <c r="O14" s="106" t="str">
        <f>IF(AND('Mapa final'!$AB$30="Muy Alta",'Mapa final'!$AD$30="Menor"),CONCATENATE("R9C",'Mapa final'!$R$30),"")</f>
        <v/>
      </c>
      <c r="P14" s="105" t="str">
        <f>IF(AND('Mapa final'!$AB$28="Muy Alta",'Mapa final'!$AD$28="Moderado"),CONCATENATE("R9C",'Mapa final'!$R$28),"")</f>
        <v/>
      </c>
      <c r="Q14" s="42" t="str">
        <f>IF(AND('Mapa final'!$AB$29="Muy Alta",'Mapa final'!$AD$29="Moderado"),CONCATENATE("R9C",'Mapa final'!$R$29),"")</f>
        <v/>
      </c>
      <c r="R14" s="106" t="str">
        <f>IF(AND('Mapa final'!$AB$30="Muy Alta",'Mapa final'!$AD$30="Moderado"),CONCATENATE("R9C",'Mapa final'!$R$30),"")</f>
        <v/>
      </c>
      <c r="S14" s="105" t="str">
        <f>IF(AND('Mapa final'!$AB$28="Muy Alta",'Mapa final'!$AD$28="Mayor"),CONCATENATE("R9C",'Mapa final'!$R$28),"")</f>
        <v/>
      </c>
      <c r="T14" s="42" t="str">
        <f>IF(AND('Mapa final'!$AB$29="Muy Alta",'Mapa final'!$AD$29="Mayor"),CONCATENATE("R9C",'Mapa final'!$R$29),"")</f>
        <v/>
      </c>
      <c r="U14" s="106" t="str">
        <f>IF(AND('Mapa final'!$AB$30="Muy Alta",'Mapa final'!$AD$30="Mayor"),CONCATENATE("R9C",'Mapa final'!$R$30),"")</f>
        <v/>
      </c>
      <c r="V14" s="43" t="str">
        <f>IF(AND('Mapa final'!$AB$28="Muy Alta",'Mapa final'!$AD$28="Catastrófico"),CONCATENATE("R9C",'Mapa final'!$R$28),"")</f>
        <v/>
      </c>
      <c r="W14" s="44" t="str">
        <f>IF(AND('Mapa final'!$AB$29="Muy Alta",'Mapa final'!$AD$29="Catastrófico"),CONCATENATE("R9C",'Mapa final'!$R$29),"")</f>
        <v/>
      </c>
      <c r="X14" s="100" t="str">
        <f>IF(AND('Mapa final'!$AB$30="Muy Alta",'Mapa final'!$AD$30="Catastrófico"),CONCATENATE("R9C",'Mapa final'!$R$30),"")</f>
        <v/>
      </c>
      <c r="Y14" s="56"/>
      <c r="Z14" s="305"/>
      <c r="AA14" s="306"/>
      <c r="AB14" s="306"/>
      <c r="AC14" s="306"/>
      <c r="AD14" s="306"/>
      <c r="AE14" s="307"/>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76" ht="15" customHeight="1" x14ac:dyDescent="0.35">
      <c r="A15" s="56"/>
      <c r="B15" s="311"/>
      <c r="C15" s="311"/>
      <c r="D15" s="312"/>
      <c r="E15" s="288"/>
      <c r="F15" s="301"/>
      <c r="G15" s="301"/>
      <c r="H15" s="301"/>
      <c r="I15" s="283"/>
      <c r="J15" s="105" t="str">
        <f>IF(AND('Mapa final'!$AB$31="Muy Alta",'Mapa final'!$AD$31="Leve"),CONCATENATE("R10C",'Mapa final'!$R$31),"")</f>
        <v/>
      </c>
      <c r="K15" s="42" t="str">
        <f>IF(AND('Mapa final'!$AB$32="Muy Alta",'Mapa final'!$AD$32="Leve"),CONCATENATE("R10C",'Mapa final'!$R$32),"")</f>
        <v/>
      </c>
      <c r="L15" s="106" t="str">
        <f>IF(AND('Mapa final'!$AB$33="Muy Alta",'Mapa final'!$AD$33="Leve"),CONCATENATE("R10C",'Mapa final'!$R$33),"")</f>
        <v/>
      </c>
      <c r="M15" s="105" t="str">
        <f>IF(AND('Mapa final'!$AB$31="Muy Alta",'Mapa final'!$AD$31="Menor"),CONCATENATE("R10C",'Mapa final'!$R$31),"")</f>
        <v/>
      </c>
      <c r="N15" s="42" t="str">
        <f>IF(AND('Mapa final'!$AB$32="Muy Alta",'Mapa final'!$AD$32="Menor"),CONCATENATE("R10C",'Mapa final'!$R$32),"")</f>
        <v/>
      </c>
      <c r="O15" s="106" t="str">
        <f>IF(AND('Mapa final'!$AB$33="Muy Alta",'Mapa final'!$AD$33="Menor"),CONCATENATE("R10C",'Mapa final'!$R$33),"")</f>
        <v/>
      </c>
      <c r="P15" s="105" t="str">
        <f>IF(AND('Mapa final'!$AB$31="Muy Alta",'Mapa final'!$AD$31="Moderado"),CONCATENATE("R10C",'Mapa final'!$R$31),"")</f>
        <v/>
      </c>
      <c r="Q15" s="42" t="str">
        <f>IF(AND('Mapa final'!$AB$32="Muy Alta",'Mapa final'!$AD$32="Moderado"),CONCATENATE("R10C",'Mapa final'!$R$32),"")</f>
        <v/>
      </c>
      <c r="R15" s="106" t="str">
        <f>IF(AND('Mapa final'!$AB$33="Muy Alta",'Mapa final'!$AD$33="Moderado"),CONCATENATE("R10C",'Mapa final'!$R$33),"")</f>
        <v/>
      </c>
      <c r="S15" s="105" t="str">
        <f>IF(AND('Mapa final'!$AB$31="Muy Alta",'Mapa final'!$AD$31="Mayor"),CONCATENATE("R10C",'Mapa final'!$R$31),"")</f>
        <v/>
      </c>
      <c r="T15" s="42" t="str">
        <f>IF(AND('Mapa final'!$AB$32="Muy Alta",'Mapa final'!$AD$32="Mayor"),CONCATENATE("R10C",'Mapa final'!$R$32),"")</f>
        <v/>
      </c>
      <c r="U15" s="106" t="str">
        <f>IF(AND('Mapa final'!$AB$33="Muy Alta",'Mapa final'!$AD$33="Mayor"),CONCATENATE("R10C",'Mapa final'!$R$33),"")</f>
        <v/>
      </c>
      <c r="V15" s="43" t="str">
        <f>IF(AND('Mapa final'!$AB$31="Muy Alta",'Mapa final'!$AD$31="Catastrófico"),CONCATENATE("R10C",'Mapa final'!$R$31),"")</f>
        <v/>
      </c>
      <c r="W15" s="44" t="str">
        <f>IF(AND('Mapa final'!$AB$32="Muy Alta",'Mapa final'!$AD$32="Catastrófico"),CONCATENATE("R10C",'Mapa final'!$R$32),"")</f>
        <v/>
      </c>
      <c r="X15" s="100" t="str">
        <f>IF(AND('Mapa final'!$AB$33="Muy Alta",'Mapa final'!$AD$33="Catastrófico"),CONCATENATE("R10C",'Mapa final'!$R$33),"")</f>
        <v/>
      </c>
      <c r="Y15" s="56"/>
      <c r="Z15" s="305"/>
      <c r="AA15" s="306"/>
      <c r="AB15" s="306"/>
      <c r="AC15" s="306"/>
      <c r="AD15" s="306"/>
      <c r="AE15" s="307"/>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76" ht="15" customHeight="1" x14ac:dyDescent="0.35">
      <c r="A16" s="56"/>
      <c r="B16" s="311"/>
      <c r="C16" s="311"/>
      <c r="D16" s="312"/>
      <c r="E16" s="288"/>
      <c r="F16" s="301"/>
      <c r="G16" s="301"/>
      <c r="H16" s="301"/>
      <c r="I16" s="283"/>
      <c r="J16" s="105" t="str">
        <f>IF(AND('Mapa final'!$AB$34="Muy Alta",'Mapa final'!$AD$34="Leve"),CONCATENATE("R11C",'Mapa final'!$R$34),"")</f>
        <v/>
      </c>
      <c r="K16" s="42" t="str">
        <f>IF(AND('Mapa final'!$AB$35="Muy Alta",'Mapa final'!$AD$35="Leve"),CONCATENATE("R11C",'Mapa final'!$R$35),"")</f>
        <v/>
      </c>
      <c r="L16" s="106" t="str">
        <f>IF(AND('Mapa final'!$AB$36="Muy Alta",'Mapa final'!$AD$36="Leve"),CONCATENATE("R11C",'Mapa final'!$R$36),"")</f>
        <v/>
      </c>
      <c r="M16" s="105" t="str">
        <f>IF(AND('Mapa final'!$AB$34="Muy Alta",'Mapa final'!$AD$34="Menor"),CONCATENATE("R11C",'Mapa final'!$R$34),"")</f>
        <v/>
      </c>
      <c r="N16" s="42" t="str">
        <f>IF(AND('Mapa final'!$AB$35="Muy Alta",'Mapa final'!$AD$35="Menor"),CONCATENATE("R11C",'Mapa final'!$R$35),"")</f>
        <v/>
      </c>
      <c r="O16" s="106" t="str">
        <f>IF(AND('Mapa final'!$AB$36="Muy Alta",'Mapa final'!$AD$36="Menor"),CONCATENATE("R11C",'Mapa final'!$R$36),"")</f>
        <v/>
      </c>
      <c r="P16" s="105" t="str">
        <f>IF(AND('Mapa final'!$AB$34="Muy Alta",'Mapa final'!$AD$34="Moderado"),CONCATENATE("R11C",'Mapa final'!$R$34),"")</f>
        <v/>
      </c>
      <c r="Q16" s="42" t="str">
        <f>IF(AND('Mapa final'!$AB$35="Muy Alta",'Mapa final'!$AD$35="Moderado"),CONCATENATE("R11C",'Mapa final'!$R$35),"")</f>
        <v/>
      </c>
      <c r="R16" s="106" t="str">
        <f>IF(AND('Mapa final'!$AB$36="Muy Alta",'Mapa final'!$AD$36="Moderado"),CONCATENATE("R11C",'Mapa final'!$R$36),"")</f>
        <v/>
      </c>
      <c r="S16" s="105" t="str">
        <f>IF(AND('Mapa final'!$AB$34="Muy Alta",'Mapa final'!$AD$34="Mayor"),CONCATENATE("R11C",'Mapa final'!$R$34),"")</f>
        <v/>
      </c>
      <c r="T16" s="42" t="str">
        <f>IF(AND('Mapa final'!$AB$35="Muy Alta",'Mapa final'!$AD$35="Mayor"),CONCATENATE("R11C",'Mapa final'!$R$35),"")</f>
        <v/>
      </c>
      <c r="U16" s="106" t="str">
        <f>IF(AND('Mapa final'!$AB$36="Muy Alta",'Mapa final'!$AD$36="Mayor"),CONCATENATE("R11C",'Mapa final'!$R$36),"")</f>
        <v/>
      </c>
      <c r="V16" s="43" t="str">
        <f>IF(AND('Mapa final'!$AB$34="Muy Alta",'Mapa final'!$AD$34="Catastrófico"),CONCATENATE("R11C",'Mapa final'!$R$34),"")</f>
        <v/>
      </c>
      <c r="W16" s="44" t="str">
        <f>IF(AND('Mapa final'!$AB$35="Muy Alta",'Mapa final'!$AD$35="Catastrófico"),CONCATENATE("R11C",'Mapa final'!$R$35),"")</f>
        <v/>
      </c>
      <c r="X16" s="100" t="str">
        <f>IF(AND('Mapa final'!$AB$36="Muy Alta",'Mapa final'!$AD$36="Catastrófico"),CONCATENATE("R11C",'Mapa final'!$R$36),"")</f>
        <v/>
      </c>
      <c r="Y16" s="56"/>
      <c r="Z16" s="305"/>
      <c r="AA16" s="306"/>
      <c r="AB16" s="306"/>
      <c r="AC16" s="306"/>
      <c r="AD16" s="306"/>
      <c r="AE16" s="307"/>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ht="15" customHeight="1" x14ac:dyDescent="0.35">
      <c r="A17" s="56"/>
      <c r="B17" s="311"/>
      <c r="C17" s="311"/>
      <c r="D17" s="312"/>
      <c r="E17" s="288"/>
      <c r="F17" s="301"/>
      <c r="G17" s="301"/>
      <c r="H17" s="301"/>
      <c r="I17" s="283"/>
      <c r="J17" s="105" t="str">
        <f>IF(AND('Mapa final'!$AB$37="Muy Alta",'Mapa final'!$AD$37="Leve"),CONCATENATE("R12C",'Mapa final'!$R$37),"")</f>
        <v/>
      </c>
      <c r="K17" s="42" t="str">
        <f>IF(AND('Mapa final'!$AB$38="Muy Alta",'Mapa final'!$AD$38="Leve"),CONCATENATE("R12C",'Mapa final'!$R$38),"")</f>
        <v/>
      </c>
      <c r="L17" s="106" t="str">
        <f>IF(AND('Mapa final'!$AB$39="Muy Alta",'Mapa final'!$AD$39="Leve"),CONCATENATE("R12C",'Mapa final'!$R$39),"")</f>
        <v/>
      </c>
      <c r="M17" s="105" t="str">
        <f>IF(AND('Mapa final'!$AB$37="Muy Alta",'Mapa final'!$AD$37="Menor"),CONCATENATE("R12C",'Mapa final'!$R$37),"")</f>
        <v/>
      </c>
      <c r="N17" s="42" t="str">
        <f>IF(AND('Mapa final'!$AB$38="Muy Alta",'Mapa final'!$AD$38="Menor"),CONCATENATE("R12C",'Mapa final'!$R$38),"")</f>
        <v/>
      </c>
      <c r="O17" s="106" t="str">
        <f>IF(AND('Mapa final'!$AB$39="Muy Alta",'Mapa final'!$AD$39="Menor"),CONCATENATE("R12C",'Mapa final'!$R$39),"")</f>
        <v/>
      </c>
      <c r="P17" s="105" t="str">
        <f>IF(AND('Mapa final'!$AB$37="Muy Alta",'Mapa final'!$AD$37="Moderado"),CONCATENATE("R12C",'Mapa final'!$R$37),"")</f>
        <v/>
      </c>
      <c r="Q17" s="42" t="str">
        <f>IF(AND('Mapa final'!$AB$38="Muy Alta",'Mapa final'!$AD$38="Moderado"),CONCATENATE("R12C",'Mapa final'!$R$38),"")</f>
        <v/>
      </c>
      <c r="R17" s="106" t="str">
        <f>IF(AND('Mapa final'!$AB$39="Muy Alta",'Mapa final'!$AD$39="Moderado"),CONCATENATE("R12C",'Mapa final'!$R$39),"")</f>
        <v/>
      </c>
      <c r="S17" s="105" t="str">
        <f>IF(AND('Mapa final'!$AB$37="Muy Alta",'Mapa final'!$AD$37="Mayor"),CONCATENATE("R12C",'Mapa final'!$R$37),"")</f>
        <v/>
      </c>
      <c r="T17" s="42" t="str">
        <f>IF(AND('Mapa final'!$AB$38="Muy Alta",'Mapa final'!$AD$38="Mayor"),CONCATENATE("R12C",'Mapa final'!$R$38),"")</f>
        <v/>
      </c>
      <c r="U17" s="106" t="str">
        <f>IF(AND('Mapa final'!$AB$39="Muy Alta",'Mapa final'!$AD$39="Mayor"),CONCATENATE("R12C",'Mapa final'!$R$39),"")</f>
        <v/>
      </c>
      <c r="V17" s="43" t="str">
        <f>IF(AND('Mapa final'!$AB$37="Muy Alta",'Mapa final'!$AD$37="Catastrófico"),CONCATENATE("R12C",'Mapa final'!$R$37),"")</f>
        <v/>
      </c>
      <c r="W17" s="44" t="str">
        <f>IF(AND('Mapa final'!$AB$38="Muy Alta",'Mapa final'!$AD$38="Catastrófico"),CONCATENATE("R12C",'Mapa final'!$R$38),"")</f>
        <v/>
      </c>
      <c r="X17" s="100" t="str">
        <f>IF(AND('Mapa final'!$AB$39="Muy Alta",'Mapa final'!$AD$39="Catastrófico"),CONCATENATE("R12C",'Mapa final'!$R$39),"")</f>
        <v/>
      </c>
      <c r="Y17" s="56"/>
      <c r="Z17" s="305"/>
      <c r="AA17" s="306"/>
      <c r="AB17" s="306"/>
      <c r="AC17" s="306"/>
      <c r="AD17" s="306"/>
      <c r="AE17" s="307"/>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x14ac:dyDescent="0.35">
      <c r="A18" s="56"/>
      <c r="B18" s="311"/>
      <c r="C18" s="311"/>
      <c r="D18" s="312"/>
      <c r="E18" s="288"/>
      <c r="F18" s="301"/>
      <c r="G18" s="301"/>
      <c r="H18" s="301"/>
      <c r="I18" s="283"/>
      <c r="J18" s="105" t="str">
        <f>IF(AND('Mapa final'!$AB$40="Muy Alta",'Mapa final'!$AD$40="Leve"),CONCATENATE("R13C",'Mapa final'!$R$40),"")</f>
        <v/>
      </c>
      <c r="K18" s="42" t="str">
        <f>IF(AND('Mapa final'!$AB$41="Muy Alta",'Mapa final'!$AD$41="Leve"),CONCATENATE("R13C",'Mapa final'!$R$41),"")</f>
        <v/>
      </c>
      <c r="L18" s="106" t="str">
        <f>IF(AND('Mapa final'!$AB$42="Muy Alta",'Mapa final'!$AD$42="Leve"),CONCATENATE("R13C",'Mapa final'!$R$42),"")</f>
        <v/>
      </c>
      <c r="M18" s="105" t="str">
        <f>IF(AND('Mapa final'!$AB$40="Muy Alta",'Mapa final'!$AD$40="Menor"),CONCATENATE("R13C",'Mapa final'!$R$40),"")</f>
        <v/>
      </c>
      <c r="N18" s="42" t="str">
        <f>IF(AND('Mapa final'!$AB$41="Muy Alta",'Mapa final'!$AD$41="Menor"),CONCATENATE("R13C",'Mapa final'!$R$41),"")</f>
        <v/>
      </c>
      <c r="O18" s="106" t="str">
        <f>IF(AND('Mapa final'!$AB$42="Muy Alta",'Mapa final'!$AD$42="Menor"),CONCATENATE("R13C",'Mapa final'!$R$42),"")</f>
        <v/>
      </c>
      <c r="P18" s="105" t="str">
        <f>IF(AND('Mapa final'!$AB$40="Muy Alta",'Mapa final'!$AD$40="Moderado"),CONCATENATE("R13C",'Mapa final'!$R$40),"")</f>
        <v/>
      </c>
      <c r="Q18" s="42" t="str">
        <f>IF(AND('Mapa final'!$AB$41="Muy Alta",'Mapa final'!$AD$41="Moderado"),CONCATENATE("R13C",'Mapa final'!$R$41),"")</f>
        <v/>
      </c>
      <c r="R18" s="106" t="str">
        <f>IF(AND('Mapa final'!$AB$42="Muy Alta",'Mapa final'!$AD$42="Moderado"),CONCATENATE("R13C",'Mapa final'!$R$42),"")</f>
        <v/>
      </c>
      <c r="S18" s="105" t="str">
        <f>IF(AND('Mapa final'!$AB$40="Muy Alta",'Mapa final'!$AD$40="Mayor"),CONCATENATE("R13C",'Mapa final'!$R$40),"")</f>
        <v/>
      </c>
      <c r="T18" s="42" t="str">
        <f>IF(AND('Mapa final'!$AB$41="Muy Alta",'Mapa final'!$AD$41="Mayor"),CONCATENATE("R13C",'Mapa final'!$R$41),"")</f>
        <v/>
      </c>
      <c r="U18" s="106" t="str">
        <f>IF(AND('Mapa final'!$AB$42="Muy Alta",'Mapa final'!$AD$42="Mayor"),CONCATENATE("R13C",'Mapa final'!$R$42),"")</f>
        <v/>
      </c>
      <c r="V18" s="43" t="str">
        <f>IF(AND('Mapa final'!$AB$40="Muy Alta",'Mapa final'!$AD$40="Catastrófico"),CONCATENATE("R13C",'Mapa final'!$R$40),"")</f>
        <v/>
      </c>
      <c r="W18" s="44" t="str">
        <f>IF(AND('Mapa final'!$AB$41="Muy Alta",'Mapa final'!$AD$41="Catastrófico"),CONCATENATE("R13C",'Mapa final'!$R$41),"")</f>
        <v/>
      </c>
      <c r="X18" s="100" t="str">
        <f>IF(AND('Mapa final'!$AB$42="Muy Alta",'Mapa final'!$AD$42="Catastrófico"),CONCATENATE("R13C",'Mapa final'!$R$42),"")</f>
        <v/>
      </c>
      <c r="Y18" s="56"/>
      <c r="Z18" s="305"/>
      <c r="AA18" s="306"/>
      <c r="AB18" s="306"/>
      <c r="AC18" s="306"/>
      <c r="AD18" s="306"/>
      <c r="AE18" s="307"/>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row>
    <row r="19" spans="1:61" ht="15" customHeight="1" x14ac:dyDescent="0.35">
      <c r="A19" s="56"/>
      <c r="B19" s="311"/>
      <c r="C19" s="311"/>
      <c r="D19" s="312"/>
      <c r="E19" s="288"/>
      <c r="F19" s="301"/>
      <c r="G19" s="301"/>
      <c r="H19" s="301"/>
      <c r="I19" s="283"/>
      <c r="J19" s="105" t="str">
        <f>IF(AND('Mapa final'!$AB$43="Muy Alta",'Mapa final'!$AD$43="Leve"),CONCATENATE("R14C",'Mapa final'!$R$43),"")</f>
        <v/>
      </c>
      <c r="K19" s="42" t="str">
        <f>IF(AND('Mapa final'!$AB$44="Muy Alta",'Mapa final'!$AD$44="Leve"),CONCATENATE("R14C",'Mapa final'!$R$44),"")</f>
        <v/>
      </c>
      <c r="L19" s="106" t="str">
        <f>IF(AND('Mapa final'!$AB$45="Muy Alta",'Mapa final'!$AD$45="Leve"),CONCATENATE("R14C",'Mapa final'!$R$45),"")</f>
        <v/>
      </c>
      <c r="M19" s="105" t="str">
        <f>IF(AND('Mapa final'!$AB$43="Muy Alta",'Mapa final'!$AD$43="Menor"),CONCATENATE("R14C",'Mapa final'!$R$43),"")</f>
        <v/>
      </c>
      <c r="N19" s="42" t="str">
        <f>IF(AND('Mapa final'!$AB$44="Muy Alta",'Mapa final'!$AD$44="Menor"),CONCATENATE("R14C",'Mapa final'!$R$44),"")</f>
        <v/>
      </c>
      <c r="O19" s="106" t="str">
        <f>IF(AND('Mapa final'!$AB$45="Muy Alta",'Mapa final'!$AD$45="Menor"),CONCATENATE("R14C",'Mapa final'!$R$45),"")</f>
        <v/>
      </c>
      <c r="P19" s="105" t="str">
        <f>IF(AND('Mapa final'!$AB$43="Muy Alta",'Mapa final'!$AD$43="Moderado"),CONCATENATE("R14C",'Mapa final'!$R$43),"")</f>
        <v/>
      </c>
      <c r="Q19" s="42" t="str">
        <f>IF(AND('Mapa final'!$AB$44="Muy Alta",'Mapa final'!$AD$44="Moderado"),CONCATENATE("R14C",'Mapa final'!$R$44),"")</f>
        <v/>
      </c>
      <c r="R19" s="106" t="str">
        <f>IF(AND('Mapa final'!$AB$45="Muy Alta",'Mapa final'!$AD$45="Moderado"),CONCATENATE("R14C",'Mapa final'!$R$45),"")</f>
        <v/>
      </c>
      <c r="S19" s="105" t="str">
        <f>IF(AND('Mapa final'!$AB$43="Muy Alta",'Mapa final'!$AD$43="Mayor"),CONCATENATE("R14C",'Mapa final'!$R$43),"")</f>
        <v/>
      </c>
      <c r="T19" s="42" t="str">
        <f>IF(AND('Mapa final'!$AB$44="Muy Alta",'Mapa final'!$AD$44="Mayor"),CONCATENATE("R14C",'Mapa final'!$R$44),"")</f>
        <v/>
      </c>
      <c r="U19" s="106" t="str">
        <f>IF(AND('Mapa final'!$AB$45="Muy Alta",'Mapa final'!$AD$45="Mayor"),CONCATENATE("R14C",'Mapa final'!$R$45),"")</f>
        <v/>
      </c>
      <c r="V19" s="43" t="str">
        <f>IF(AND('Mapa final'!$AB$43="Muy Alta",'Mapa final'!$AD$43="Catastrófico"),CONCATENATE("R14C",'Mapa final'!$R$43),"")</f>
        <v/>
      </c>
      <c r="W19" s="44" t="str">
        <f>IF(AND('Mapa final'!$AB$44="Muy Alta",'Mapa final'!$AD$44="Catastrófico"),CONCATENATE("R14C",'Mapa final'!$R$44),"")</f>
        <v/>
      </c>
      <c r="X19" s="100" t="str">
        <f>IF(AND('Mapa final'!$AB$45="Muy Alta",'Mapa final'!$AD$45="Catastrófico"),CONCATENATE("R14C",'Mapa final'!$R$45),"")</f>
        <v/>
      </c>
      <c r="Y19" s="56"/>
      <c r="Z19" s="305"/>
      <c r="AA19" s="306"/>
      <c r="AB19" s="306"/>
      <c r="AC19" s="306"/>
      <c r="AD19" s="306"/>
      <c r="AE19" s="307"/>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row>
    <row r="20" spans="1:61" ht="15" customHeight="1" x14ac:dyDescent="0.35">
      <c r="A20" s="56"/>
      <c r="B20" s="311"/>
      <c r="C20" s="311"/>
      <c r="D20" s="312"/>
      <c r="E20" s="288"/>
      <c r="F20" s="301"/>
      <c r="G20" s="301"/>
      <c r="H20" s="301"/>
      <c r="I20" s="283"/>
      <c r="J20" s="105" t="str">
        <f>IF(AND('Mapa final'!$AB$46="Muy Alta",'Mapa final'!$AD$46="Leve"),CONCATENATE("R15C",'Mapa final'!$R$46),"")</f>
        <v/>
      </c>
      <c r="K20" s="42" t="str">
        <f>IF(AND('Mapa final'!$AB$47="Muy Alta",'Mapa final'!$AD$47="Leve"),CONCATENATE("R15C",'Mapa final'!$R$47),"")</f>
        <v/>
      </c>
      <c r="L20" s="106" t="str">
        <f>IF(AND('Mapa final'!$AB$48="Muy Alta",'Mapa final'!$AD$48="Leve"),CONCATENATE("R15C",'Mapa final'!$R$48),"")</f>
        <v/>
      </c>
      <c r="M20" s="105" t="str">
        <f>IF(AND('Mapa final'!$AB$46="Muy Alta",'Mapa final'!$AD$46="Menor"),CONCATENATE("R15C",'Mapa final'!$R$46),"")</f>
        <v/>
      </c>
      <c r="N20" s="42" t="str">
        <f>IF(AND('Mapa final'!$AB$47="Muy Alta",'Mapa final'!$AD$47="Menor"),CONCATENATE("R15C",'Mapa final'!$R$47),"")</f>
        <v/>
      </c>
      <c r="O20" s="106" t="str">
        <f>IF(AND('Mapa final'!$AB$48="Muy Alta",'Mapa final'!$AD$48="Menor"),CONCATENATE("R15C",'Mapa final'!$R$48),"")</f>
        <v/>
      </c>
      <c r="P20" s="105" t="str">
        <f>IF(AND('Mapa final'!$AB$46="Muy Alta",'Mapa final'!$AD$46="Moderado"),CONCATENATE("R15C",'Mapa final'!$R$46),"")</f>
        <v/>
      </c>
      <c r="Q20" s="42" t="str">
        <f>IF(AND('Mapa final'!$AB$47="Muy Alta",'Mapa final'!$AD$47="Moderado"),CONCATENATE("R15C",'Mapa final'!$R$47),"")</f>
        <v/>
      </c>
      <c r="R20" s="106" t="str">
        <f>IF(AND('Mapa final'!$AB$48="Muy Alta",'Mapa final'!$AD$48="Moderado"),CONCATENATE("R15C",'Mapa final'!$R$48),"")</f>
        <v/>
      </c>
      <c r="S20" s="105" t="str">
        <f>IF(AND('Mapa final'!$AB$46="Muy Alta",'Mapa final'!$AD$46="Mayor"),CONCATENATE("R15C",'Mapa final'!$R$46),"")</f>
        <v/>
      </c>
      <c r="T20" s="42" t="str">
        <f>IF(AND('Mapa final'!$AB$47="Muy Alta",'Mapa final'!$AD$47="Mayor"),CONCATENATE("R15C",'Mapa final'!$R$47),"")</f>
        <v/>
      </c>
      <c r="U20" s="106" t="str">
        <f>IF(AND('Mapa final'!$AB$48="Muy Alta",'Mapa final'!$AD$48="Mayor"),CONCATENATE("R15C",'Mapa final'!$R$48),"")</f>
        <v/>
      </c>
      <c r="V20" s="43" t="str">
        <f>IF(AND('Mapa final'!$AB$46="Muy Alta",'Mapa final'!$AD$46="Catastrófico"),CONCATENATE("R15C",'Mapa final'!$R$46),"")</f>
        <v/>
      </c>
      <c r="W20" s="44" t="str">
        <f>IF(AND('Mapa final'!$AB$47="Muy Alta",'Mapa final'!$AD$47="Catastrófico"),CONCATENATE("R15C",'Mapa final'!$R$47),"")</f>
        <v/>
      </c>
      <c r="X20" s="100" t="str">
        <f>IF(AND('Mapa final'!$AB$48="Muy Alta",'Mapa final'!$AD$48="Catastrófico"),CONCATENATE("R15C",'Mapa final'!$R$48),"")</f>
        <v/>
      </c>
      <c r="Y20" s="56"/>
      <c r="Z20" s="305"/>
      <c r="AA20" s="306"/>
      <c r="AB20" s="306"/>
      <c r="AC20" s="306"/>
      <c r="AD20" s="306"/>
      <c r="AE20" s="307"/>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row>
    <row r="21" spans="1:61" ht="15" customHeight="1" x14ac:dyDescent="0.35">
      <c r="A21" s="56"/>
      <c r="B21" s="311"/>
      <c r="C21" s="311"/>
      <c r="D21" s="312"/>
      <c r="E21" s="288"/>
      <c r="F21" s="301"/>
      <c r="G21" s="301"/>
      <c r="H21" s="301"/>
      <c r="I21" s="283"/>
      <c r="J21" s="105" t="str">
        <f>IF(AND('Mapa final'!$AB$49="Muy Alta",'Mapa final'!$AD$49="Leve"),CONCATENATE("R16C",'Mapa final'!$R$49),"")</f>
        <v/>
      </c>
      <c r="K21" s="42" t="str">
        <f>IF(AND('Mapa final'!$AB$50="Muy Alta",'Mapa final'!$AD$50="Leve"),CONCATENATE("R16C",'Mapa final'!$R$50),"")</f>
        <v/>
      </c>
      <c r="L21" s="106" t="str">
        <f>IF(AND('Mapa final'!$AB$51="Muy Alta",'Mapa final'!$AD$51="Leve"),CONCATENATE("R16C",'Mapa final'!$R$51),"")</f>
        <v/>
      </c>
      <c r="M21" s="105" t="str">
        <f>IF(AND('Mapa final'!$AB$49="Muy Alta",'Mapa final'!$AD$49="Menor"),CONCATENATE("R16C",'Mapa final'!$R$49),"")</f>
        <v/>
      </c>
      <c r="N21" s="42" t="str">
        <f>IF(AND('Mapa final'!$AB$50="Muy Alta",'Mapa final'!$AD$50="Menor"),CONCATENATE("R16C",'Mapa final'!$R$50),"")</f>
        <v/>
      </c>
      <c r="O21" s="106" t="str">
        <f>IF(AND('Mapa final'!$AB$51="Muy Alta",'Mapa final'!$AD$51="Menor"),CONCATENATE("R16C",'Mapa final'!$R$51),"")</f>
        <v/>
      </c>
      <c r="P21" s="105" t="str">
        <f>IF(AND('Mapa final'!$AB$49="Muy Alta",'Mapa final'!$AD$49="Moderado"),CONCATENATE("R16C",'Mapa final'!$R$49),"")</f>
        <v/>
      </c>
      <c r="Q21" s="42" t="str">
        <f>IF(AND('Mapa final'!$AB$50="Muy Alta",'Mapa final'!$AD$50="Moderado"),CONCATENATE("R16C",'Mapa final'!$R$50),"")</f>
        <v/>
      </c>
      <c r="R21" s="106" t="str">
        <f>IF(AND('Mapa final'!$AB$51="Muy Alta",'Mapa final'!$AD$51="Moderado"),CONCATENATE("R16C",'Mapa final'!$R$51),"")</f>
        <v/>
      </c>
      <c r="S21" s="105" t="str">
        <f>IF(AND('Mapa final'!$AB$49="Muy Alta",'Mapa final'!$AD$49="Mayor"),CONCATENATE("R16C",'Mapa final'!$R$49),"")</f>
        <v/>
      </c>
      <c r="T21" s="42" t="str">
        <f>IF(AND('Mapa final'!$AB$50="Muy Alta",'Mapa final'!$AD$50="Mayor"),CONCATENATE("R16C",'Mapa final'!$R$50),"")</f>
        <v/>
      </c>
      <c r="U21" s="106" t="str">
        <f>IF(AND('Mapa final'!$AB$51="Muy Alta",'Mapa final'!$AD$51="Mayor"),CONCATENATE("R16C",'Mapa final'!$R$51),"")</f>
        <v/>
      </c>
      <c r="V21" s="43" t="str">
        <f>IF(AND('Mapa final'!$AB$49="Muy Alta",'Mapa final'!$AD$49="Catastrófico"),CONCATENATE("R16C",'Mapa final'!$R$49),"")</f>
        <v/>
      </c>
      <c r="W21" s="44" t="str">
        <f>IF(AND('Mapa final'!$AB$50="Muy Alta",'Mapa final'!$AD$50="Catastrófico"),CONCATENATE("R16C",'Mapa final'!$R$50),"")</f>
        <v/>
      </c>
      <c r="X21" s="100" t="str">
        <f>IF(AND('Mapa final'!$AB$51="Muy Alta",'Mapa final'!$AD$51="Catastrófico"),CONCATENATE("R16C",'Mapa final'!$R$51),"")</f>
        <v/>
      </c>
      <c r="Y21" s="56"/>
      <c r="Z21" s="305"/>
      <c r="AA21" s="306"/>
      <c r="AB21" s="306"/>
      <c r="AC21" s="306"/>
      <c r="AD21" s="306"/>
      <c r="AE21" s="307"/>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1" ht="15" customHeight="1" x14ac:dyDescent="0.35">
      <c r="A22" s="56"/>
      <c r="B22" s="311"/>
      <c r="C22" s="311"/>
      <c r="D22" s="312"/>
      <c r="E22" s="288"/>
      <c r="F22" s="301"/>
      <c r="G22" s="301"/>
      <c r="H22" s="301"/>
      <c r="I22" s="283"/>
      <c r="J22" s="105" t="str">
        <f>IF(AND('Mapa final'!$AB$52="Muy Alta",'Mapa final'!$AD$52="Leve"),CONCATENATE("R17C",'Mapa final'!$R$52),"")</f>
        <v/>
      </c>
      <c r="K22" s="42" t="str">
        <f>IF(AND('Mapa final'!$AB$53="Muy Alta",'Mapa final'!$AD$53="Leve"),CONCATENATE("R17C",'Mapa final'!$R$53),"")</f>
        <v/>
      </c>
      <c r="L22" s="106" t="str">
        <f>IF(AND('Mapa final'!$AB$54="Muy Alta",'Mapa final'!$AD$54="Leve"),CONCATENATE("R17C",'Mapa final'!$R$54),"")</f>
        <v/>
      </c>
      <c r="M22" s="105" t="str">
        <f>IF(AND('Mapa final'!$AB$52="Muy Alta",'Mapa final'!$AD$52="Menor"),CONCATENATE("R17C",'Mapa final'!$R$52),"")</f>
        <v/>
      </c>
      <c r="N22" s="42" t="str">
        <f>IF(AND('Mapa final'!$AB$53="Muy Alta",'Mapa final'!$AD$53="Menor"),CONCATENATE("R17C",'Mapa final'!$R$53),"")</f>
        <v/>
      </c>
      <c r="O22" s="106" t="str">
        <f>IF(AND('Mapa final'!$AB$54="Muy Alta",'Mapa final'!$AD$54="Menor"),CONCATENATE("R17C",'Mapa final'!$R$54),"")</f>
        <v/>
      </c>
      <c r="P22" s="105" t="str">
        <f>IF(AND('Mapa final'!$AB$52="Muy Alta",'Mapa final'!$AD$52="Moderado"),CONCATENATE("R17C",'Mapa final'!$R$52),"")</f>
        <v/>
      </c>
      <c r="Q22" s="42" t="str">
        <f>IF(AND('Mapa final'!$AB$53="Muy Alta",'Mapa final'!$AD$53="Moderado"),CONCATENATE("R17C",'Mapa final'!$R$53),"")</f>
        <v/>
      </c>
      <c r="R22" s="106" t="str">
        <f>IF(AND('Mapa final'!$AB$54="Muy Alta",'Mapa final'!$AD$54="Moderado"),CONCATENATE("R17C",'Mapa final'!$R$54),"")</f>
        <v/>
      </c>
      <c r="S22" s="105" t="str">
        <f>IF(AND('Mapa final'!$AB$52="Muy Alta",'Mapa final'!$AD$52="Mayor"),CONCATENATE("R17C",'Mapa final'!$R$52),"")</f>
        <v/>
      </c>
      <c r="T22" s="42" t="str">
        <f>IF(AND('Mapa final'!$AB$53="Muy Alta",'Mapa final'!$AD$53="Mayor"),CONCATENATE("R17C",'Mapa final'!$R$53),"")</f>
        <v/>
      </c>
      <c r="U22" s="106" t="str">
        <f>IF(AND('Mapa final'!$AB$54="Muy Alta",'Mapa final'!$AD$54="Mayor"),CONCATENATE("R17C",'Mapa final'!$R$54),"")</f>
        <v/>
      </c>
      <c r="V22" s="43" t="str">
        <f>IF(AND('Mapa final'!$AB$52="Muy Alta",'Mapa final'!$AD$52="Catastrófico"),CONCATENATE("R17C",'Mapa final'!$R$52),"")</f>
        <v/>
      </c>
      <c r="W22" s="44" t="str">
        <f>IF(AND('Mapa final'!$AB$53="Muy Alta",'Mapa final'!$AD$53="Catastrófico"),CONCATENATE("R17C",'Mapa final'!$R$53),"")</f>
        <v/>
      </c>
      <c r="X22" s="100" t="str">
        <f>IF(AND('Mapa final'!$AB$54="Muy Alta",'Mapa final'!$AD$54="Catastrófico"),CONCATENATE("R17C",'Mapa final'!$R$54),"")</f>
        <v/>
      </c>
      <c r="Y22" s="56"/>
      <c r="Z22" s="305"/>
      <c r="AA22" s="306"/>
      <c r="AB22" s="306"/>
      <c r="AC22" s="306"/>
      <c r="AD22" s="306"/>
      <c r="AE22" s="307"/>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row>
    <row r="23" spans="1:61" ht="15" customHeight="1" x14ac:dyDescent="0.35">
      <c r="A23" s="56"/>
      <c r="B23" s="311"/>
      <c r="C23" s="311"/>
      <c r="D23" s="312"/>
      <c r="E23" s="288"/>
      <c r="F23" s="301"/>
      <c r="G23" s="301"/>
      <c r="H23" s="301"/>
      <c r="I23" s="283"/>
      <c r="J23" s="105" t="str">
        <f>IF(AND('Mapa final'!$AB$55="Muy Alta",'Mapa final'!$AD$55="Leve"),CONCATENATE("R18C",'Mapa final'!$R$55),"")</f>
        <v/>
      </c>
      <c r="K23" s="42" t="str">
        <f>IF(AND('Mapa final'!$AB$56="Muy Alta",'Mapa final'!$AD$56="Leve"),CONCATENATE("R18C",'Mapa final'!$R$56),"")</f>
        <v/>
      </c>
      <c r="L23" s="106" t="str">
        <f>IF(AND('Mapa final'!$AB$57="Muy Alta",'Mapa final'!$AD$57="Leve"),CONCATENATE("R18C",'Mapa final'!$R$57),"")</f>
        <v/>
      </c>
      <c r="M23" s="105" t="str">
        <f>IF(AND('Mapa final'!$AB$55="Muy Alta",'Mapa final'!$AD$55="Menor"),CONCATENATE("R18C",'Mapa final'!$R$55),"")</f>
        <v/>
      </c>
      <c r="N23" s="42" t="str">
        <f>IF(AND('Mapa final'!$AB$56="Muy Alta",'Mapa final'!$AD$56="Menor"),CONCATENATE("R18C",'Mapa final'!$R$56),"")</f>
        <v/>
      </c>
      <c r="O23" s="106" t="str">
        <f>IF(AND('Mapa final'!$AB$57="Muy Alta",'Mapa final'!$AD$57="Menor"),CONCATENATE("R18C",'Mapa final'!$R$57),"")</f>
        <v/>
      </c>
      <c r="P23" s="105" t="str">
        <f>IF(AND('Mapa final'!$AB$55="Muy Alta",'Mapa final'!$AD$55="Moderado"),CONCATENATE("R18C",'Mapa final'!$R$55),"")</f>
        <v/>
      </c>
      <c r="Q23" s="42" t="str">
        <f>IF(AND('Mapa final'!$AB$56="Muy Alta",'Mapa final'!$AD$56="Moderado"),CONCATENATE("R18C",'Mapa final'!$R$56),"")</f>
        <v/>
      </c>
      <c r="R23" s="106" t="str">
        <f>IF(AND('Mapa final'!$AB$57="Muy Alta",'Mapa final'!$AD$57="Moderado"),CONCATENATE("R18C",'Mapa final'!$R$57),"")</f>
        <v/>
      </c>
      <c r="S23" s="105" t="str">
        <f>IF(AND('Mapa final'!$AB$55="Muy Alta",'Mapa final'!$AD$55="Mayor"),CONCATENATE("R18C",'Mapa final'!$R$55),"")</f>
        <v/>
      </c>
      <c r="T23" s="42" t="str">
        <f>IF(AND('Mapa final'!$AB$56="Muy Alta",'Mapa final'!$AD$56="Mayor"),CONCATENATE("R18C",'Mapa final'!$R$56),"")</f>
        <v/>
      </c>
      <c r="U23" s="106" t="str">
        <f>IF(AND('Mapa final'!$AB$57="Muy Alta",'Mapa final'!$AD$57="Mayor"),CONCATENATE("R18C",'Mapa final'!$R$57),"")</f>
        <v/>
      </c>
      <c r="V23" s="43" t="str">
        <f>IF(AND('Mapa final'!$AB$55="Muy Alta",'Mapa final'!$AD$55="Catastrófico"),CONCATENATE("R18C",'Mapa final'!$R$55),"")</f>
        <v/>
      </c>
      <c r="W23" s="44" t="str">
        <f>IF(AND('Mapa final'!$AB$56="Muy Alta",'Mapa final'!$AD$56="Catastrófico"),CONCATENATE("R18C",'Mapa final'!$R$56),"")</f>
        <v/>
      </c>
      <c r="X23" s="100" t="str">
        <f>IF(AND('Mapa final'!$AB$57="Muy Alta",'Mapa final'!$AD$57="Catastrófico"),CONCATENATE("R18C",'Mapa final'!$R$57),"")</f>
        <v/>
      </c>
      <c r="Y23" s="56"/>
      <c r="Z23" s="305"/>
      <c r="AA23" s="306"/>
      <c r="AB23" s="306"/>
      <c r="AC23" s="306"/>
      <c r="AD23" s="306"/>
      <c r="AE23" s="307"/>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row>
    <row r="24" spans="1:61" ht="15" customHeight="1" x14ac:dyDescent="0.35">
      <c r="A24" s="56"/>
      <c r="B24" s="311"/>
      <c r="C24" s="311"/>
      <c r="D24" s="312"/>
      <c r="E24" s="288"/>
      <c r="F24" s="301"/>
      <c r="G24" s="301"/>
      <c r="H24" s="301"/>
      <c r="I24" s="283"/>
      <c r="J24" s="105" t="str">
        <f>IF(AND('Mapa final'!$AB$58="Muy Alta",'Mapa final'!$AD$58="Leve"),CONCATENATE("R19C",'Mapa final'!$R$58),"")</f>
        <v/>
      </c>
      <c r="K24" s="42" t="str">
        <f>IF(AND('Mapa final'!$AB$59="Muy Alta",'Mapa final'!$AD$59="Leve"),CONCATENATE("R19C",'Mapa final'!$R$59),"")</f>
        <v/>
      </c>
      <c r="L24" s="106" t="str">
        <f>IF(AND('Mapa final'!$AB$60="Muy Alta",'Mapa final'!$AD$60="Leve"),CONCATENATE("R19C",'Mapa final'!$R$60),"")</f>
        <v/>
      </c>
      <c r="M24" s="105" t="str">
        <f>IF(AND('Mapa final'!$AB$58="Muy Alta",'Mapa final'!$AD$58="Menor"),CONCATENATE("R19C",'Mapa final'!$R$58),"")</f>
        <v/>
      </c>
      <c r="N24" s="42" t="str">
        <f>IF(AND('Mapa final'!$AB$59="Muy Alta",'Mapa final'!$AD$59="Menor"),CONCATENATE("R19C",'Mapa final'!$R$59),"")</f>
        <v/>
      </c>
      <c r="O24" s="106" t="str">
        <f>IF(AND('Mapa final'!$AB$60="Muy Alta",'Mapa final'!$AD$60="Menor"),CONCATENATE("R19C",'Mapa final'!$R$60),"")</f>
        <v/>
      </c>
      <c r="P24" s="105" t="str">
        <f>IF(AND('Mapa final'!$AB$58="Muy Alta",'Mapa final'!$AD$58="Moderado"),CONCATENATE("R19C",'Mapa final'!$R$58),"")</f>
        <v/>
      </c>
      <c r="Q24" s="42" t="str">
        <f>IF(AND('Mapa final'!$AB$59="Muy Alta",'Mapa final'!$AD$59="Moderado"),CONCATENATE("R19C",'Mapa final'!$R$59),"")</f>
        <v/>
      </c>
      <c r="R24" s="106" t="str">
        <f>IF(AND('Mapa final'!$AB$60="Muy Alta",'Mapa final'!$AD$60="Moderado"),CONCATENATE("R19C",'Mapa final'!$R$60),"")</f>
        <v/>
      </c>
      <c r="S24" s="105" t="str">
        <f>IF(AND('Mapa final'!$AB$58="Muy Alta",'Mapa final'!$AD$58="Mayor"),CONCATENATE("R19C",'Mapa final'!$R$58),"")</f>
        <v/>
      </c>
      <c r="T24" s="42" t="str">
        <f>IF(AND('Mapa final'!$AB$59="Muy Alta",'Mapa final'!$AD$59="Mayor"),CONCATENATE("R19C",'Mapa final'!$R$59),"")</f>
        <v/>
      </c>
      <c r="U24" s="106" t="str">
        <f>IF(AND('Mapa final'!$AB$60="Muy Alta",'Mapa final'!$AD$60="Mayor"),CONCATENATE("R19C",'Mapa final'!$R$60),"")</f>
        <v/>
      </c>
      <c r="V24" s="43" t="str">
        <f>IF(AND('Mapa final'!$AB$58="Muy Alta",'Mapa final'!$AD$58="Catastrófico"),CONCATENATE("R19C",'Mapa final'!$R$58),"")</f>
        <v/>
      </c>
      <c r="W24" s="44" t="str">
        <f>IF(AND('Mapa final'!$AB$59="Muy Alta",'Mapa final'!$AD$59="Catastrófico"),CONCATENATE("R19C",'Mapa final'!$R$59),"")</f>
        <v/>
      </c>
      <c r="X24" s="100" t="str">
        <f>IF(AND('Mapa final'!$AB$60="Muy Alta",'Mapa final'!$AD$60="Catastrófico"),CONCATENATE("R19C",'Mapa final'!$R$60),"")</f>
        <v/>
      </c>
      <c r="Y24" s="56"/>
      <c r="Z24" s="305"/>
      <c r="AA24" s="306"/>
      <c r="AB24" s="306"/>
      <c r="AC24" s="306"/>
      <c r="AD24" s="306"/>
      <c r="AE24" s="307"/>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x14ac:dyDescent="0.35">
      <c r="A25" s="56"/>
      <c r="B25" s="311"/>
      <c r="C25" s="311"/>
      <c r="D25" s="312"/>
      <c r="E25" s="288"/>
      <c r="F25" s="301"/>
      <c r="G25" s="301"/>
      <c r="H25" s="301"/>
      <c r="I25" s="283"/>
      <c r="J25" s="105" t="str">
        <f>IF(AND('Mapa final'!$AB$61="Muy Alta",'Mapa final'!$AD$61="Leve"),CONCATENATE("R20C",'Mapa final'!$R$61),"")</f>
        <v/>
      </c>
      <c r="K25" s="42" t="str">
        <f>IF(AND('Mapa final'!$AB$62="Muy Alta",'Mapa final'!$AD$62="Leve"),CONCATENATE("R20C",'Mapa final'!$R$62),"")</f>
        <v/>
      </c>
      <c r="L25" s="106" t="str">
        <f>IF(AND('Mapa final'!$AB$63="Muy Alta",'Mapa final'!$AD$63="Leve"),CONCATENATE("R20C",'Mapa final'!$R$63),"")</f>
        <v/>
      </c>
      <c r="M25" s="105" t="str">
        <f>IF(AND('Mapa final'!$AB$61="Muy Alta",'Mapa final'!$AD$61="Menor"),CONCATENATE("R20C",'Mapa final'!$R$61),"")</f>
        <v/>
      </c>
      <c r="N25" s="42" t="str">
        <f>IF(AND('Mapa final'!$AB$62="Muy Alta",'Mapa final'!$AD$62="Menor"),CONCATENATE("R20C",'Mapa final'!$R$62),"")</f>
        <v/>
      </c>
      <c r="O25" s="106" t="str">
        <f>IF(AND('Mapa final'!$AB$63="Muy Alta",'Mapa final'!$AD$63="Menor"),CONCATENATE("R20C",'Mapa final'!$R$63),"")</f>
        <v/>
      </c>
      <c r="P25" s="105" t="str">
        <f>IF(AND('Mapa final'!$AB$61="Muy Alta",'Mapa final'!$AD$61="Moderado"),CONCATENATE("R20C",'Mapa final'!$R$61),"")</f>
        <v/>
      </c>
      <c r="Q25" s="42" t="str">
        <f>IF(AND('Mapa final'!$AB$62="Muy Alta",'Mapa final'!$AD$62="Moderado"),CONCATENATE("R20C",'Mapa final'!$R$62),"")</f>
        <v/>
      </c>
      <c r="R25" s="106" t="str">
        <f>IF(AND('Mapa final'!$AB$63="Muy Alta",'Mapa final'!$AD$63="Moderado"),CONCATENATE("R20C",'Mapa final'!$R$63),"")</f>
        <v/>
      </c>
      <c r="S25" s="105" t="str">
        <f>IF(AND('Mapa final'!$AB$61="Muy Alta",'Mapa final'!$AD$61="Mayor"),CONCATENATE("R20C",'Mapa final'!$R$61),"")</f>
        <v/>
      </c>
      <c r="T25" s="42" t="str">
        <f>IF(AND('Mapa final'!$AB$62="Muy Alta",'Mapa final'!$AD$62="Mayor"),CONCATENATE("R20C",'Mapa final'!$R$62),"")</f>
        <v/>
      </c>
      <c r="U25" s="106" t="str">
        <f>IF(AND('Mapa final'!$AB$63="Muy Alta",'Mapa final'!$AD$63="Mayor"),CONCATENATE("R20C",'Mapa final'!$R$63),"")</f>
        <v/>
      </c>
      <c r="V25" s="43" t="str">
        <f>IF(AND('Mapa final'!$AB$61="Muy Alta",'Mapa final'!$AD$61="Catastrófico"),CONCATENATE("R20C",'Mapa final'!$R$61),"")</f>
        <v/>
      </c>
      <c r="W25" s="44" t="str">
        <f>IF(AND('Mapa final'!$AB$62="Muy Alta",'Mapa final'!$AD$62="Catastrófico"),CONCATENATE("R20C",'Mapa final'!$R$62),"")</f>
        <v/>
      </c>
      <c r="X25" s="100" t="str">
        <f>IF(AND('Mapa final'!$AB$63="Muy Alta",'Mapa final'!$AD$63="Catastrófico"),CONCATENATE("R20C",'Mapa final'!$R$63),"")</f>
        <v/>
      </c>
      <c r="Y25" s="56"/>
      <c r="Z25" s="305"/>
      <c r="AA25" s="306"/>
      <c r="AB25" s="306"/>
      <c r="AC25" s="306"/>
      <c r="AD25" s="306"/>
      <c r="AE25" s="307"/>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ht="15" customHeight="1" x14ac:dyDescent="0.35">
      <c r="A26" s="56"/>
      <c r="B26" s="311"/>
      <c r="C26" s="311"/>
      <c r="D26" s="312"/>
      <c r="E26" s="288"/>
      <c r="F26" s="301"/>
      <c r="G26" s="301"/>
      <c r="H26" s="301"/>
      <c r="I26" s="283"/>
      <c r="J26" s="105" t="str">
        <f>IF(AND('Mapa final'!$AB$64="Muy Alta",'Mapa final'!$AD$64="Leve"),CONCATENATE("R21C",'Mapa final'!$R$64),"")</f>
        <v/>
      </c>
      <c r="K26" s="42" t="str">
        <f>IF(AND('Mapa final'!$AB$65="Muy Alta",'Mapa final'!$AD$65="Leve"),CONCATENATE("R21C",'Mapa final'!$R$65),"")</f>
        <v/>
      </c>
      <c r="L26" s="106" t="str">
        <f>IF(AND('Mapa final'!$AB$66="Muy Alta",'Mapa final'!$AD$66="Leve"),CONCATENATE("R21C",'Mapa final'!$R$66),"")</f>
        <v/>
      </c>
      <c r="M26" s="105" t="str">
        <f>IF(AND('Mapa final'!$AB$64="Muy Alta",'Mapa final'!$AD$64="Menor"),CONCATENATE("R21C",'Mapa final'!$R$64),"")</f>
        <v/>
      </c>
      <c r="N26" s="42" t="str">
        <f>IF(AND('Mapa final'!$AB$65="Muy Alta",'Mapa final'!$AD$65="Menor"),CONCATENATE("R21C",'Mapa final'!$R$65),"")</f>
        <v/>
      </c>
      <c r="O26" s="106" t="str">
        <f>IF(AND('Mapa final'!$AB$66="Muy Alta",'Mapa final'!$AD$66="Menor"),CONCATENATE("R21C",'Mapa final'!$R$66),"")</f>
        <v/>
      </c>
      <c r="P26" s="105" t="str">
        <f>IF(AND('Mapa final'!$AB$64="Muy Alta",'Mapa final'!$AD$64="Moderado"),CONCATENATE("R21C",'Mapa final'!$R$64),"")</f>
        <v/>
      </c>
      <c r="Q26" s="42" t="str">
        <f>IF(AND('Mapa final'!$AB$65="Muy Alta",'Mapa final'!$AD$65="Moderado"),CONCATENATE("R21C",'Mapa final'!$R$65),"")</f>
        <v/>
      </c>
      <c r="R26" s="106" t="str">
        <f>IF(AND('Mapa final'!$AB$66="Muy Alta",'Mapa final'!$AD$66="Moderado"),CONCATENATE("R21C",'Mapa final'!$R$66),"")</f>
        <v/>
      </c>
      <c r="S26" s="105" t="str">
        <f>IF(AND('Mapa final'!$AB$64="Muy Alta",'Mapa final'!$AD$64="Mayor"),CONCATENATE("R21C",'Mapa final'!$R$64),"")</f>
        <v/>
      </c>
      <c r="T26" s="42" t="str">
        <f>IF(AND('Mapa final'!$AB$65="Muy Alta",'Mapa final'!$AD$65="Mayor"),CONCATENATE("R21C",'Mapa final'!$R$65),"")</f>
        <v/>
      </c>
      <c r="U26" s="106" t="str">
        <f>IF(AND('Mapa final'!$AB$66="Muy Alta",'Mapa final'!$AD$66="Mayor"),CONCATENATE("R21C",'Mapa final'!$R$66),"")</f>
        <v/>
      </c>
      <c r="V26" s="43" t="str">
        <f>IF(AND('Mapa final'!$AB$64="Muy Alta",'Mapa final'!$AD$64="Catastrófico"),CONCATENATE("R21C",'Mapa final'!$R$64),"")</f>
        <v/>
      </c>
      <c r="W26" s="44" t="str">
        <f>IF(AND('Mapa final'!$AB$65="Muy Alta",'Mapa final'!$AD$65="Catastrófico"),CONCATENATE("R21C",'Mapa final'!$R$65),"")</f>
        <v/>
      </c>
      <c r="X26" s="100" t="str">
        <f>IF(AND('Mapa final'!$AB$66="Muy Alta",'Mapa final'!$AD$66="Catastrófico"),CONCATENATE("R21C",'Mapa final'!$R$66),"")</f>
        <v/>
      </c>
      <c r="Y26" s="56"/>
      <c r="Z26" s="305"/>
      <c r="AA26" s="306"/>
      <c r="AB26" s="306"/>
      <c r="AC26" s="306"/>
      <c r="AD26" s="306"/>
      <c r="AE26" s="307"/>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x14ac:dyDescent="0.35">
      <c r="A27" s="56"/>
      <c r="B27" s="311"/>
      <c r="C27" s="311"/>
      <c r="D27" s="312"/>
      <c r="E27" s="288"/>
      <c r="F27" s="301"/>
      <c r="G27" s="301"/>
      <c r="H27" s="301"/>
      <c r="I27" s="283"/>
      <c r="J27" s="105" t="str">
        <f>IF(AND('Mapa final'!$AB$67="Muy Alta",'Mapa final'!$AD$67="Leve"),CONCATENATE("R22C",'Mapa final'!$R$67),"")</f>
        <v/>
      </c>
      <c r="K27" s="42" t="str">
        <f>IF(AND('Mapa final'!$AB$68="Muy Alta",'Mapa final'!$AD$68="Leve"),CONCATENATE("R22C",'Mapa final'!$R$68),"")</f>
        <v/>
      </c>
      <c r="L27" s="106" t="str">
        <f>IF(AND('Mapa final'!$AB$69="Muy Alta",'Mapa final'!$AD$69="Leve"),CONCATENATE("R22C",'Mapa final'!$R$69),"")</f>
        <v/>
      </c>
      <c r="M27" s="105" t="str">
        <f>IF(AND('Mapa final'!$AB$67="Muy Alta",'Mapa final'!$AD$67="Menor"),CONCATENATE("R22C",'Mapa final'!$R$67),"")</f>
        <v/>
      </c>
      <c r="N27" s="42" t="str">
        <f>IF(AND('Mapa final'!$AB$68="Muy Alta",'Mapa final'!$AD$68="Menor"),CONCATENATE("R22C",'Mapa final'!$R$68),"")</f>
        <v/>
      </c>
      <c r="O27" s="106" t="str">
        <f>IF(AND('Mapa final'!$AB$69="Muy Alta",'Mapa final'!$AD$69="Menor"),CONCATENATE("R22C",'Mapa final'!$R$69),"")</f>
        <v/>
      </c>
      <c r="P27" s="105" t="str">
        <f>IF(AND('Mapa final'!$AB$67="Muy Alta",'Mapa final'!$AD$67="Moderado"),CONCATENATE("R22C",'Mapa final'!$R$67),"")</f>
        <v/>
      </c>
      <c r="Q27" s="42" t="str">
        <f>IF(AND('Mapa final'!$AB$68="Muy Alta",'Mapa final'!$AD$68="Moderado"),CONCATENATE("R22C",'Mapa final'!$R$68),"")</f>
        <v/>
      </c>
      <c r="R27" s="106" t="str">
        <f>IF(AND('Mapa final'!$AB$69="Muy Alta",'Mapa final'!$AD$69="Moderado"),CONCATENATE("R22C",'Mapa final'!$R$69),"")</f>
        <v/>
      </c>
      <c r="S27" s="105" t="str">
        <f>IF(AND('Mapa final'!$AB$67="Muy Alta",'Mapa final'!$AD$67="Mayor"),CONCATENATE("R22C",'Mapa final'!$R$67),"")</f>
        <v/>
      </c>
      <c r="T27" s="42" t="str">
        <f>IF(AND('Mapa final'!$AB$68="Muy Alta",'Mapa final'!$AD$68="Mayor"),CONCATENATE("R22C",'Mapa final'!$R$68),"")</f>
        <v/>
      </c>
      <c r="U27" s="106" t="str">
        <f>IF(AND('Mapa final'!$AB$69="Muy Alta",'Mapa final'!$AD$69="Mayor"),CONCATENATE("R22C",'Mapa final'!$R$69),"")</f>
        <v/>
      </c>
      <c r="V27" s="43" t="str">
        <f>IF(AND('Mapa final'!$AB$67="Muy Alta",'Mapa final'!$AD$67="Catastrófico"),CONCATENATE("R22C",'Mapa final'!$R$67),"")</f>
        <v/>
      </c>
      <c r="W27" s="44" t="str">
        <f>IF(AND('Mapa final'!$AB$68="Muy Alta",'Mapa final'!$AD$68="Catastrófico"),CONCATENATE("R22C",'Mapa final'!$R$68),"")</f>
        <v/>
      </c>
      <c r="X27" s="100" t="str">
        <f>IF(AND('Mapa final'!$AB$69="Muy Alta",'Mapa final'!$AD$69="Catastrófico"),CONCATENATE("R22C",'Mapa final'!$R$69),"")</f>
        <v/>
      </c>
      <c r="Y27" s="56"/>
      <c r="Z27" s="305"/>
      <c r="AA27" s="306"/>
      <c r="AB27" s="306"/>
      <c r="AC27" s="306"/>
      <c r="AD27" s="306"/>
      <c r="AE27" s="307"/>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5" customHeight="1" x14ac:dyDescent="0.35">
      <c r="A28" s="56"/>
      <c r="B28" s="311"/>
      <c r="C28" s="311"/>
      <c r="D28" s="312"/>
      <c r="E28" s="288"/>
      <c r="F28" s="301"/>
      <c r="G28" s="301"/>
      <c r="H28" s="301"/>
      <c r="I28" s="283"/>
      <c r="J28" s="105" t="str">
        <f>IF(AND('Mapa final'!$AB$73="Muy Alta",'Mapa final'!$AD$73="Leve"),CONCATENATE("R23C",'Mapa final'!$R$73),"")</f>
        <v/>
      </c>
      <c r="K28" s="42" t="str">
        <f>IF(AND('Mapa final'!$AB$74="Muy Alta",'Mapa final'!$AD$74="Leve"),CONCATENATE("R23C",'Mapa final'!$R$74),"")</f>
        <v/>
      </c>
      <c r="L28" s="106" t="str">
        <f>IF(AND('Mapa final'!$AB$75="Muy Alta",'Mapa final'!$AD$75="Leve"),CONCATENATE("R23C",'Mapa final'!$R$75),"")</f>
        <v/>
      </c>
      <c r="M28" s="105" t="str">
        <f>IF(AND('Mapa final'!$AB$73="Muy Alta",'Mapa final'!$AD$73="Menor"),CONCATENATE("R23C",'Mapa final'!$R$73),"")</f>
        <v/>
      </c>
      <c r="N28" s="42" t="str">
        <f>IF(AND('Mapa final'!$AB$74="Muy Alta",'Mapa final'!$AD$74="Menor"),CONCATENATE("R23C",'Mapa final'!$R$74),"")</f>
        <v/>
      </c>
      <c r="O28" s="106" t="str">
        <f>IF(AND('Mapa final'!$AB$75="Muy Alta",'Mapa final'!$AD$75="Menor"),CONCATENATE("R23C",'Mapa final'!$R$75),"")</f>
        <v/>
      </c>
      <c r="P28" s="105" t="str">
        <f>IF(AND('Mapa final'!$AB$73="Muy Alta",'Mapa final'!$AD$73="Moderado"),CONCATENATE("R23C",'Mapa final'!$R$73),"")</f>
        <v/>
      </c>
      <c r="Q28" s="42" t="str">
        <f>IF(AND('Mapa final'!$AB$74="Muy Alta",'Mapa final'!$AD$74="Moderado"),CONCATENATE("R23C",'Mapa final'!$R$74),"")</f>
        <v/>
      </c>
      <c r="R28" s="106" t="str">
        <f>IF(AND('Mapa final'!$AB$75="Muy Alta",'Mapa final'!$AD$75="Moderado"),CONCATENATE("R23C",'Mapa final'!$R$75),"")</f>
        <v/>
      </c>
      <c r="S28" s="105" t="str">
        <f>IF(AND('Mapa final'!$AB$73="Muy Alta",'Mapa final'!$AD$73="Mayor"),CONCATENATE("R23C",'Mapa final'!$R$73),"")</f>
        <v/>
      </c>
      <c r="T28" s="42" t="str">
        <f>IF(AND('Mapa final'!$AB$74="Muy Alta",'Mapa final'!$AD$74="Mayor"),CONCATENATE("R23C",'Mapa final'!$R$74),"")</f>
        <v/>
      </c>
      <c r="U28" s="106" t="str">
        <f>IF(AND('Mapa final'!$AB$75="Muy Alta",'Mapa final'!$AD$75="Mayor"),CONCATENATE("R23C",'Mapa final'!$R$75),"")</f>
        <v/>
      </c>
      <c r="V28" s="43" t="str">
        <f>IF(AND('Mapa final'!$AB$73="Muy Alta",'Mapa final'!$AD$73="Catastrófico"),CONCATENATE("R23C",'Mapa final'!$R$73),"")</f>
        <v/>
      </c>
      <c r="W28" s="44" t="str">
        <f>IF(AND('Mapa final'!$AB$74="Muy Alta",'Mapa final'!$AD$74="Catastrófico"),CONCATENATE("R23C",'Mapa final'!$R$74),"")</f>
        <v/>
      </c>
      <c r="X28" s="100" t="str">
        <f>IF(AND('Mapa final'!$AB$75="Muy Alta",'Mapa final'!$AD$75="Catastrófico"),CONCATENATE("R23C",'Mapa final'!$R$75),"")</f>
        <v/>
      </c>
      <c r="Y28" s="56"/>
      <c r="Z28" s="305"/>
      <c r="AA28" s="306"/>
      <c r="AB28" s="306"/>
      <c r="AC28" s="306"/>
      <c r="AD28" s="306"/>
      <c r="AE28" s="307"/>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ht="15" customHeight="1" x14ac:dyDescent="0.35">
      <c r="A29" s="56"/>
      <c r="B29" s="311"/>
      <c r="C29" s="311"/>
      <c r="D29" s="312"/>
      <c r="E29" s="288"/>
      <c r="F29" s="301"/>
      <c r="G29" s="301"/>
      <c r="H29" s="301"/>
      <c r="I29" s="283"/>
      <c r="J29" s="105" t="str">
        <f>IF(AND('Mapa final'!$AB$76="Muy Alta",'Mapa final'!$AD$76="Leve"),CONCATENATE("R24C",'Mapa final'!$R$76),"")</f>
        <v/>
      </c>
      <c r="K29" s="42" t="str">
        <f>IF(AND('Mapa final'!$AB$77="Muy Alta",'Mapa final'!$AD$77="Leve"),CONCATENATE("R24C",'Mapa final'!$R$77),"")</f>
        <v/>
      </c>
      <c r="L29" s="106" t="str">
        <f>IF(AND('Mapa final'!$AB$78="Muy Alta",'Mapa final'!$AD$78="Leve"),CONCATENATE("R24C",'Mapa final'!$R$78),"")</f>
        <v/>
      </c>
      <c r="M29" s="105" t="str">
        <f>IF(AND('Mapa final'!$AB$76="Muy Alta",'Mapa final'!$AD$76="Menor"),CONCATENATE("R24C",'Mapa final'!$R$76),"")</f>
        <v/>
      </c>
      <c r="N29" s="42" t="str">
        <f>IF(AND('Mapa final'!$AB$77="Muy Alta",'Mapa final'!$AD$77="Menor"),CONCATENATE("R24C",'Mapa final'!$R$77),"")</f>
        <v/>
      </c>
      <c r="O29" s="106" t="str">
        <f>IF(AND('Mapa final'!$AB$78="Muy Alta",'Mapa final'!$AD$78="Menor"),CONCATENATE("R24C",'Mapa final'!$R$78),"")</f>
        <v/>
      </c>
      <c r="P29" s="105" t="str">
        <f>IF(AND('Mapa final'!$AB$76="Muy Alta",'Mapa final'!$AD$76="Moderado"),CONCATENATE("R24C",'Mapa final'!$R$76),"")</f>
        <v/>
      </c>
      <c r="Q29" s="42" t="str">
        <f>IF(AND('Mapa final'!$AB$77="Muy Alta",'Mapa final'!$AD$77="Moderado"),CONCATENATE("R24C",'Mapa final'!$R$77),"")</f>
        <v/>
      </c>
      <c r="R29" s="106" t="str">
        <f>IF(AND('Mapa final'!$AB$78="Muy Alta",'Mapa final'!$AD$78="Moderado"),CONCATENATE("R24C",'Mapa final'!$R$78),"")</f>
        <v/>
      </c>
      <c r="S29" s="105" t="str">
        <f>IF(AND('Mapa final'!$AB$76="Muy Alta",'Mapa final'!$AD$76="Mayor"),CONCATENATE("R24C",'Mapa final'!$R$76),"")</f>
        <v/>
      </c>
      <c r="T29" s="42" t="str">
        <f>IF(AND('Mapa final'!$AB$77="Muy Alta",'Mapa final'!$AD$77="Mayor"),CONCATENATE("R24C",'Mapa final'!$R$77),"")</f>
        <v/>
      </c>
      <c r="U29" s="106" t="str">
        <f>IF(AND('Mapa final'!$AB$78="Muy Alta",'Mapa final'!$AD$78="Mayor"),CONCATENATE("R24C",'Mapa final'!$R$78),"")</f>
        <v/>
      </c>
      <c r="V29" s="43" t="str">
        <f>IF(AND('Mapa final'!$AB$76="Muy Alta",'Mapa final'!$AD$76="Catastrófico"),CONCATENATE("R24C",'Mapa final'!$R$76),"")</f>
        <v/>
      </c>
      <c r="W29" s="44" t="str">
        <f>IF(AND('Mapa final'!$AB$77="Muy Alta",'Mapa final'!$AD$77="Catastrófico"),CONCATENATE("R24C",'Mapa final'!$R$77),"")</f>
        <v/>
      </c>
      <c r="X29" s="100" t="str">
        <f>IF(AND('Mapa final'!$AB$78="Muy Alta",'Mapa final'!$AD$78="Catastrófico"),CONCATENATE("R24C",'Mapa final'!$R$78),"")</f>
        <v/>
      </c>
      <c r="Y29" s="56"/>
      <c r="Z29" s="305"/>
      <c r="AA29" s="306"/>
      <c r="AB29" s="306"/>
      <c r="AC29" s="306"/>
      <c r="AD29" s="306"/>
      <c r="AE29" s="307"/>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ht="15" customHeight="1" x14ac:dyDescent="0.35">
      <c r="A30" s="56"/>
      <c r="B30" s="311"/>
      <c r="C30" s="311"/>
      <c r="D30" s="312"/>
      <c r="E30" s="288"/>
      <c r="F30" s="301"/>
      <c r="G30" s="301"/>
      <c r="H30" s="301"/>
      <c r="I30" s="283"/>
      <c r="J30" s="105" t="str">
        <f>IF(AND('Mapa final'!$AB$79="Muy Alta",'Mapa final'!$AD$79="Leve"),CONCATENATE("R25C",'Mapa final'!$R$79),"")</f>
        <v/>
      </c>
      <c r="K30" s="42" t="str">
        <f>IF(AND('Mapa final'!$AB$80="Muy Alta",'Mapa final'!$AD$80="Leve"),CONCATENATE("R25C",'Mapa final'!$R$80),"")</f>
        <v/>
      </c>
      <c r="L30" s="106" t="str">
        <f>IF(AND('Mapa final'!$AB$81="Muy Alta",'Mapa final'!$AD$81="Leve"),CONCATENATE("R25C",'Mapa final'!$R$81),"")</f>
        <v/>
      </c>
      <c r="M30" s="105" t="str">
        <f>IF(AND('Mapa final'!$AB$79="Muy Alta",'Mapa final'!$AD$79="Menor"),CONCATENATE("R25C",'Mapa final'!$R$79),"")</f>
        <v/>
      </c>
      <c r="N30" s="42" t="str">
        <f>IF(AND('Mapa final'!$AB$80="Muy Alta",'Mapa final'!$AD$80="Menor"),CONCATENATE("R25C",'Mapa final'!$R$80),"")</f>
        <v/>
      </c>
      <c r="O30" s="106" t="str">
        <f>IF(AND('Mapa final'!$AB$81="Muy Alta",'Mapa final'!$AD$81="Menor"),CONCATENATE("R25C",'Mapa final'!$R$81),"")</f>
        <v/>
      </c>
      <c r="P30" s="105" t="str">
        <f>IF(AND('Mapa final'!$AB$79="Muy Alta",'Mapa final'!$AD$79="Moderado"),CONCATENATE("R25C",'Mapa final'!$R$79),"")</f>
        <v/>
      </c>
      <c r="Q30" s="42" t="str">
        <f>IF(AND('Mapa final'!$AB$80="Muy Alta",'Mapa final'!$AD$80="Moderado"),CONCATENATE("R25C",'Mapa final'!$R$80),"")</f>
        <v/>
      </c>
      <c r="R30" s="106" t="str">
        <f>IF(AND('Mapa final'!$AB$81="Muy Alta",'Mapa final'!$AD$81="Moderado"),CONCATENATE("R25C",'Mapa final'!$R$81),"")</f>
        <v/>
      </c>
      <c r="S30" s="105" t="str">
        <f>IF(AND('Mapa final'!$AB$79="Muy Alta",'Mapa final'!$AD$79="Mayor"),CONCATENATE("R25C",'Mapa final'!$R$79),"")</f>
        <v/>
      </c>
      <c r="T30" s="42" t="str">
        <f>IF(AND('Mapa final'!$AB$80="Muy Alta",'Mapa final'!$AD$80="Mayor"),CONCATENATE("R25C",'Mapa final'!$R$80),"")</f>
        <v/>
      </c>
      <c r="U30" s="106" t="str">
        <f>IF(AND('Mapa final'!$AB$81="Muy Alta",'Mapa final'!$AD$81="Mayor"),CONCATENATE("R25C",'Mapa final'!$R$81),"")</f>
        <v/>
      </c>
      <c r="V30" s="43" t="str">
        <f>IF(AND('Mapa final'!$AB$79="Muy Alta",'Mapa final'!$AD$79="Catastrófico"),CONCATENATE("R25C",'Mapa final'!$R$79),"")</f>
        <v/>
      </c>
      <c r="W30" s="44" t="str">
        <f>IF(AND('Mapa final'!$AB$80="Muy Alta",'Mapa final'!$AD$80="Catastrófico"),CONCATENATE("R25C",'Mapa final'!$R$80),"")</f>
        <v/>
      </c>
      <c r="X30" s="100" t="str">
        <f>IF(AND('Mapa final'!$AB$81="Muy Alta",'Mapa final'!$AD$81="Catastrófico"),CONCATENATE("R25C",'Mapa final'!$R$81),"")</f>
        <v/>
      </c>
      <c r="Y30" s="56"/>
      <c r="Z30" s="305"/>
      <c r="AA30" s="306"/>
      <c r="AB30" s="306"/>
      <c r="AC30" s="306"/>
      <c r="AD30" s="306"/>
      <c r="AE30" s="307"/>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5" customHeight="1" x14ac:dyDescent="0.35">
      <c r="A31" s="56"/>
      <c r="B31" s="311"/>
      <c r="C31" s="311"/>
      <c r="D31" s="312"/>
      <c r="E31" s="288"/>
      <c r="F31" s="301"/>
      <c r="G31" s="301"/>
      <c r="H31" s="301"/>
      <c r="I31" s="283"/>
      <c r="J31" s="105" t="str">
        <f>IF(AND('Mapa final'!$AB$82="Muy Alta",'Mapa final'!$AD$82="Leve"),CONCATENATE("R26C",'Mapa final'!$R$82),"")</f>
        <v/>
      </c>
      <c r="K31" s="42" t="str">
        <f>IF(AND('Mapa final'!$AB$83="Muy Alta",'Mapa final'!$AD$83="Leve"),CONCATENATE("R26C",'Mapa final'!$R$83),"")</f>
        <v/>
      </c>
      <c r="L31" s="106" t="str">
        <f>IF(AND('Mapa final'!$AB$84="Muy Alta",'Mapa final'!$AD$84="Leve"),CONCATENATE("R26C",'Mapa final'!$R$84),"")</f>
        <v/>
      </c>
      <c r="M31" s="105" t="str">
        <f>IF(AND('Mapa final'!$AB$82="Muy Alta",'Mapa final'!$AD$82="Menor"),CONCATENATE("R26C",'Mapa final'!$R$82),"")</f>
        <v/>
      </c>
      <c r="N31" s="42" t="str">
        <f>IF(AND('Mapa final'!$AB$83="Muy Alta",'Mapa final'!$AD$83="Menor"),CONCATENATE("R26C",'Mapa final'!$R$83),"")</f>
        <v/>
      </c>
      <c r="O31" s="106" t="str">
        <f>IF(AND('Mapa final'!$AB$84="Muy Alta",'Mapa final'!$AD$84="Menor"),CONCATENATE("R26C",'Mapa final'!$R$84),"")</f>
        <v/>
      </c>
      <c r="P31" s="105" t="str">
        <f>IF(AND('Mapa final'!$AB$82="Muy Alta",'Mapa final'!$AD$82="Moderado"),CONCATENATE("R26C",'Mapa final'!$R$82),"")</f>
        <v/>
      </c>
      <c r="Q31" s="42" t="str">
        <f>IF(AND('Mapa final'!$AB$83="Muy Alta",'Mapa final'!$AD$83="Moderado"),CONCATENATE("R26C",'Mapa final'!$R$83),"")</f>
        <v/>
      </c>
      <c r="R31" s="106" t="str">
        <f>IF(AND('Mapa final'!$AB$84="Muy Alta",'Mapa final'!$AD$84="Moderado"),CONCATENATE("R26C",'Mapa final'!$R$84),"")</f>
        <v/>
      </c>
      <c r="S31" s="105" t="str">
        <f>IF(AND('Mapa final'!$AB$82="Muy Alta",'Mapa final'!$AD$82="Mayor"),CONCATENATE("R26C",'Mapa final'!$R$82),"")</f>
        <v/>
      </c>
      <c r="T31" s="42" t="str">
        <f>IF(AND('Mapa final'!$AB$83="Muy Alta",'Mapa final'!$AD$83="Mayor"),CONCATENATE("R26C",'Mapa final'!$R$83),"")</f>
        <v/>
      </c>
      <c r="U31" s="106" t="str">
        <f>IF(AND('Mapa final'!$AB$84="Muy Alta",'Mapa final'!$AD$84="Mayor"),CONCATENATE("R26C",'Mapa final'!$R$84),"")</f>
        <v/>
      </c>
      <c r="V31" s="43" t="str">
        <f>IF(AND('Mapa final'!$AB$82="Muy Alta",'Mapa final'!$AD$82="Catastrófico"),CONCATENATE("R26C",'Mapa final'!$R$82),"")</f>
        <v/>
      </c>
      <c r="W31" s="44" t="str">
        <f>IF(AND('Mapa final'!$AB$83="Muy Alta",'Mapa final'!$AD$83="Catastrófico"),CONCATENATE("R26C",'Mapa final'!$R$83),"")</f>
        <v/>
      </c>
      <c r="X31" s="100" t="str">
        <f>IF(AND('Mapa final'!$AB$84="Muy Alta",'Mapa final'!$AD$84="Catastrófico"),CONCATENATE("R26C",'Mapa final'!$R$84),"")</f>
        <v/>
      </c>
      <c r="Y31" s="56"/>
      <c r="Z31" s="305"/>
      <c r="AA31" s="306"/>
      <c r="AB31" s="306"/>
      <c r="AC31" s="306"/>
      <c r="AD31" s="306"/>
      <c r="AE31" s="307"/>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ht="15" customHeight="1" x14ac:dyDescent="0.35">
      <c r="A32" s="56"/>
      <c r="B32" s="311"/>
      <c r="C32" s="311"/>
      <c r="D32" s="312"/>
      <c r="E32" s="288"/>
      <c r="F32" s="301"/>
      <c r="G32" s="301"/>
      <c r="H32" s="301"/>
      <c r="I32" s="283"/>
      <c r="J32" s="105" t="str">
        <f>IF(AND('Mapa final'!$AB$85="Muy Alta",'Mapa final'!$AD$85="Leve"),CONCATENATE("R27C",'Mapa final'!$R$85),"")</f>
        <v/>
      </c>
      <c r="K32" s="42" t="str">
        <f>IF(AND('Mapa final'!$AB$86="Muy Alta",'Mapa final'!$AD$86="Leve"),CONCATENATE("R27C",'Mapa final'!$R$86),"")</f>
        <v/>
      </c>
      <c r="L32" s="106" t="str">
        <f>IF(AND('Mapa final'!$AB$87="Muy Alta",'Mapa final'!$AD$87="Leve"),CONCATENATE("R27C",'Mapa final'!$R$87),"")</f>
        <v/>
      </c>
      <c r="M32" s="105" t="str">
        <f>IF(AND('Mapa final'!$AB$85="Muy Alta",'Mapa final'!$AD$85="Menor"),CONCATENATE("R27C",'Mapa final'!$R$85),"")</f>
        <v/>
      </c>
      <c r="N32" s="42" t="str">
        <f>IF(AND('Mapa final'!$AB$86="Muy Alta",'Mapa final'!$AD$86="Menor"),CONCATENATE("R27C",'Mapa final'!$R$86),"")</f>
        <v/>
      </c>
      <c r="O32" s="106" t="str">
        <f>IF(AND('Mapa final'!$AB$87="Muy Alta",'Mapa final'!$AD$87="Menor"),CONCATENATE("R27C",'Mapa final'!$R$87),"")</f>
        <v/>
      </c>
      <c r="P32" s="105" t="str">
        <f>IF(AND('Mapa final'!$AB$85="Muy Alta",'Mapa final'!$AD$85="Moderado"),CONCATENATE("R27C",'Mapa final'!$R$85),"")</f>
        <v/>
      </c>
      <c r="Q32" s="42" t="str">
        <f>IF(AND('Mapa final'!$AB$86="Muy Alta",'Mapa final'!$AD$86="Moderado"),CONCATENATE("R27C",'Mapa final'!$R$86),"")</f>
        <v/>
      </c>
      <c r="R32" s="106" t="str">
        <f>IF(AND('Mapa final'!$AB$87="Muy Alta",'Mapa final'!$AD$87="Moderado"),CONCATENATE("R27C",'Mapa final'!$R$87),"")</f>
        <v/>
      </c>
      <c r="S32" s="105" t="str">
        <f>IF(AND('Mapa final'!$AB$85="Muy Alta",'Mapa final'!$AD$85="Mayor"),CONCATENATE("R27C",'Mapa final'!$R$85),"")</f>
        <v/>
      </c>
      <c r="T32" s="42" t="str">
        <f>IF(AND('Mapa final'!$AB$86="Muy Alta",'Mapa final'!$AD$86="Mayor"),CONCATENATE("R27C",'Mapa final'!$R$86),"")</f>
        <v/>
      </c>
      <c r="U32" s="106" t="str">
        <f>IF(AND('Mapa final'!$AB$87="Muy Alta",'Mapa final'!$AD$87="Mayor"),CONCATENATE("R27C",'Mapa final'!$R$87),"")</f>
        <v/>
      </c>
      <c r="V32" s="43" t="str">
        <f>IF(AND('Mapa final'!$AB$85="Muy Alta",'Mapa final'!$AD$85="Catastrófico"),CONCATENATE("R27C",'Mapa final'!$R$85),"")</f>
        <v/>
      </c>
      <c r="W32" s="44" t="str">
        <f>IF(AND('Mapa final'!$AB$86="Muy Alta",'Mapa final'!$AD$86="Catastrófico"),CONCATENATE("R27C",'Mapa final'!$R$86),"")</f>
        <v/>
      </c>
      <c r="X32" s="100" t="str">
        <f>IF(AND('Mapa final'!$AB$87="Muy Alta",'Mapa final'!$AD$87="Catastrófico"),CONCATENATE("R27C",'Mapa final'!$R$87),"")</f>
        <v/>
      </c>
      <c r="Y32" s="56"/>
      <c r="Z32" s="305"/>
      <c r="AA32" s="306"/>
      <c r="AB32" s="306"/>
      <c r="AC32" s="306"/>
      <c r="AD32" s="306"/>
      <c r="AE32" s="307"/>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15" customHeight="1" x14ac:dyDescent="0.35">
      <c r="A33" s="56"/>
      <c r="B33" s="311"/>
      <c r="C33" s="311"/>
      <c r="D33" s="312"/>
      <c r="E33" s="288"/>
      <c r="F33" s="301"/>
      <c r="G33" s="301"/>
      <c r="H33" s="301"/>
      <c r="I33" s="283"/>
      <c r="J33" s="105" t="str">
        <f>IF(AND('Mapa final'!$AB$88="Muy Alta",'Mapa final'!$AD$88="Leve"),CONCATENATE("R28C",'Mapa final'!$R$88),"")</f>
        <v/>
      </c>
      <c r="K33" s="42" t="str">
        <f>IF(AND('Mapa final'!$AB$89="Muy Alta",'Mapa final'!$AD$89="Leve"),CONCATENATE("R28C",'Mapa final'!$R$89),"")</f>
        <v/>
      </c>
      <c r="L33" s="106" t="str">
        <f>IF(AND('Mapa final'!$AB$90="Muy Alta",'Mapa final'!$AD$90="Leve"),CONCATENATE("R28C",'Mapa final'!$R$90),"")</f>
        <v/>
      </c>
      <c r="M33" s="105" t="str">
        <f>IF(AND('Mapa final'!$AB$88="Muy Alta",'Mapa final'!$AD$88="Menor"),CONCATENATE("R28C",'Mapa final'!$R$88),"")</f>
        <v/>
      </c>
      <c r="N33" s="42" t="str">
        <f>IF(AND('Mapa final'!$AB$89="Muy Alta",'Mapa final'!$AD$89="Menor"),CONCATENATE("R28C",'Mapa final'!$R$89),"")</f>
        <v/>
      </c>
      <c r="O33" s="106" t="str">
        <f>IF(AND('Mapa final'!$AB$90="Muy Alta",'Mapa final'!$AD$90="Menor"),CONCATENATE("R28C",'Mapa final'!$R$90),"")</f>
        <v/>
      </c>
      <c r="P33" s="105" t="str">
        <f>IF(AND('Mapa final'!$AB$88="Muy Alta",'Mapa final'!$AD$88="Moderado"),CONCATENATE("R28C",'Mapa final'!$R$88),"")</f>
        <v/>
      </c>
      <c r="Q33" s="42" t="str">
        <f>IF(AND('Mapa final'!$AB$89="Muy Alta",'Mapa final'!$AD$89="Moderado"),CONCATENATE("R28C",'Mapa final'!$R$89),"")</f>
        <v/>
      </c>
      <c r="R33" s="106" t="str">
        <f>IF(AND('Mapa final'!$AB$90="Muy Alta",'Mapa final'!$AD$90="Moderado"),CONCATENATE("R28C",'Mapa final'!$R$90),"")</f>
        <v/>
      </c>
      <c r="S33" s="105" t="str">
        <f>IF(AND('Mapa final'!$AB$88="Muy Alta",'Mapa final'!$AD$88="Mayor"),CONCATENATE("R28C",'Mapa final'!$R$88),"")</f>
        <v/>
      </c>
      <c r="T33" s="42" t="str">
        <f>IF(AND('Mapa final'!$AB$89="Muy Alta",'Mapa final'!$AD$89="Mayor"),CONCATENATE("R28C",'Mapa final'!$R$89),"")</f>
        <v/>
      </c>
      <c r="U33" s="106" t="str">
        <f>IF(AND('Mapa final'!$AB$90="Muy Alta",'Mapa final'!$AD$90="Mayor"),CONCATENATE("R28C",'Mapa final'!$R$90),"")</f>
        <v/>
      </c>
      <c r="V33" s="43" t="str">
        <f>IF(AND('Mapa final'!$AB$88="Muy Alta",'Mapa final'!$AD$88="Catastrófico"),CONCATENATE("R28C",'Mapa final'!$R$88),"")</f>
        <v/>
      </c>
      <c r="W33" s="44" t="str">
        <f>IF(AND('Mapa final'!$AB$89="Muy Alta",'Mapa final'!$AD$89="Catastrófico"),CONCATENATE("R28C",'Mapa final'!$R$89),"")</f>
        <v/>
      </c>
      <c r="X33" s="100" t="str">
        <f>IF(AND('Mapa final'!$AB$90="Muy Alta",'Mapa final'!$AD$90="Catastrófico"),CONCATENATE("R28C",'Mapa final'!$R$90),"")</f>
        <v/>
      </c>
      <c r="Y33" s="56"/>
      <c r="Z33" s="305"/>
      <c r="AA33" s="306"/>
      <c r="AB33" s="306"/>
      <c r="AC33" s="306"/>
      <c r="AD33" s="306"/>
      <c r="AE33" s="307"/>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x14ac:dyDescent="0.35">
      <c r="A34" s="56"/>
      <c r="B34" s="311"/>
      <c r="C34" s="311"/>
      <c r="D34" s="312"/>
      <c r="E34" s="288"/>
      <c r="F34" s="301"/>
      <c r="G34" s="301"/>
      <c r="H34" s="301"/>
      <c r="I34" s="283"/>
      <c r="J34" s="105" t="str">
        <f>IF(AND('Mapa final'!$AB$91="Muy Alta",'Mapa final'!$AD$91="Leve"),CONCATENATE("R29C",'Mapa final'!$R$91),"")</f>
        <v/>
      </c>
      <c r="K34" s="42" t="str">
        <f>IF(AND('Mapa final'!$AB$92="Muy Alta",'Mapa final'!$AD$92="Leve"),CONCATENATE("R29C",'Mapa final'!$R$92),"")</f>
        <v/>
      </c>
      <c r="L34" s="106" t="str">
        <f>IF(AND('Mapa final'!$AB$93="Muy Alta",'Mapa final'!$AD$93="Leve"),CONCATENATE("R29C",'Mapa final'!$R$93),"")</f>
        <v/>
      </c>
      <c r="M34" s="105" t="str">
        <f>IF(AND('Mapa final'!$AB$91="Muy Alta",'Mapa final'!$AD$91="Menor"),CONCATENATE("R29C",'Mapa final'!$R$91),"")</f>
        <v/>
      </c>
      <c r="N34" s="42" t="str">
        <f>IF(AND('Mapa final'!$AB$92="Muy Alta",'Mapa final'!$AD$92="Menor"),CONCATENATE("R29C",'Mapa final'!$R$92),"")</f>
        <v/>
      </c>
      <c r="O34" s="106" t="str">
        <f>IF(AND('Mapa final'!$AB$93="Muy Alta",'Mapa final'!$AD$93="Menor"),CONCATENATE("R29C",'Mapa final'!$R$93),"")</f>
        <v/>
      </c>
      <c r="P34" s="105" t="str">
        <f>IF(AND('Mapa final'!$AB$91="Muy Alta",'Mapa final'!$AD$91="Moderado"),CONCATENATE("R29C",'Mapa final'!$R$91),"")</f>
        <v/>
      </c>
      <c r="Q34" s="42" t="str">
        <f>IF(AND('Mapa final'!$AB$92="Muy Alta",'Mapa final'!$AD$92="Moderado"),CONCATENATE("R29C",'Mapa final'!$R$92),"")</f>
        <v/>
      </c>
      <c r="R34" s="106" t="str">
        <f>IF(AND('Mapa final'!$AB$93="Muy Alta",'Mapa final'!$AD$93="Moderado"),CONCATENATE("R29C",'Mapa final'!$R$93),"")</f>
        <v/>
      </c>
      <c r="S34" s="105" t="str">
        <f>IF(AND('Mapa final'!$AB$91="Muy Alta",'Mapa final'!$AD$91="Mayor"),CONCATENATE("R29C",'Mapa final'!$R$91),"")</f>
        <v/>
      </c>
      <c r="T34" s="42" t="str">
        <f>IF(AND('Mapa final'!$AB$92="Muy Alta",'Mapa final'!$AD$92="Mayor"),CONCATENATE("R29C",'Mapa final'!$R$92),"")</f>
        <v/>
      </c>
      <c r="U34" s="106" t="str">
        <f>IF(AND('Mapa final'!$AB$93="Muy Alta",'Mapa final'!$AD$93="Mayor"),CONCATENATE("R29C",'Mapa final'!$R$93),"")</f>
        <v/>
      </c>
      <c r="V34" s="43" t="str">
        <f>IF(AND('Mapa final'!$AB$91="Muy Alta",'Mapa final'!$AD$91="Catastrófico"),CONCATENATE("R29C",'Mapa final'!$R$91),"")</f>
        <v/>
      </c>
      <c r="W34" s="44" t="str">
        <f>IF(AND('Mapa final'!$AB$92="Muy Alta",'Mapa final'!$AD$92="Catastrófico"),CONCATENATE("R29C",'Mapa final'!$R$92),"")</f>
        <v/>
      </c>
      <c r="X34" s="100" t="str">
        <f>IF(AND('Mapa final'!$AB$93="Muy Alta",'Mapa final'!$AD$93="Catastrófico"),CONCATENATE("R29C",'Mapa final'!$R$93),"")</f>
        <v/>
      </c>
      <c r="Y34" s="56"/>
      <c r="Z34" s="305"/>
      <c r="AA34" s="306"/>
      <c r="AB34" s="306"/>
      <c r="AC34" s="306"/>
      <c r="AD34" s="306"/>
      <c r="AE34" s="307"/>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ht="15" customHeight="1" x14ac:dyDescent="0.35">
      <c r="A35" s="56"/>
      <c r="B35" s="311"/>
      <c r="C35" s="311"/>
      <c r="D35" s="312"/>
      <c r="E35" s="288"/>
      <c r="F35" s="301"/>
      <c r="G35" s="301"/>
      <c r="H35" s="301"/>
      <c r="I35" s="283"/>
      <c r="J35" s="105" t="str">
        <f>IF(AND('Mapa final'!$AB$94="Muy Alta",'Mapa final'!$AD$94="Leve"),CONCATENATE("R30C",'Mapa final'!$R$94),"")</f>
        <v/>
      </c>
      <c r="K35" s="42" t="str">
        <f>IF(AND('Mapa final'!$AB$95="Muy Alta",'Mapa final'!$AD$95="Leve"),CONCATENATE("R30C",'Mapa final'!$R$95),"")</f>
        <v/>
      </c>
      <c r="L35" s="106" t="str">
        <f>IF(AND('Mapa final'!$AB$96="Muy Alta",'Mapa final'!$AD$96="Leve"),CONCATENATE("R30C",'Mapa final'!$R$96),"")</f>
        <v/>
      </c>
      <c r="M35" s="105" t="str">
        <f>IF(AND('Mapa final'!$AB$94="Muy Alta",'Mapa final'!$AD$94="Menor"),CONCATENATE("R30C",'Mapa final'!$R$94),"")</f>
        <v/>
      </c>
      <c r="N35" s="42" t="str">
        <f>IF(AND('Mapa final'!$AB$95="Muy Alta",'Mapa final'!$AD$95="Menor"),CONCATENATE("R30C",'Mapa final'!$R$95),"")</f>
        <v/>
      </c>
      <c r="O35" s="106" t="str">
        <f>IF(AND('Mapa final'!$AB$96="Muy Alta",'Mapa final'!$AD$96="Menor"),CONCATENATE("R30C",'Mapa final'!$R$96),"")</f>
        <v/>
      </c>
      <c r="P35" s="105" t="str">
        <f>IF(AND('Mapa final'!$AB$94="Muy Alta",'Mapa final'!$AD$94="Moderado"),CONCATENATE("R30C",'Mapa final'!$R$94),"")</f>
        <v/>
      </c>
      <c r="Q35" s="42" t="str">
        <f>IF(AND('Mapa final'!$AB$95="Muy Alta",'Mapa final'!$AD$95="Moderado"),CONCATENATE("R30C",'Mapa final'!$R$95),"")</f>
        <v/>
      </c>
      <c r="R35" s="106" t="str">
        <f>IF(AND('Mapa final'!$AB$96="Muy Alta",'Mapa final'!$AD$96="Moderado"),CONCATENATE("R30C",'Mapa final'!$R$96),"")</f>
        <v/>
      </c>
      <c r="S35" s="105" t="str">
        <f>IF(AND('Mapa final'!$AB$94="Muy Alta",'Mapa final'!$AD$94="Mayor"),CONCATENATE("R30C",'Mapa final'!$R$94),"")</f>
        <v/>
      </c>
      <c r="T35" s="42" t="str">
        <f>IF(AND('Mapa final'!$AB$95="Muy Alta",'Mapa final'!$AD$95="Mayor"),CONCATENATE("R30C",'Mapa final'!$R$95),"")</f>
        <v/>
      </c>
      <c r="U35" s="106" t="str">
        <f>IF(AND('Mapa final'!$AB$96="Muy Alta",'Mapa final'!$AD$96="Mayor"),CONCATENATE("R30C",'Mapa final'!$R$96),"")</f>
        <v/>
      </c>
      <c r="V35" s="43" t="str">
        <f>IF(AND('Mapa final'!$AB$94="Muy Alta",'Mapa final'!$AD$94="Catastrófico"),CONCATENATE("R30C",'Mapa final'!$R$94),"")</f>
        <v/>
      </c>
      <c r="W35" s="44" t="str">
        <f>IF(AND('Mapa final'!$AB$95="Muy Alta",'Mapa final'!$AD$95="Catastrófico"),CONCATENATE("R30C",'Mapa final'!$R$95),"")</f>
        <v/>
      </c>
      <c r="X35" s="100" t="str">
        <f>IF(AND('Mapa final'!$AB$96="Muy Alta",'Mapa final'!$AD$96="Catastrófico"),CONCATENATE("R30C",'Mapa final'!$R$96),"")</f>
        <v/>
      </c>
      <c r="Y35" s="56"/>
      <c r="Z35" s="305"/>
      <c r="AA35" s="306"/>
      <c r="AB35" s="306"/>
      <c r="AC35" s="306"/>
      <c r="AD35" s="306"/>
      <c r="AE35" s="307"/>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5" customHeight="1" x14ac:dyDescent="0.35">
      <c r="A36" s="56"/>
      <c r="B36" s="311"/>
      <c r="C36" s="311"/>
      <c r="D36" s="312"/>
      <c r="E36" s="288"/>
      <c r="F36" s="301"/>
      <c r="G36" s="301"/>
      <c r="H36" s="301"/>
      <c r="I36" s="283"/>
      <c r="J36" s="105" t="str">
        <f>IF(AND('Mapa final'!$AB$97="Muy Alta",'Mapa final'!$AD$97="Leve"),CONCATENATE("R31C",'Mapa final'!$R$97),"")</f>
        <v/>
      </c>
      <c r="K36" s="42" t="str">
        <f>IF(AND('Mapa final'!$AB$98="Muy Alta",'Mapa final'!$AD$98="Leve"),CONCATENATE("R31C",'Mapa final'!$R$98),"")</f>
        <v/>
      </c>
      <c r="L36" s="106" t="str">
        <f>IF(AND('Mapa final'!$AB$99="Muy Alta",'Mapa final'!$AD$99="Leve"),CONCATENATE("R31C",'Mapa final'!$R$99),"")</f>
        <v/>
      </c>
      <c r="M36" s="105" t="str">
        <f>IF(AND('Mapa final'!$AB$97="Muy Alta",'Mapa final'!$AD$97="Menor"),CONCATENATE("R31C",'Mapa final'!$R$97),"")</f>
        <v/>
      </c>
      <c r="N36" s="42" t="str">
        <f>IF(AND('Mapa final'!$AB$98="Muy Alta",'Mapa final'!$AD$98="Menor"),CONCATENATE("R31C",'Mapa final'!$R$98),"")</f>
        <v/>
      </c>
      <c r="O36" s="106" t="str">
        <f>IF(AND('Mapa final'!$AB$99="Muy Alta",'Mapa final'!$AD$99="Menor"),CONCATENATE("R31C",'Mapa final'!$R$99),"")</f>
        <v/>
      </c>
      <c r="P36" s="105" t="str">
        <f>IF(AND('Mapa final'!$AB$97="Muy Alta",'Mapa final'!$AD$97="Moderado"),CONCATENATE("R31C",'Mapa final'!$R$97),"")</f>
        <v/>
      </c>
      <c r="Q36" s="42" t="str">
        <f>IF(AND('Mapa final'!$AB$98="Muy Alta",'Mapa final'!$AD$98="Moderado"),CONCATENATE("R31C",'Mapa final'!$R$98),"")</f>
        <v/>
      </c>
      <c r="R36" s="106" t="str">
        <f>IF(AND('Mapa final'!$AB$99="Muy Alta",'Mapa final'!$AD$99="Moderado"),CONCATENATE("R31C",'Mapa final'!$R$99),"")</f>
        <v/>
      </c>
      <c r="S36" s="105" t="str">
        <f>IF(AND('Mapa final'!$AB$97="Muy Alta",'Mapa final'!$AD$97="Mayor"),CONCATENATE("R31C",'Mapa final'!$R$97),"")</f>
        <v/>
      </c>
      <c r="T36" s="42" t="str">
        <f>IF(AND('Mapa final'!$AB$98="Muy Alta",'Mapa final'!$AD$98="Mayor"),CONCATENATE("R31C",'Mapa final'!$R$98),"")</f>
        <v/>
      </c>
      <c r="U36" s="106" t="str">
        <f>IF(AND('Mapa final'!$AB$99="Muy Alta",'Mapa final'!$AD$99="Mayor"),CONCATENATE("R31C",'Mapa final'!$R$99),"")</f>
        <v/>
      </c>
      <c r="V36" s="43" t="str">
        <f>IF(AND('Mapa final'!$AB$97="Muy Alta",'Mapa final'!$AD$97="Catastrófico"),CONCATENATE("R31C",'Mapa final'!$R$97),"")</f>
        <v/>
      </c>
      <c r="W36" s="44" t="str">
        <f>IF(AND('Mapa final'!$AB$98="Muy Alta",'Mapa final'!$AD$98="Catastrófico"),CONCATENATE("R31C",'Mapa final'!$R$98),"")</f>
        <v/>
      </c>
      <c r="X36" s="100" t="str">
        <f>IF(AND('Mapa final'!$AB$99="Muy Alta",'Mapa final'!$AD$99="Catastrófico"),CONCATENATE("R31C",'Mapa final'!$R$99),"")</f>
        <v/>
      </c>
      <c r="Y36" s="56"/>
      <c r="Z36" s="305"/>
      <c r="AA36" s="306"/>
      <c r="AB36" s="306"/>
      <c r="AC36" s="306"/>
      <c r="AD36" s="306"/>
      <c r="AE36" s="307"/>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ht="15" customHeight="1" x14ac:dyDescent="0.35">
      <c r="A37" s="56"/>
      <c r="B37" s="311"/>
      <c r="C37" s="311"/>
      <c r="D37" s="312"/>
      <c r="E37" s="288"/>
      <c r="F37" s="301"/>
      <c r="G37" s="301"/>
      <c r="H37" s="301"/>
      <c r="I37" s="283"/>
      <c r="J37" s="105" t="str">
        <f>IF(AND('Mapa final'!$AB$100="Muy Alta",'Mapa final'!$AD$100="Leve"),CONCATENATE("R32C",'Mapa final'!$R$100),"")</f>
        <v/>
      </c>
      <c r="K37" s="42" t="str">
        <f>IF(AND('Mapa final'!$AB$101="Muy Alta",'Mapa final'!$AD$101="Leve"),CONCATENATE("R32C",'Mapa final'!$R$101),"")</f>
        <v/>
      </c>
      <c r="L37" s="42" t="str">
        <f>IF(AND('Mapa final'!$AB$102="Muy Alta",'Mapa final'!$AD$102="Leve"),CONCATENATE("R32C",'Mapa final'!$R$102),"")</f>
        <v/>
      </c>
      <c r="M37" s="105" t="str">
        <f>IF(AND('Mapa final'!$AB$100="Muy Alta",'Mapa final'!$AD$100="Menor"),CONCATENATE("R32C",'Mapa final'!$R$100),"")</f>
        <v/>
      </c>
      <c r="N37" s="42" t="str">
        <f>IF(AND('Mapa final'!$AB$101="Muy Alta",'Mapa final'!$AD$101="Menor"),CONCATENATE("R32C",'Mapa final'!$R$101),"")</f>
        <v/>
      </c>
      <c r="O37" s="42" t="str">
        <f>IF(AND('Mapa final'!$AB$102="Muy Alta",'Mapa final'!$AD$102="Menor"),CONCATENATE("R32C",'Mapa final'!$R$102),"")</f>
        <v/>
      </c>
      <c r="P37" s="105" t="str">
        <f>IF(AND('Mapa final'!$AB$100="Muy Alta",'Mapa final'!$AD$100="Moderado"),CONCATENATE("R32C",'Mapa final'!$R$100),"")</f>
        <v/>
      </c>
      <c r="Q37" s="42" t="str">
        <f>IF(AND('Mapa final'!$AB$101="Muy Alta",'Mapa final'!$AD$101="Moderado"),CONCATENATE("R32C",'Mapa final'!$R$101),"")</f>
        <v/>
      </c>
      <c r="R37" s="42" t="str">
        <f>IF(AND('Mapa final'!$AB$102="Muy Alta",'Mapa final'!$AD$102="Moderado"),CONCATENATE("R32C",'Mapa final'!$R$102),"")</f>
        <v/>
      </c>
      <c r="S37" s="105" t="str">
        <f>IF(AND('Mapa final'!$AB$100="Muy Alta",'Mapa final'!$AD$100="Mayor"),CONCATENATE("R32C",'Mapa final'!$R$100),"")</f>
        <v/>
      </c>
      <c r="T37" s="42" t="str">
        <f>IF(AND('Mapa final'!$AB$101="Muy Alta",'Mapa final'!$AD$101="Mayor"),CONCATENATE("R32C",'Mapa final'!$R$101),"")</f>
        <v/>
      </c>
      <c r="U37" s="106" t="str">
        <f>IF(AND('Mapa final'!$AB$102="Muy Alta",'Mapa final'!$AD$102="Mayor"),CONCATENATE("R32C",'Mapa final'!$R$102),"")</f>
        <v/>
      </c>
      <c r="V37" s="43" t="str">
        <f>IF(AND('Mapa final'!$AB$100="Muy Alta",'Mapa final'!$AD$100="Catastrófico"),CONCATENATE("R32C",'Mapa final'!$R$100),"")</f>
        <v/>
      </c>
      <c r="W37" s="44" t="str">
        <f>IF(AND('Mapa final'!$AB$101="Muy Alta",'Mapa final'!$AD$101="Catastrófico"),CONCATENATE("R32C",'Mapa final'!$R$101),"")</f>
        <v/>
      </c>
      <c r="X37" s="100" t="str">
        <f>IF(AND('Mapa final'!$AB$102="Muy Alta",'Mapa final'!$AD$102="Catastrófico"),CONCATENATE("R32C",'Mapa final'!$R$102),"")</f>
        <v/>
      </c>
      <c r="Y37" s="56"/>
      <c r="Z37" s="305"/>
      <c r="AA37" s="306"/>
      <c r="AB37" s="306"/>
      <c r="AC37" s="306"/>
      <c r="AD37" s="306"/>
      <c r="AE37" s="307"/>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ht="15" customHeight="1" x14ac:dyDescent="0.35">
      <c r="A38" s="56"/>
      <c r="B38" s="311"/>
      <c r="C38" s="311"/>
      <c r="D38" s="312"/>
      <c r="E38" s="288"/>
      <c r="F38" s="301"/>
      <c r="G38" s="301"/>
      <c r="H38" s="301"/>
      <c r="I38" s="283"/>
      <c r="J38" s="105" t="str">
        <f>IF(AND('Mapa final'!$AB$103="Muy Alta",'Mapa final'!$AD$103="Leve"),CONCATENATE("R33C",'Mapa final'!$R$103),"")</f>
        <v/>
      </c>
      <c r="K38" s="42" t="str">
        <f>IF(AND('Mapa final'!$AB$104="Muy Alta",'Mapa final'!$AD$104="Leve"),CONCATENATE("R33C",'Mapa final'!$R$104),"")</f>
        <v/>
      </c>
      <c r="L38" s="42" t="str">
        <f>IF(AND('Mapa final'!$AB$105="Muy Alta",'Mapa final'!$AD$105="Leve"),CONCATENATE("R33C",'Mapa final'!$R$105),"")</f>
        <v/>
      </c>
      <c r="M38" s="105" t="str">
        <f>IF(AND('Mapa final'!$AB$103="Muy Alta",'Mapa final'!$AD$103="Menor"),CONCATENATE("R33C",'Mapa final'!$R$103),"")</f>
        <v/>
      </c>
      <c r="N38" s="42" t="str">
        <f>IF(AND('Mapa final'!$AB$104="Muy Alta",'Mapa final'!$AD$104="Menor"),CONCATENATE("R33C",'Mapa final'!$R$104),"")</f>
        <v/>
      </c>
      <c r="O38" s="42" t="str">
        <f>IF(AND('Mapa final'!$AB$105="Muy Alta",'Mapa final'!$AD$105="Menor"),CONCATENATE("R33C",'Mapa final'!$R$105),"")</f>
        <v/>
      </c>
      <c r="P38" s="105" t="str">
        <f>IF(AND('Mapa final'!$AB$103="Muy Alta",'Mapa final'!$AD$103="Moderado"),CONCATENATE("R33C",'Mapa final'!$R$103),"")</f>
        <v/>
      </c>
      <c r="Q38" s="42" t="str">
        <f>IF(AND('Mapa final'!$AB$104="Muy Alta",'Mapa final'!$AD$104="Moderado"),CONCATENATE("R33C",'Mapa final'!$R$104),"")</f>
        <v/>
      </c>
      <c r="R38" s="42" t="str">
        <f>IF(AND('Mapa final'!$AB$105="Muy Alta",'Mapa final'!$AD$105="Moderado"),CONCATENATE("R33C",'Mapa final'!$R$105),"")</f>
        <v/>
      </c>
      <c r="S38" s="105" t="str">
        <f>IF(AND('Mapa final'!$AB$103="Muy Alta",'Mapa final'!$AD$103="Mayor"),CONCATENATE("R33C",'Mapa final'!$R$103),"")</f>
        <v/>
      </c>
      <c r="T38" s="42" t="str">
        <f>IF(AND('Mapa final'!$AB$104="Muy Alta",'Mapa final'!$AD$104="Mayor"),CONCATENATE("R33C",'Mapa final'!$R$104),"")</f>
        <v/>
      </c>
      <c r="U38" s="106" t="str">
        <f>IF(AND('Mapa final'!$AB$105="Muy Alta",'Mapa final'!$AD$105="Mayor"),CONCATENATE("R33C",'Mapa final'!$R$105),"")</f>
        <v/>
      </c>
      <c r="V38" s="43" t="str">
        <f>IF(AND('Mapa final'!$AB$103="Muy Alta",'Mapa final'!$AD$103="Catastrófico"),CONCATENATE("R33C",'Mapa final'!$R$103),"")</f>
        <v/>
      </c>
      <c r="W38" s="44" t="str">
        <f>IF(AND('Mapa final'!$AB$104="Muy Alta",'Mapa final'!$AD$104="Catastrófico"),CONCATENATE("R33C",'Mapa final'!$R$104),"")</f>
        <v/>
      </c>
      <c r="X38" s="100" t="str">
        <f>IF(AND('Mapa final'!$AB$105="Muy Alta",'Mapa final'!$AD$105="Catastrófico"),CONCATENATE("R33C",'Mapa final'!$R$105),"")</f>
        <v/>
      </c>
      <c r="Y38" s="56"/>
      <c r="Z38" s="305"/>
      <c r="AA38" s="306"/>
      <c r="AB38" s="306"/>
      <c r="AC38" s="306"/>
      <c r="AD38" s="306"/>
      <c r="AE38" s="307"/>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ht="15" customHeight="1" x14ac:dyDescent="0.35">
      <c r="A39" s="56"/>
      <c r="B39" s="311"/>
      <c r="C39" s="311"/>
      <c r="D39" s="312"/>
      <c r="E39" s="288"/>
      <c r="F39" s="301"/>
      <c r="G39" s="301"/>
      <c r="H39" s="301"/>
      <c r="I39" s="283"/>
      <c r="J39" s="105" t="str">
        <f>IF(AND('Mapa final'!$AB$106="Muy Alta",'Mapa final'!$AD$106="Leve"),CONCATENATE("R34C",'Mapa final'!$R$106),"")</f>
        <v/>
      </c>
      <c r="K39" s="42" t="str">
        <f>IF(AND('Mapa final'!$AB$107="Muy Alta",'Mapa final'!$AD$107="Leve"),CONCATENATE("R34C",'Mapa final'!$R$107),"")</f>
        <v/>
      </c>
      <c r="L39" s="106" t="str">
        <f>IF(AND('Mapa final'!$AB$108="Muy Alta",'Mapa final'!$AD$108="Leve"),CONCATENATE("R34C",'Mapa final'!$R$108),"")</f>
        <v/>
      </c>
      <c r="M39" s="105" t="str">
        <f>IF(AND('Mapa final'!$AB$106="Muy Alta",'Mapa final'!$AD$106="Menor"),CONCATENATE("R34C",'Mapa final'!$R$106),"")</f>
        <v/>
      </c>
      <c r="N39" s="42" t="str">
        <f>IF(AND('Mapa final'!$AB$107="Muy Alta",'Mapa final'!$AD$107="Menor"),CONCATENATE("R34C",'Mapa final'!$R$107),"")</f>
        <v/>
      </c>
      <c r="O39" s="106" t="str">
        <f>IF(AND('Mapa final'!$AB$108="Muy Alta",'Mapa final'!$AD$108="Menor"),CONCATENATE("R34C",'Mapa final'!$R$108),"")</f>
        <v/>
      </c>
      <c r="P39" s="105" t="str">
        <f>IF(AND('Mapa final'!$AB$106="Muy Alta",'Mapa final'!$AD$106="Moderado"),CONCATENATE("R34C",'Mapa final'!$R$106),"")</f>
        <v/>
      </c>
      <c r="Q39" s="42" t="str">
        <f>IF(AND('Mapa final'!$AB$107="Muy Alta",'Mapa final'!$AD$107="Moderado"),CONCATENATE("R34C",'Mapa final'!$R$107),"")</f>
        <v/>
      </c>
      <c r="R39" s="106" t="str">
        <f>IF(AND('Mapa final'!$AB$108="Muy Alta",'Mapa final'!$AD$108="Moderado"),CONCATENATE("R34C",'Mapa final'!$R$108),"")</f>
        <v/>
      </c>
      <c r="S39" s="105" t="str">
        <f>IF(AND('Mapa final'!$AB$106="Muy Alta",'Mapa final'!$AD$106="Mayor"),CONCATENATE("R34C",'Mapa final'!$R$106),"")</f>
        <v/>
      </c>
      <c r="T39" s="42" t="str">
        <f>IF(AND('Mapa final'!$AB$107="Muy Alta",'Mapa final'!$AD$107="Mayor"),CONCATENATE("R34C",'Mapa final'!$R$107),"")</f>
        <v/>
      </c>
      <c r="U39" s="106" t="str">
        <f>IF(AND('Mapa final'!$AB$108="Muy Alta",'Mapa final'!$AD$108="Mayor"),CONCATENATE("R34C",'Mapa final'!$R$108),"")</f>
        <v/>
      </c>
      <c r="V39" s="43" t="str">
        <f>IF(AND('Mapa final'!$AB$106="Muy Alta",'Mapa final'!$AD$106="Catastrófico"),CONCATENATE("R34C",'Mapa final'!$R$106),"")</f>
        <v/>
      </c>
      <c r="W39" s="44" t="str">
        <f>IF(AND('Mapa final'!$AB$107="Muy Alta",'Mapa final'!$AD$107="Catastrófico"),CONCATENATE("R34C",'Mapa final'!$R$107),"")</f>
        <v/>
      </c>
      <c r="X39" s="100" t="str">
        <f>IF(AND('Mapa final'!$AB$108="Muy Alta",'Mapa final'!$AD$108="Catastrófico"),CONCATENATE("R34C",'Mapa final'!$R$108),"")</f>
        <v/>
      </c>
      <c r="Y39" s="56"/>
      <c r="Z39" s="305"/>
      <c r="AA39" s="306"/>
      <c r="AB39" s="306"/>
      <c r="AC39" s="306"/>
      <c r="AD39" s="306"/>
      <c r="AE39" s="307"/>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5" customHeight="1" x14ac:dyDescent="0.35">
      <c r="A40" s="56"/>
      <c r="B40" s="311"/>
      <c r="C40" s="311"/>
      <c r="D40" s="312"/>
      <c r="E40" s="288"/>
      <c r="F40" s="301"/>
      <c r="G40" s="301"/>
      <c r="H40" s="301"/>
      <c r="I40" s="283"/>
      <c r="J40" s="105" t="str">
        <f>IF(AND('Mapa final'!$AB$109="Muy Alta",'Mapa final'!$AD$109="Leve"),CONCATENATE("R35C",'Mapa final'!$R$109),"")</f>
        <v/>
      </c>
      <c r="K40" s="42" t="str">
        <f>IF(AND('Mapa final'!$AB$110="Muy Alta",'Mapa final'!$AD$110="Leve"),CONCATENATE("R35C",'Mapa final'!$R$110),"")</f>
        <v/>
      </c>
      <c r="L40" s="106" t="str">
        <f>IF(AND('Mapa final'!$AB$111="Muy Alta",'Mapa final'!$AD$111="Leve"),CONCATENATE("R35C",'Mapa final'!$R$111),"")</f>
        <v/>
      </c>
      <c r="M40" s="105" t="str">
        <f>IF(AND('Mapa final'!$AB$109="Muy Alta",'Mapa final'!$AD$109="Menor"),CONCATENATE("R35C",'Mapa final'!$R$109),"")</f>
        <v/>
      </c>
      <c r="N40" s="42" t="str">
        <f>IF(AND('Mapa final'!$AB$110="Muy Alta",'Mapa final'!$AD$110="Menor"),CONCATENATE("R35C",'Mapa final'!$R$110),"")</f>
        <v/>
      </c>
      <c r="O40" s="106" t="str">
        <f>IF(AND('Mapa final'!$AB$111="Muy Alta",'Mapa final'!$AD$111="Menor"),CONCATENATE("R35C",'Mapa final'!$R$111),"")</f>
        <v/>
      </c>
      <c r="P40" s="105" t="str">
        <f>IF(AND('Mapa final'!$AB$109="Muy Alta",'Mapa final'!$AD$109="Moderado"),CONCATENATE("R35C",'Mapa final'!$R$109),"")</f>
        <v/>
      </c>
      <c r="Q40" s="42" t="str">
        <f>IF(AND('Mapa final'!$AB$110="Muy Alta",'Mapa final'!$AD$110="Moderado"),CONCATENATE("R35C",'Mapa final'!$R$110),"")</f>
        <v/>
      </c>
      <c r="R40" s="106" t="str">
        <f>IF(AND('Mapa final'!$AB$111="Muy Alta",'Mapa final'!$AD$111="Moderado"),CONCATENATE("R35C",'Mapa final'!$R$111),"")</f>
        <v/>
      </c>
      <c r="S40" s="105" t="str">
        <f>IF(AND('Mapa final'!$AB$109="Muy Alta",'Mapa final'!$AD$109="Mayor"),CONCATENATE("R35C",'Mapa final'!$R$109),"")</f>
        <v/>
      </c>
      <c r="T40" s="42" t="str">
        <f>IF(AND('Mapa final'!$AB$110="Muy Alta",'Mapa final'!$AD$110="Mayor"),CONCATENATE("R35C",'Mapa final'!$R$110),"")</f>
        <v/>
      </c>
      <c r="U40" s="106" t="str">
        <f>IF(AND('Mapa final'!$AB$111="Muy Alta",'Mapa final'!$AD$111="Mayor"),CONCATENATE("R35C",'Mapa final'!$R$111),"")</f>
        <v/>
      </c>
      <c r="V40" s="43" t="str">
        <f>IF(AND('Mapa final'!$AB$109="Muy Alta",'Mapa final'!$AD$109="Catastrófico"),CONCATENATE("R35C",'Mapa final'!$R$109),"")</f>
        <v/>
      </c>
      <c r="W40" s="44" t="str">
        <f>IF(AND('Mapa final'!$AB$110="Muy Alta",'Mapa final'!$AD$110="Catastrófico"),CONCATENATE("R35C",'Mapa final'!$R$110),"")</f>
        <v/>
      </c>
      <c r="X40" s="100" t="str">
        <f>IF(AND('Mapa final'!$AB$111="Muy Alta",'Mapa final'!$AD$111="Catastrófico"),CONCATENATE("R35C",'Mapa final'!$R$111),"")</f>
        <v/>
      </c>
      <c r="Y40" s="56"/>
      <c r="Z40" s="305"/>
      <c r="AA40" s="306"/>
      <c r="AB40" s="306"/>
      <c r="AC40" s="306"/>
      <c r="AD40" s="306"/>
      <c r="AE40" s="307"/>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 customHeight="1" x14ac:dyDescent="0.35">
      <c r="A41" s="56"/>
      <c r="B41" s="311"/>
      <c r="C41" s="311"/>
      <c r="D41" s="312"/>
      <c r="E41" s="288"/>
      <c r="F41" s="301"/>
      <c r="G41" s="301"/>
      <c r="H41" s="301"/>
      <c r="I41" s="283"/>
      <c r="J41" s="105" t="str">
        <f>IF(AND('Mapa final'!$AB$112="Muy Alta",'Mapa final'!$AD$112="Leve"),CONCATENATE("R36C",'Mapa final'!$R$112),"")</f>
        <v/>
      </c>
      <c r="K41" s="42" t="str">
        <f>IF(AND('Mapa final'!$AB$113="Muy Alta",'Mapa final'!$AD$113="Leve"),CONCATENATE("R36C",'Mapa final'!$R$113),"")</f>
        <v/>
      </c>
      <c r="L41" s="106" t="str">
        <f>IF(AND('Mapa final'!$AB$114="Muy Alta",'Mapa final'!$AD$114="Leve"),CONCATENATE("R36C",'Mapa final'!$R$114),"")</f>
        <v/>
      </c>
      <c r="M41" s="105" t="str">
        <f>IF(AND('Mapa final'!$AB$112="Muy Alta",'Mapa final'!$AD$112="Menor"),CONCATENATE("R36C",'Mapa final'!$R$112),"")</f>
        <v/>
      </c>
      <c r="N41" s="42" t="str">
        <f>IF(AND('Mapa final'!$AB$113="Muy Alta",'Mapa final'!$AD$113="Menor"),CONCATENATE("R36C",'Mapa final'!$R$113),"")</f>
        <v/>
      </c>
      <c r="O41" s="106" t="str">
        <f>IF(AND('Mapa final'!$AB$114="Muy Alta",'Mapa final'!$AD$114="Menor"),CONCATENATE("R36C",'Mapa final'!$R$114),"")</f>
        <v/>
      </c>
      <c r="P41" s="105" t="str">
        <f>IF(AND('Mapa final'!$AB$112="Muy Alta",'Mapa final'!$AD$112="Moderado"),CONCATENATE("R36C",'Mapa final'!$R$112),"")</f>
        <v/>
      </c>
      <c r="Q41" s="42" t="str">
        <f>IF(AND('Mapa final'!$AB$113="Muy Alta",'Mapa final'!$AD$113="Moderado"),CONCATENATE("R36C",'Mapa final'!$R$113),"")</f>
        <v/>
      </c>
      <c r="R41" s="106" t="str">
        <f>IF(AND('Mapa final'!$AB$114="Muy Alta",'Mapa final'!$AD$114="Moderado"),CONCATENATE("R36C",'Mapa final'!$R$114),"")</f>
        <v/>
      </c>
      <c r="S41" s="105" t="str">
        <f>IF(AND('Mapa final'!$AB$112="Muy Alta",'Mapa final'!$AD$112="Mayor"),CONCATENATE("R36C",'Mapa final'!$R$112),"")</f>
        <v/>
      </c>
      <c r="T41" s="42" t="str">
        <f>IF(AND('Mapa final'!$AB$113="Muy Alta",'Mapa final'!$AD$113="Mayor"),CONCATENATE("R36C",'Mapa final'!$R$113),"")</f>
        <v/>
      </c>
      <c r="U41" s="106" t="str">
        <f>IF(AND('Mapa final'!$AB$114="Muy Alta",'Mapa final'!$AD$114="Mayor"),CONCATENATE("R36C",'Mapa final'!$R$114),"")</f>
        <v/>
      </c>
      <c r="V41" s="43" t="str">
        <f>IF(AND('Mapa final'!$AB$112="Muy Alta",'Mapa final'!$AD$112="Catastrófico"),CONCATENATE("R36C",'Mapa final'!$R$112),"")</f>
        <v/>
      </c>
      <c r="W41" s="44" t="str">
        <f>IF(AND('Mapa final'!$AB$113="Muy Alta",'Mapa final'!$AD$113="Catastrófico"),CONCATENATE("R36C",'Mapa final'!$R$113),"")</f>
        <v/>
      </c>
      <c r="X41" s="100" t="str">
        <f>IF(AND('Mapa final'!$AB$114="Muy Alta",'Mapa final'!$AD$114="Catastrófico"),CONCATENATE("R36C",'Mapa final'!$R$114),"")</f>
        <v/>
      </c>
      <c r="Y41" s="56"/>
      <c r="Z41" s="305"/>
      <c r="AA41" s="306"/>
      <c r="AB41" s="306"/>
      <c r="AC41" s="306"/>
      <c r="AD41" s="306"/>
      <c r="AE41" s="307"/>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5" customHeight="1" x14ac:dyDescent="0.35">
      <c r="A42" s="56"/>
      <c r="B42" s="311"/>
      <c r="C42" s="311"/>
      <c r="D42" s="312"/>
      <c r="E42" s="288"/>
      <c r="F42" s="301"/>
      <c r="G42" s="301"/>
      <c r="H42" s="301"/>
      <c r="I42" s="283"/>
      <c r="J42" s="105" t="str">
        <f>IF(AND('Mapa final'!$AB$115="Muy Alta",'Mapa final'!$AD$115="Leve"),CONCATENATE("R37C",'Mapa final'!$R$115),"")</f>
        <v/>
      </c>
      <c r="K42" s="42" t="str">
        <f>IF(AND('Mapa final'!$AB$116="Muy Alta",'Mapa final'!$AD$116="Leve"),CONCATENATE("R37C",'Mapa final'!$R$116),"")</f>
        <v/>
      </c>
      <c r="L42" s="106" t="str">
        <f>IF(AND('Mapa final'!$AB$117="Muy Alta",'Mapa final'!$AD$117="Leve"),CONCATENATE("R37C",'Mapa final'!$R$117),"")</f>
        <v/>
      </c>
      <c r="M42" s="105" t="str">
        <f>IF(AND('Mapa final'!$AB$115="Muy Alta",'Mapa final'!$AD$115="Menor"),CONCATENATE("R37C",'Mapa final'!$R$115),"")</f>
        <v/>
      </c>
      <c r="N42" s="42" t="str">
        <f>IF(AND('Mapa final'!$AB$116="Muy Alta",'Mapa final'!$AD$116="Menor"),CONCATENATE("R37C",'Mapa final'!$R$116),"")</f>
        <v/>
      </c>
      <c r="O42" s="106" t="str">
        <f>IF(AND('Mapa final'!$AB$117="Muy Alta",'Mapa final'!$AD$117="Menor"),CONCATENATE("R37C",'Mapa final'!$R$117),"")</f>
        <v/>
      </c>
      <c r="P42" s="105" t="str">
        <f>IF(AND('Mapa final'!$AB$115="Muy Alta",'Mapa final'!$AD$115="Moderado"),CONCATENATE("R37C",'Mapa final'!$R$115),"")</f>
        <v/>
      </c>
      <c r="Q42" s="42" t="str">
        <f>IF(AND('Mapa final'!$AB$116="Muy Alta",'Mapa final'!$AD$116="Moderado"),CONCATENATE("R37C",'Mapa final'!$R$116),"")</f>
        <v/>
      </c>
      <c r="R42" s="106" t="str">
        <f>IF(AND('Mapa final'!$AB$117="Muy Alta",'Mapa final'!$AD$117="Moderado"),CONCATENATE("R37C",'Mapa final'!$R$117),"")</f>
        <v/>
      </c>
      <c r="S42" s="105" t="str">
        <f>IF(AND('Mapa final'!$AB$115="Muy Alta",'Mapa final'!$AD$115="Mayor"),CONCATENATE("R37C",'Mapa final'!$R$115),"")</f>
        <v/>
      </c>
      <c r="T42" s="42" t="str">
        <f>IF(AND('Mapa final'!$AB$116="Muy Alta",'Mapa final'!$AD$116="Mayor"),CONCATENATE("R37C",'Mapa final'!$R$116),"")</f>
        <v/>
      </c>
      <c r="U42" s="106" t="str">
        <f>IF(AND('Mapa final'!$AB$117="Muy Alta",'Mapa final'!$AD$117="Mayor"),CONCATENATE("R37C",'Mapa final'!$R$117),"")</f>
        <v/>
      </c>
      <c r="V42" s="43" t="str">
        <f>IF(AND('Mapa final'!$AB$115="Muy Alta",'Mapa final'!$AD$115="Catastrófico"),CONCATENATE("R37C",'Mapa final'!$R$115),"")</f>
        <v/>
      </c>
      <c r="W42" s="44" t="str">
        <f>IF(AND('Mapa final'!$AB$116="Muy Alta",'Mapa final'!$AD$116="Catastrófico"),CONCATENATE("R37C",'Mapa final'!$R$116),"")</f>
        <v/>
      </c>
      <c r="X42" s="100" t="str">
        <f>IF(AND('Mapa final'!$AB$117="Muy Alta",'Mapa final'!$AD$117="Catastrófico"),CONCATENATE("R37C",'Mapa final'!$R$117),"")</f>
        <v/>
      </c>
      <c r="Y42" s="56"/>
      <c r="Z42" s="305"/>
      <c r="AA42" s="306"/>
      <c r="AB42" s="306"/>
      <c r="AC42" s="306"/>
      <c r="AD42" s="306"/>
      <c r="AE42" s="307"/>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15" customHeight="1" x14ac:dyDescent="0.35">
      <c r="A43" s="56"/>
      <c r="B43" s="311"/>
      <c r="C43" s="311"/>
      <c r="D43" s="312"/>
      <c r="E43" s="288"/>
      <c r="F43" s="301"/>
      <c r="G43" s="301"/>
      <c r="H43" s="301"/>
      <c r="I43" s="283"/>
      <c r="J43" s="105" t="str">
        <f>IF(AND('Mapa final'!$AB$118="Muy Alta",'Mapa final'!$AD$118="Leve"),CONCATENATE("R38C",'Mapa final'!$R$118),"")</f>
        <v/>
      </c>
      <c r="K43" s="42" t="str">
        <f>IF(AND('Mapa final'!$AB$119="Muy Alta",'Mapa final'!$AD$119="Leve"),CONCATENATE("R38C",'Mapa final'!$R$119),"")</f>
        <v/>
      </c>
      <c r="L43" s="106" t="str">
        <f>IF(AND('Mapa final'!$AB$120="Muy Alta",'Mapa final'!$AD$120="Leve"),CONCATENATE("R38C",'Mapa final'!$R$120),"")</f>
        <v/>
      </c>
      <c r="M43" s="105" t="str">
        <f>IF(AND('Mapa final'!$AB$118="Muy Alta",'Mapa final'!$AD$118="Menor"),CONCATENATE("R38C",'Mapa final'!$R$118),"")</f>
        <v/>
      </c>
      <c r="N43" s="42" t="str">
        <f>IF(AND('Mapa final'!$AB$119="Muy Alta",'Mapa final'!$AD$119="Menor"),CONCATENATE("R38C",'Mapa final'!$R$119),"")</f>
        <v/>
      </c>
      <c r="O43" s="106" t="str">
        <f>IF(AND('Mapa final'!$AB$120="Muy Alta",'Mapa final'!$AD$120="Menor"),CONCATENATE("R38C",'Mapa final'!$R$120),"")</f>
        <v/>
      </c>
      <c r="P43" s="105" t="str">
        <f>IF(AND('Mapa final'!$AB$118="Muy Alta",'Mapa final'!$AD$118="Moderado"),CONCATENATE("R38C",'Mapa final'!$R$118),"")</f>
        <v/>
      </c>
      <c r="Q43" s="42" t="str">
        <f>IF(AND('Mapa final'!$AB$119="Muy Alta",'Mapa final'!$AD$119="Moderado"),CONCATENATE("R38C",'Mapa final'!$R$119),"")</f>
        <v/>
      </c>
      <c r="R43" s="106" t="str">
        <f>IF(AND('Mapa final'!$AB$120="Muy Alta",'Mapa final'!$AD$120="Moderado"),CONCATENATE("R38C",'Mapa final'!$R$120),"")</f>
        <v/>
      </c>
      <c r="S43" s="105" t="str">
        <f>IF(AND('Mapa final'!$AB$118="Muy Alta",'Mapa final'!$AD$118="Mayor"),CONCATENATE("R38C",'Mapa final'!$R$118),"")</f>
        <v/>
      </c>
      <c r="T43" s="42" t="str">
        <f>IF(AND('Mapa final'!$AB$119="Muy Alta",'Mapa final'!$AD$119="Mayor"),CONCATENATE("R38C",'Mapa final'!$R$119),"")</f>
        <v/>
      </c>
      <c r="U43" s="106" t="str">
        <f>IF(AND('Mapa final'!$AB$120="Muy Alta",'Mapa final'!$AD$120="Mayor"),CONCATENATE("R38C",'Mapa final'!$R$120),"")</f>
        <v/>
      </c>
      <c r="V43" s="43" t="str">
        <f>IF(AND('Mapa final'!$AB$118="Muy Alta",'Mapa final'!$AD$118="Catastrófico"),CONCATENATE("R38C",'Mapa final'!$R$118),"")</f>
        <v/>
      </c>
      <c r="W43" s="44" t="str">
        <f>IF(AND('Mapa final'!$AB$119="Muy Alta",'Mapa final'!$AD$119="Catastrófico"),CONCATENATE("R38C",'Mapa final'!$R$119),"")</f>
        <v/>
      </c>
      <c r="X43" s="100" t="str">
        <f>IF(AND('Mapa final'!$AB$120="Muy Alta",'Mapa final'!$AD$120="Catastrófico"),CONCATENATE("R38C",'Mapa final'!$R$120),"")</f>
        <v/>
      </c>
      <c r="Y43" s="56"/>
      <c r="Z43" s="305"/>
      <c r="AA43" s="306"/>
      <c r="AB43" s="306"/>
      <c r="AC43" s="306"/>
      <c r="AD43" s="306"/>
      <c r="AE43" s="307"/>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5" customHeight="1" x14ac:dyDescent="0.35">
      <c r="A44" s="56"/>
      <c r="B44" s="311"/>
      <c r="C44" s="311"/>
      <c r="D44" s="312"/>
      <c r="E44" s="288"/>
      <c r="F44" s="301"/>
      <c r="G44" s="301"/>
      <c r="H44" s="301"/>
      <c r="I44" s="283"/>
      <c r="J44" s="105" t="str">
        <f>IF(AND('Mapa final'!$AB$121="Muy Alta",'Mapa final'!$AD$121="Leve"),CONCATENATE("R39C",'Mapa final'!$R$121),"")</f>
        <v/>
      </c>
      <c r="K44" s="42" t="str">
        <f>IF(AND('Mapa final'!$AB$122="Muy Alta",'Mapa final'!$AD$122="Leve"),CONCATENATE("R39C",'Mapa final'!$R$122),"")</f>
        <v/>
      </c>
      <c r="L44" s="106" t="str">
        <f>IF(AND('Mapa final'!$AB$123="Muy Alta",'Mapa final'!$AD$123="Leve"),CONCATENATE("R39C",'Mapa final'!$R$123),"")</f>
        <v/>
      </c>
      <c r="M44" s="105" t="str">
        <f>IF(AND('Mapa final'!$AB$121="Muy Alta",'Mapa final'!$AD$121="Menor"),CONCATENATE("R39C",'Mapa final'!$R$121),"")</f>
        <v/>
      </c>
      <c r="N44" s="42" t="str">
        <f>IF(AND('Mapa final'!$AB$122="Muy Alta",'Mapa final'!$AD$122="Menor"),CONCATENATE("R39C",'Mapa final'!$R$122),"")</f>
        <v/>
      </c>
      <c r="O44" s="106" t="str">
        <f>IF(AND('Mapa final'!$AB$123="Muy Alta",'Mapa final'!$AD$123="Menor"),CONCATENATE("R39C",'Mapa final'!$R$123),"")</f>
        <v/>
      </c>
      <c r="P44" s="105" t="str">
        <f>IF(AND('Mapa final'!$AB$121="Muy Alta",'Mapa final'!$AD$121="Moderado"),CONCATENATE("R39C",'Mapa final'!$R$121),"")</f>
        <v/>
      </c>
      <c r="Q44" s="42" t="str">
        <f>IF(AND('Mapa final'!$AB$122="Muy Alta",'Mapa final'!$AD$122="Moderado"),CONCATENATE("R39C",'Mapa final'!$R$122),"")</f>
        <v/>
      </c>
      <c r="R44" s="106" t="str">
        <f>IF(AND('Mapa final'!$AB$123="Muy Alta",'Mapa final'!$AD$123="Moderado"),CONCATENATE("R39C",'Mapa final'!$R$123),"")</f>
        <v/>
      </c>
      <c r="S44" s="105" t="str">
        <f>IF(AND('Mapa final'!$AB$121="Muy Alta",'Mapa final'!$AD$121="Mayor"),CONCATENATE("R39C",'Mapa final'!$R$121),"")</f>
        <v/>
      </c>
      <c r="T44" s="42" t="str">
        <f>IF(AND('Mapa final'!$AB$122="Muy Alta",'Mapa final'!$AD$122="Mayor"),CONCATENATE("R39C",'Mapa final'!$R$122),"")</f>
        <v/>
      </c>
      <c r="U44" s="106" t="str">
        <f>IF(AND('Mapa final'!$AB$123="Muy Alta",'Mapa final'!$AD$123="Mayor"),CONCATENATE("R39C",'Mapa final'!$R$123),"")</f>
        <v/>
      </c>
      <c r="V44" s="43" t="str">
        <f>IF(AND('Mapa final'!$AB$121="Muy Alta",'Mapa final'!$AD$121="Catastrófico"),CONCATENATE("R39C",'Mapa final'!$R$121),"")</f>
        <v/>
      </c>
      <c r="W44" s="44" t="str">
        <f>IF(AND('Mapa final'!$AB$122="Muy Alta",'Mapa final'!$AD$122="Catastrófico"),CONCATENATE("R39C",'Mapa final'!$R$122),"")</f>
        <v/>
      </c>
      <c r="X44" s="100" t="str">
        <f>IF(AND('Mapa final'!$AB$123="Muy Alta",'Mapa final'!$AD$123="Catastrófico"),CONCATENATE("R39C",'Mapa final'!$R$123),"")</f>
        <v/>
      </c>
      <c r="Y44" s="56"/>
      <c r="Z44" s="305"/>
      <c r="AA44" s="306"/>
      <c r="AB44" s="306"/>
      <c r="AC44" s="306"/>
      <c r="AD44" s="306"/>
      <c r="AE44" s="307"/>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ht="15" customHeight="1" x14ac:dyDescent="0.35">
      <c r="A45" s="56"/>
      <c r="B45" s="311"/>
      <c r="C45" s="311"/>
      <c r="D45" s="312"/>
      <c r="E45" s="288"/>
      <c r="F45" s="301"/>
      <c r="G45" s="301"/>
      <c r="H45" s="301"/>
      <c r="I45" s="283"/>
      <c r="J45" s="105" t="str">
        <f>IF(AND('Mapa final'!$AB$124="Muy Alta",'Mapa final'!$AD$124="Leve"),CONCATENATE("R40C",'Mapa final'!$R$124),"")</f>
        <v/>
      </c>
      <c r="K45" s="42" t="str">
        <f>IF(AND('Mapa final'!$AB$125="Muy Alta",'Mapa final'!$AD$125="Leve"),CONCATENATE("R40C",'Mapa final'!$R$125),"")</f>
        <v/>
      </c>
      <c r="L45" s="106" t="str">
        <f>IF(AND('Mapa final'!$AB$126="Muy Alta",'Mapa final'!$AD$126="Leve"),CONCATENATE("R40C",'Mapa final'!$R$126),"")</f>
        <v/>
      </c>
      <c r="M45" s="105" t="str">
        <f>IF(AND('Mapa final'!$AB$124="Muy Alta",'Mapa final'!$AD$124="Menor"),CONCATENATE("R40C",'Mapa final'!$R$124),"")</f>
        <v/>
      </c>
      <c r="N45" s="42" t="str">
        <f>IF(AND('Mapa final'!$AB$125="Muy Alta",'Mapa final'!$AD$125="Menor"),CONCATENATE("R40C",'Mapa final'!$R$125),"")</f>
        <v/>
      </c>
      <c r="O45" s="106" t="str">
        <f>IF(AND('Mapa final'!$AB$126="Muy Alta",'Mapa final'!$AD$126="Menor"),CONCATENATE("R40C",'Mapa final'!$R$126),"")</f>
        <v/>
      </c>
      <c r="P45" s="105" t="str">
        <f>IF(AND('Mapa final'!$AB$124="Muy Alta",'Mapa final'!$AD$124="Moderado"),CONCATENATE("R40C",'Mapa final'!$R$124),"")</f>
        <v/>
      </c>
      <c r="Q45" s="42" t="str">
        <f>IF(AND('Mapa final'!$AB$125="Muy Alta",'Mapa final'!$AD$125="Moderado"),CONCATENATE("R40C",'Mapa final'!$R$125),"")</f>
        <v/>
      </c>
      <c r="R45" s="106" t="str">
        <f>IF(AND('Mapa final'!$AB$126="Muy Alta",'Mapa final'!$AD$126="Moderado"),CONCATENATE("R40C",'Mapa final'!$R$126),"")</f>
        <v/>
      </c>
      <c r="S45" s="105" t="str">
        <f>IF(AND('Mapa final'!$AB$124="Muy Alta",'Mapa final'!$AD$124="Mayor"),CONCATENATE("R40C",'Mapa final'!$R$124),"")</f>
        <v/>
      </c>
      <c r="T45" s="42" t="str">
        <f>IF(AND('Mapa final'!$AB$125="Muy Alta",'Mapa final'!$AD$125="Mayor"),CONCATENATE("R40C",'Mapa final'!$R$125),"")</f>
        <v/>
      </c>
      <c r="U45" s="106" t="str">
        <f>IF(AND('Mapa final'!$AB$126="Muy Alta",'Mapa final'!$AD$126="Mayor"),CONCATENATE("R40C",'Mapa final'!$R$126),"")</f>
        <v/>
      </c>
      <c r="V45" s="43" t="str">
        <f>IF(AND('Mapa final'!$AB$124="Muy Alta",'Mapa final'!$AD$124="Catastrófico"),CONCATENATE("R40C",'Mapa final'!$R$124),"")</f>
        <v/>
      </c>
      <c r="W45" s="44" t="str">
        <f>IF(AND('Mapa final'!$AB$125="Muy Alta",'Mapa final'!$AD$125="Catastrófico"),CONCATENATE("R40C",'Mapa final'!$R$125),"")</f>
        <v/>
      </c>
      <c r="X45" s="100" t="str">
        <f>IF(AND('Mapa final'!$AB$126="Muy Alta",'Mapa final'!$AD$126="Catastrófico"),CONCATENATE("R40C",'Mapa final'!$R$126),"")</f>
        <v/>
      </c>
      <c r="Y45" s="56"/>
      <c r="Z45" s="305"/>
      <c r="AA45" s="306"/>
      <c r="AB45" s="306"/>
      <c r="AC45" s="306"/>
      <c r="AD45" s="306"/>
      <c r="AE45" s="307"/>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ht="15" customHeight="1" x14ac:dyDescent="0.35">
      <c r="A46" s="56"/>
      <c r="B46" s="311"/>
      <c r="C46" s="311"/>
      <c r="D46" s="312"/>
      <c r="E46" s="288"/>
      <c r="F46" s="301"/>
      <c r="G46" s="301"/>
      <c r="H46" s="301"/>
      <c r="I46" s="283"/>
      <c r="J46" s="105" t="str">
        <f>IF(AND('Mapa final'!$AB$127="Muy Alta",'Mapa final'!$AD$127="Leve"),CONCATENATE("R41C",'Mapa final'!$R$127),"")</f>
        <v/>
      </c>
      <c r="K46" s="42" t="str">
        <f>IF(AND('Mapa final'!$AB$128="Muy Alta",'Mapa final'!$AD$128="Leve"),CONCATENATE("R41C",'Mapa final'!$R$128),"")</f>
        <v/>
      </c>
      <c r="L46" s="106" t="str">
        <f>IF(AND('Mapa final'!$AB$129="Muy Alta",'Mapa final'!$AD$129="Leve"),CONCATENATE("R41C",'Mapa final'!$R$129),"")</f>
        <v/>
      </c>
      <c r="M46" s="105" t="str">
        <f>IF(AND('Mapa final'!$AB$127="Muy Alta",'Mapa final'!$AD$127="Menor"),CONCATENATE("R41C",'Mapa final'!$R$127),"")</f>
        <v/>
      </c>
      <c r="N46" s="42" t="str">
        <f>IF(AND('Mapa final'!$AB$128="Muy Alta",'Mapa final'!$AD$128="Menor"),CONCATENATE("R41C",'Mapa final'!$R$128),"")</f>
        <v/>
      </c>
      <c r="O46" s="106" t="str">
        <f>IF(AND('Mapa final'!$AB$129="Muy Alta",'Mapa final'!$AD$129="Menor"),CONCATENATE("R41C",'Mapa final'!$R$129),"")</f>
        <v/>
      </c>
      <c r="P46" s="105" t="str">
        <f>IF(AND('Mapa final'!$AB$127="Muy Alta",'Mapa final'!$AD$127="Moderado"),CONCATENATE("R41C",'Mapa final'!$R$127),"")</f>
        <v/>
      </c>
      <c r="Q46" s="42" t="str">
        <f>IF(AND('Mapa final'!$AB$128="Muy Alta",'Mapa final'!$AD$128="Moderado"),CONCATENATE("R41C",'Mapa final'!$R$128),"")</f>
        <v/>
      </c>
      <c r="R46" s="106" t="str">
        <f>IF(AND('Mapa final'!$AB$129="Muy Alta",'Mapa final'!$AD$129="Moderado"),CONCATENATE("R41C",'Mapa final'!$R$129),"")</f>
        <v/>
      </c>
      <c r="S46" s="105" t="str">
        <f>IF(AND('Mapa final'!$AB$127="Muy Alta",'Mapa final'!$AD$127="Mayor"),CONCATENATE("R41C",'Mapa final'!$R$127),"")</f>
        <v/>
      </c>
      <c r="T46" s="42" t="str">
        <f>IF(AND('Mapa final'!$AB$128="Muy Alta",'Mapa final'!$AD$128="Mayor"),CONCATENATE("R41C",'Mapa final'!$R$128),"")</f>
        <v/>
      </c>
      <c r="U46" s="106" t="str">
        <f>IF(AND('Mapa final'!$AB$129="Muy Alta",'Mapa final'!$AD$129="Mayor"),CONCATENATE("R41C",'Mapa final'!$R$129),"")</f>
        <v/>
      </c>
      <c r="V46" s="43" t="str">
        <f>IF(AND('Mapa final'!$AB$127="Muy Alta",'Mapa final'!$AD$127="Catastrófico"),CONCATENATE("R41C",'Mapa final'!$R$127),"")</f>
        <v/>
      </c>
      <c r="W46" s="44" t="str">
        <f>IF(AND('Mapa final'!$AB$128="Muy Alta",'Mapa final'!$AD$128="Catastrófico"),CONCATENATE("R41C",'Mapa final'!$R$128),"")</f>
        <v/>
      </c>
      <c r="X46" s="100" t="str">
        <f>IF(AND('Mapa final'!$AB$129="Muy Alta",'Mapa final'!$AD$129="Catastrófico"),CONCATENATE("R41C",'Mapa final'!$R$129),"")</f>
        <v/>
      </c>
      <c r="Y46" s="56"/>
      <c r="Z46" s="305"/>
      <c r="AA46" s="306"/>
      <c r="AB46" s="306"/>
      <c r="AC46" s="306"/>
      <c r="AD46" s="306"/>
      <c r="AE46" s="307"/>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ht="15" customHeight="1" x14ac:dyDescent="0.35">
      <c r="A47" s="56"/>
      <c r="B47" s="311"/>
      <c r="C47" s="311"/>
      <c r="D47" s="312"/>
      <c r="E47" s="288"/>
      <c r="F47" s="301"/>
      <c r="G47" s="301"/>
      <c r="H47" s="301"/>
      <c r="I47" s="283"/>
      <c r="J47" s="105" t="str">
        <f>IF(AND('Mapa final'!$AB$130="Muy Alta",'Mapa final'!$AD$130="Leve"),CONCATENATE("R42C",'Mapa final'!$R$130),"")</f>
        <v/>
      </c>
      <c r="K47" s="42" t="str">
        <f>IF(AND('Mapa final'!$AB$131="Muy Alta",'Mapa final'!$AD$131="Leve"),CONCATENATE("R42C",'Mapa final'!$R$131),"")</f>
        <v/>
      </c>
      <c r="L47" s="106" t="str">
        <f>IF(AND('Mapa final'!$AB$132="Muy Alta",'Mapa final'!$AD$132="Leve"),CONCATENATE("R42C",'Mapa final'!$R$132),"")</f>
        <v/>
      </c>
      <c r="M47" s="105" t="str">
        <f>IF(AND('Mapa final'!$AB$130="Muy Alta",'Mapa final'!$AD$130="Menor"),CONCATENATE("R42C",'Mapa final'!$R$130),"")</f>
        <v/>
      </c>
      <c r="N47" s="42" t="str">
        <f>IF(AND('Mapa final'!$AB$131="Muy Alta",'Mapa final'!$AD$131="Menor"),CONCATENATE("R42C",'Mapa final'!$R$131),"")</f>
        <v/>
      </c>
      <c r="O47" s="106" t="str">
        <f>IF(AND('Mapa final'!$AB$132="Muy Alta",'Mapa final'!$AD$132="Menor"),CONCATENATE("R42C",'Mapa final'!$R$132),"")</f>
        <v/>
      </c>
      <c r="P47" s="105" t="str">
        <f>IF(AND('Mapa final'!$AB$130="Muy Alta",'Mapa final'!$AD$130="Moderado"),CONCATENATE("R42C",'Mapa final'!$R$130),"")</f>
        <v/>
      </c>
      <c r="Q47" s="42" t="str">
        <f>IF(AND('Mapa final'!$AB$131="Muy Alta",'Mapa final'!$AD$131="Moderado"),CONCATENATE("R42C",'Mapa final'!$R$131),"")</f>
        <v/>
      </c>
      <c r="R47" s="106" t="str">
        <f>IF(AND('Mapa final'!$AB$132="Muy Alta",'Mapa final'!$AD$132="Moderado"),CONCATENATE("R42C",'Mapa final'!$R$132),"")</f>
        <v/>
      </c>
      <c r="S47" s="105" t="str">
        <f>IF(AND('Mapa final'!$AB$130="Muy Alta",'Mapa final'!$AD$130="Mayor"),CONCATENATE("R42C",'Mapa final'!$R$130),"")</f>
        <v/>
      </c>
      <c r="T47" s="42" t="str">
        <f>IF(AND('Mapa final'!$AB$131="Muy Alta",'Mapa final'!$AD$131="Mayor"),CONCATENATE("R42C",'Mapa final'!$R$131),"")</f>
        <v/>
      </c>
      <c r="U47" s="106" t="str">
        <f>IF(AND('Mapa final'!$AB$132="Muy Alta",'Mapa final'!$AD$132="Mayor"),CONCATENATE("R42C",'Mapa final'!$R$132),"")</f>
        <v/>
      </c>
      <c r="V47" s="43" t="str">
        <f>IF(AND('Mapa final'!$AB$130="Muy Alta",'Mapa final'!$AD$130="Catastrófico"),CONCATENATE("R42C",'Mapa final'!$R$130),"")</f>
        <v/>
      </c>
      <c r="W47" s="44" t="str">
        <f>IF(AND('Mapa final'!$AB$131="Muy Alta",'Mapa final'!$AD$131="Catastrófico"),CONCATENATE("R42C",'Mapa final'!$R$131),"")</f>
        <v/>
      </c>
      <c r="X47" s="100" t="str">
        <f>IF(AND('Mapa final'!$AB$132="Muy Alta",'Mapa final'!$AD$132="Catastrófico"),CONCATENATE("R42C",'Mapa final'!$R$132),"")</f>
        <v/>
      </c>
      <c r="Y47" s="56"/>
      <c r="Z47" s="305"/>
      <c r="AA47" s="306"/>
      <c r="AB47" s="306"/>
      <c r="AC47" s="306"/>
      <c r="AD47" s="306"/>
      <c r="AE47" s="307"/>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ht="15" customHeight="1" x14ac:dyDescent="0.35">
      <c r="A48" s="56"/>
      <c r="B48" s="311"/>
      <c r="C48" s="311"/>
      <c r="D48" s="312"/>
      <c r="E48" s="288"/>
      <c r="F48" s="301"/>
      <c r="G48" s="301"/>
      <c r="H48" s="301"/>
      <c r="I48" s="283"/>
      <c r="J48" s="105" t="str">
        <f>IF(AND('Mapa final'!$AB$133="Muy Alta",'Mapa final'!$AD$133="Leve"),CONCATENATE("R43C",'Mapa final'!$R$133),"")</f>
        <v/>
      </c>
      <c r="K48" s="42" t="str">
        <f>IF(AND('Mapa final'!$AB$134="Muy Alta",'Mapa final'!$AD$134="Leve"),CONCATENATE("R43C",'Mapa final'!$R$134),"")</f>
        <v/>
      </c>
      <c r="L48" s="106" t="str">
        <f>IF(AND('Mapa final'!$AB$135="Muy Alta",'Mapa final'!$AD$135="Leve"),CONCATENATE("R43C",'Mapa final'!$R$135),"")</f>
        <v/>
      </c>
      <c r="M48" s="105" t="str">
        <f>IF(AND('Mapa final'!$AB$133="Muy Alta",'Mapa final'!$AD$133="Menor"),CONCATENATE("R43C",'Mapa final'!$R$133),"")</f>
        <v/>
      </c>
      <c r="N48" s="42" t="str">
        <f>IF(AND('Mapa final'!$AB$134="Muy Alta",'Mapa final'!$AD$134="Menor"),CONCATENATE("R43C",'Mapa final'!$R$134),"")</f>
        <v/>
      </c>
      <c r="O48" s="106" t="str">
        <f>IF(AND('Mapa final'!$AB$135="Muy Alta",'Mapa final'!$AD$135="Menor"),CONCATENATE("R43C",'Mapa final'!$R$135),"")</f>
        <v/>
      </c>
      <c r="P48" s="105" t="str">
        <f>IF(AND('Mapa final'!$AB$133="Muy Alta",'Mapa final'!$AD$133="Moderado"),CONCATENATE("R43C",'Mapa final'!$R$133),"")</f>
        <v/>
      </c>
      <c r="Q48" s="42" t="str">
        <f>IF(AND('Mapa final'!$AB$134="Muy Alta",'Mapa final'!$AD$134="Moderado"),CONCATENATE("R43C",'Mapa final'!$R$134),"")</f>
        <v/>
      </c>
      <c r="R48" s="106" t="str">
        <f>IF(AND('Mapa final'!$AB$135="Muy Alta",'Mapa final'!$AD$135="Moderado"),CONCATENATE("R43C",'Mapa final'!$R$135),"")</f>
        <v/>
      </c>
      <c r="S48" s="105" t="str">
        <f>IF(AND('Mapa final'!$AB$133="Muy Alta",'Mapa final'!$AD$133="Mayor"),CONCATENATE("R43C",'Mapa final'!$R$133),"")</f>
        <v/>
      </c>
      <c r="T48" s="42" t="str">
        <f>IF(AND('Mapa final'!$AB$134="Muy Alta",'Mapa final'!$AD$134="Mayor"),CONCATENATE("R43C",'Mapa final'!$R$134),"")</f>
        <v/>
      </c>
      <c r="U48" s="106" t="str">
        <f>IF(AND('Mapa final'!$AB$135="Muy Alta",'Mapa final'!$AD$135="Mayor"),CONCATENATE("R43C",'Mapa final'!$R$135),"")</f>
        <v/>
      </c>
      <c r="V48" s="43" t="str">
        <f>IF(AND('Mapa final'!$AB$133="Muy Alta",'Mapa final'!$AD$133="Catastrófico"),CONCATENATE("R43C",'Mapa final'!$R$133),"")</f>
        <v/>
      </c>
      <c r="W48" s="44" t="str">
        <f>IF(AND('Mapa final'!$AB$134="Muy Alta",'Mapa final'!$AD$134="Catastrófico"),CONCATENATE("R43C",'Mapa final'!$R$134),"")</f>
        <v/>
      </c>
      <c r="X48" s="100" t="str">
        <f>IF(AND('Mapa final'!$AB$135="Muy Alta",'Mapa final'!$AD$135="Catastrófico"),CONCATENATE("R43C",'Mapa final'!$R$135),"")</f>
        <v/>
      </c>
      <c r="Y48" s="56"/>
      <c r="Z48" s="305"/>
      <c r="AA48" s="306"/>
      <c r="AB48" s="306"/>
      <c r="AC48" s="306"/>
      <c r="AD48" s="306"/>
      <c r="AE48" s="307"/>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61" ht="15" customHeight="1" x14ac:dyDescent="0.35">
      <c r="A49" s="56"/>
      <c r="B49" s="311"/>
      <c r="C49" s="311"/>
      <c r="D49" s="312"/>
      <c r="E49" s="288"/>
      <c r="F49" s="301"/>
      <c r="G49" s="301"/>
      <c r="H49" s="301"/>
      <c r="I49" s="283"/>
      <c r="J49" s="105" t="str">
        <f>IF(AND('Mapa final'!$AB$136="Muy Alta",'Mapa final'!$AD$136="Leve"),CONCATENATE("R44C",'Mapa final'!$R$136),"")</f>
        <v/>
      </c>
      <c r="K49" s="42" t="str">
        <f>IF(AND('Mapa final'!$AB$137="Muy Alta",'Mapa final'!$AD$137="Leve"),CONCATENATE("R44C",'Mapa final'!$R$137),"")</f>
        <v/>
      </c>
      <c r="L49" s="106" t="str">
        <f>IF(AND('Mapa final'!$AB$138="Muy Alta",'Mapa final'!$AD$138="Leve"),CONCATENATE("R44C",'Mapa final'!$R$138),"")</f>
        <v/>
      </c>
      <c r="M49" s="105" t="str">
        <f>IF(AND('Mapa final'!$AB$136="Muy Alta",'Mapa final'!$AD$136="Menor"),CONCATENATE("R44C",'Mapa final'!$R$136),"")</f>
        <v/>
      </c>
      <c r="N49" s="42" t="str">
        <f>IF(AND('Mapa final'!$AB$137="Muy Alta",'Mapa final'!$AD$137="Menor"),CONCATENATE("R44C",'Mapa final'!$R$137),"")</f>
        <v/>
      </c>
      <c r="O49" s="106" t="str">
        <f>IF(AND('Mapa final'!$AB$138="Muy Alta",'Mapa final'!$AD$138="Menor"),CONCATENATE("R44C",'Mapa final'!$R$138),"")</f>
        <v/>
      </c>
      <c r="P49" s="105" t="str">
        <f>IF(AND('Mapa final'!$AB$136="Muy Alta",'Mapa final'!$AD$136="Moderado"),CONCATENATE("R44C",'Mapa final'!$R$136),"")</f>
        <v/>
      </c>
      <c r="Q49" s="42" t="str">
        <f>IF(AND('Mapa final'!$AB$137="Muy Alta",'Mapa final'!$AD$137="Moderado"),CONCATENATE("R44C",'Mapa final'!$R$137),"")</f>
        <v/>
      </c>
      <c r="R49" s="106" t="str">
        <f>IF(AND('Mapa final'!$AB$138="Muy Alta",'Mapa final'!$AD$138="Moderado"),CONCATENATE("R44C",'Mapa final'!$R$138),"")</f>
        <v/>
      </c>
      <c r="S49" s="105" t="str">
        <f>IF(AND('Mapa final'!$AB$136="Muy Alta",'Mapa final'!$AD$136="Mayor"),CONCATENATE("R44C",'Mapa final'!$R$136),"")</f>
        <v/>
      </c>
      <c r="T49" s="42" t="str">
        <f>IF(AND('Mapa final'!$AB$137="Muy Alta",'Mapa final'!$AD$137="Mayor"),CONCATENATE("R44C",'Mapa final'!$R$137),"")</f>
        <v/>
      </c>
      <c r="U49" s="106" t="str">
        <f>IF(AND('Mapa final'!$AB$138="Muy Alta",'Mapa final'!$AD$138="Mayor"),CONCATENATE("R44C",'Mapa final'!$R$138),"")</f>
        <v/>
      </c>
      <c r="V49" s="43" t="str">
        <f>IF(AND('Mapa final'!$AB$136="Muy Alta",'Mapa final'!$AD$136="Catastrófico"),CONCATENATE("R44C",'Mapa final'!$R$136),"")</f>
        <v/>
      </c>
      <c r="W49" s="44" t="str">
        <f>IF(AND('Mapa final'!$AB$137="Muy Alta",'Mapa final'!$AD$137="Catastrófico"),CONCATENATE("R44C",'Mapa final'!$R$137),"")</f>
        <v/>
      </c>
      <c r="X49" s="100" t="str">
        <f>IF(AND('Mapa final'!$AB$138="Muy Alta",'Mapa final'!$AD$138="Catastrófico"),CONCATENATE("R44C",'Mapa final'!$R$138),"")</f>
        <v/>
      </c>
      <c r="Y49" s="56"/>
      <c r="Z49" s="305"/>
      <c r="AA49" s="306"/>
      <c r="AB49" s="306"/>
      <c r="AC49" s="306"/>
      <c r="AD49" s="306"/>
      <c r="AE49" s="307"/>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61" ht="15" customHeight="1" x14ac:dyDescent="0.35">
      <c r="A50" s="56"/>
      <c r="B50" s="311"/>
      <c r="C50" s="311"/>
      <c r="D50" s="312"/>
      <c r="E50" s="288"/>
      <c r="F50" s="301"/>
      <c r="G50" s="301"/>
      <c r="H50" s="301"/>
      <c r="I50" s="283"/>
      <c r="J50" s="105" t="str">
        <f>IF(AND('Mapa final'!$AB$139="Muy Alta",'Mapa final'!$AD$139="Leve"),CONCATENATE("R45C",'Mapa final'!$R$139),"")</f>
        <v/>
      </c>
      <c r="K50" s="42" t="str">
        <f>IF(AND('Mapa final'!$AB$140="Muy Alta",'Mapa final'!$AD$140="Leve"),CONCATENATE("R45C",'Mapa final'!$R$140),"")</f>
        <v/>
      </c>
      <c r="L50" s="106" t="str">
        <f>IF(AND('Mapa final'!$AB$141="Muy Alta",'Mapa final'!$AD$141="Leve"),CONCATENATE("R45C",'Mapa final'!$R$141),"")</f>
        <v/>
      </c>
      <c r="M50" s="105" t="str">
        <f>IF(AND('Mapa final'!$AB$139="Muy Alta",'Mapa final'!$AD$139="Menor"),CONCATENATE("R45C",'Mapa final'!$R$139),"")</f>
        <v/>
      </c>
      <c r="N50" s="42" t="str">
        <f>IF(AND('Mapa final'!$AB$140="Muy Alta",'Mapa final'!$AD$140="Menor"),CONCATENATE("R45C",'Mapa final'!$R$140),"")</f>
        <v/>
      </c>
      <c r="O50" s="106" t="str">
        <f>IF(AND('Mapa final'!$AB$141="Muy Alta",'Mapa final'!$AD$141="Menor"),CONCATENATE("R45C",'Mapa final'!$R$141),"")</f>
        <v/>
      </c>
      <c r="P50" s="105" t="str">
        <f>IF(AND('Mapa final'!$AB$139="Muy Alta",'Mapa final'!$AD$139="Moderado"),CONCATENATE("R45C",'Mapa final'!$R$139),"")</f>
        <v/>
      </c>
      <c r="Q50" s="42" t="str">
        <f>IF(AND('Mapa final'!$AB$140="Muy Alta",'Mapa final'!$AD$140="Moderado"),CONCATENATE("R45C",'Mapa final'!$R$140),"")</f>
        <v/>
      </c>
      <c r="R50" s="106" t="str">
        <f>IF(AND('Mapa final'!$AB$141="Muy Alta",'Mapa final'!$AD$141="Moderado"),CONCATENATE("R45C",'Mapa final'!$R$141),"")</f>
        <v/>
      </c>
      <c r="S50" s="105" t="str">
        <f>IF(AND('Mapa final'!$AB$139="Muy Alta",'Mapa final'!$AD$139="Mayor"),CONCATENATE("R45C",'Mapa final'!$R$139),"")</f>
        <v/>
      </c>
      <c r="T50" s="42" t="str">
        <f>IF(AND('Mapa final'!$AB$140="Muy Alta",'Mapa final'!$AD$140="Mayor"),CONCATENATE("R45C",'Mapa final'!$R$140),"")</f>
        <v/>
      </c>
      <c r="U50" s="106" t="str">
        <f>IF(AND('Mapa final'!$AB$141="Muy Alta",'Mapa final'!$AD$141="Mayor"),CONCATENATE("R45C",'Mapa final'!$R$141),"")</f>
        <v/>
      </c>
      <c r="V50" s="43" t="str">
        <f>IF(AND('Mapa final'!$AB$139="Muy Alta",'Mapa final'!$AD$139="Catastrófico"),CONCATENATE("R45C",'Mapa final'!$R$139),"")</f>
        <v/>
      </c>
      <c r="W50" s="44" t="str">
        <f>IF(AND('Mapa final'!$AB$140="Muy Alta",'Mapa final'!$AD$140="Catastrófico"),CONCATENATE("R45C",'Mapa final'!$R$140),"")</f>
        <v/>
      </c>
      <c r="X50" s="100" t="str">
        <f>IF(AND('Mapa final'!$AB$141="Muy Alta",'Mapa final'!$AD$141="Catastrófico"),CONCATENATE("R45C",'Mapa final'!$R$141),"")</f>
        <v/>
      </c>
      <c r="Y50" s="56"/>
      <c r="Z50" s="305"/>
      <c r="AA50" s="306"/>
      <c r="AB50" s="306"/>
      <c r="AC50" s="306"/>
      <c r="AD50" s="306"/>
      <c r="AE50" s="307"/>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61" ht="15" customHeight="1" x14ac:dyDescent="0.35">
      <c r="A51" s="56"/>
      <c r="B51" s="311"/>
      <c r="C51" s="311"/>
      <c r="D51" s="312"/>
      <c r="E51" s="288"/>
      <c r="F51" s="301"/>
      <c r="G51" s="301"/>
      <c r="H51" s="301"/>
      <c r="I51" s="283"/>
      <c r="J51" s="105" t="str">
        <f>IF(AND('Mapa final'!$AB$142="Muy Alta",'Mapa final'!$AD$142="Leve"),CONCATENATE("R46C",'Mapa final'!$R$142),"")</f>
        <v/>
      </c>
      <c r="K51" s="42" t="str">
        <f>IF(AND('Mapa final'!$AB$143="Muy Alta",'Mapa final'!$AD$143="Leve"),CONCATENATE("R46C",'Mapa final'!$R$143),"")</f>
        <v/>
      </c>
      <c r="L51" s="106" t="str">
        <f>IF(AND('Mapa final'!$AB$144="Muy Alta",'Mapa final'!$AD$144="Leve"),CONCATENATE("R46C",'Mapa final'!$R$144),"")</f>
        <v/>
      </c>
      <c r="M51" s="105" t="str">
        <f>IF(AND('Mapa final'!$AB$142="Muy Alta",'Mapa final'!$AD$142="Menor"),CONCATENATE("R46C",'Mapa final'!$R$142),"")</f>
        <v/>
      </c>
      <c r="N51" s="42" t="str">
        <f>IF(AND('Mapa final'!$AB$143="Muy Alta",'Mapa final'!$AD$143="Menor"),CONCATENATE("R46C",'Mapa final'!$R$143),"")</f>
        <v/>
      </c>
      <c r="O51" s="106" t="str">
        <f>IF(AND('Mapa final'!$AB$144="Muy Alta",'Mapa final'!$AD$144="Menor"),CONCATENATE("R46C",'Mapa final'!$R$144),"")</f>
        <v/>
      </c>
      <c r="P51" s="105" t="str">
        <f>IF(AND('Mapa final'!$AB$142="Muy Alta",'Mapa final'!$AD$142="Moderado"),CONCATENATE("R46C",'Mapa final'!$R$142),"")</f>
        <v/>
      </c>
      <c r="Q51" s="42" t="str">
        <f>IF(AND('Mapa final'!$AB$143="Muy Alta",'Mapa final'!$AD$143="Moderado"),CONCATENATE("R46C",'Mapa final'!$R$143),"")</f>
        <v/>
      </c>
      <c r="R51" s="106" t="str">
        <f>IF(AND('Mapa final'!$AB$144="Muy Alta",'Mapa final'!$AD$144="Moderado"),CONCATENATE("R46C",'Mapa final'!$R$144),"")</f>
        <v/>
      </c>
      <c r="S51" s="105" t="str">
        <f>IF(AND('Mapa final'!$AB$142="Muy Alta",'Mapa final'!$AD$142="Mayor"),CONCATENATE("R46C",'Mapa final'!$R$142),"")</f>
        <v/>
      </c>
      <c r="T51" s="42" t="str">
        <f>IF(AND('Mapa final'!$AB$143="Muy Alta",'Mapa final'!$AD$143="Mayor"),CONCATENATE("R46C",'Mapa final'!$R$143),"")</f>
        <v/>
      </c>
      <c r="U51" s="106" t="str">
        <f>IF(AND('Mapa final'!$AB$144="Muy Alta",'Mapa final'!$AD$144="Mayor"),CONCATENATE("R46C",'Mapa final'!$R$144),"")</f>
        <v/>
      </c>
      <c r="V51" s="43" t="str">
        <f>IF(AND('Mapa final'!$AB$142="Muy Alta",'Mapa final'!$AD$142="Catastrófico"),CONCATENATE("R46C",'Mapa final'!$R$142),"")</f>
        <v/>
      </c>
      <c r="W51" s="44" t="str">
        <f>IF(AND('Mapa final'!$AB$143="Muy Alta",'Mapa final'!$AD$143="Catastrófico"),CONCATENATE("R46C",'Mapa final'!$R$143),"")</f>
        <v/>
      </c>
      <c r="X51" s="100" t="str">
        <f>IF(AND('Mapa final'!$AB$144="Muy Alta",'Mapa final'!$AD$144="Catastrófico"),CONCATENATE("R46C",'Mapa final'!$R$144),"")</f>
        <v/>
      </c>
      <c r="Y51" s="56"/>
      <c r="Z51" s="305"/>
      <c r="AA51" s="306"/>
      <c r="AB51" s="306"/>
      <c r="AC51" s="306"/>
      <c r="AD51" s="306"/>
      <c r="AE51" s="307"/>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61" ht="15" customHeight="1" x14ac:dyDescent="0.35">
      <c r="A52" s="56"/>
      <c r="B52" s="311"/>
      <c r="C52" s="311"/>
      <c r="D52" s="312"/>
      <c r="E52" s="288"/>
      <c r="F52" s="301"/>
      <c r="G52" s="301"/>
      <c r="H52" s="301"/>
      <c r="I52" s="283"/>
      <c r="J52" s="105" t="str">
        <f>IF(AND('Mapa final'!$AB$145="Muy Alta",'Mapa final'!$AD$145="Leve"),CONCATENATE("R47C",'Mapa final'!$R$145),"")</f>
        <v/>
      </c>
      <c r="K52" s="42" t="str">
        <f>IF(AND('Mapa final'!$AB$146="Muy Alta",'Mapa final'!$AD$146="Leve"),CONCATENATE("R47C",'Mapa final'!$R$146),"")</f>
        <v/>
      </c>
      <c r="L52" s="106" t="str">
        <f>IF(AND('Mapa final'!$AB$147="Muy Alta",'Mapa final'!$AD$147="Leve"),CONCATENATE("R47C",'Mapa final'!$R$147),"")</f>
        <v/>
      </c>
      <c r="M52" s="105" t="str">
        <f>IF(AND('Mapa final'!$AB$145="Muy Alta",'Mapa final'!$AD$145="Menor"),CONCATENATE("R47C",'Mapa final'!$R$145),"")</f>
        <v/>
      </c>
      <c r="N52" s="42" t="str">
        <f>IF(AND('Mapa final'!$AB$146="Muy Alta",'Mapa final'!$AD$146="Menor"),CONCATENATE("R47C",'Mapa final'!$R$146),"")</f>
        <v/>
      </c>
      <c r="O52" s="106" t="str">
        <f>IF(AND('Mapa final'!$AB$147="Muy Alta",'Mapa final'!$AD$147="Menor"),CONCATENATE("R47C",'Mapa final'!$R$147),"")</f>
        <v/>
      </c>
      <c r="P52" s="105" t="str">
        <f>IF(AND('Mapa final'!$AB$145="Muy Alta",'Mapa final'!$AD$145="Moderado"),CONCATENATE("R47C",'Mapa final'!$R$145),"")</f>
        <v/>
      </c>
      <c r="Q52" s="42" t="str">
        <f>IF(AND('Mapa final'!$AB$146="Muy Alta",'Mapa final'!$AD$146="Moderado"),CONCATENATE("R47C",'Mapa final'!$R$146),"")</f>
        <v/>
      </c>
      <c r="R52" s="106" t="str">
        <f>IF(AND('Mapa final'!$AB$147="Muy Alta",'Mapa final'!$AD$147="Moderado"),CONCATENATE("R47C",'Mapa final'!$R$147),"")</f>
        <v/>
      </c>
      <c r="S52" s="105" t="str">
        <f>IF(AND('Mapa final'!$AB$145="Muy Alta",'Mapa final'!$AD$145="Mayor"),CONCATENATE("R47C",'Mapa final'!$R$145),"")</f>
        <v/>
      </c>
      <c r="T52" s="42" t="str">
        <f>IF(AND('Mapa final'!$AB$146="Muy Alta",'Mapa final'!$AD$146="Mayor"),CONCATENATE("R47C",'Mapa final'!$R$146),"")</f>
        <v/>
      </c>
      <c r="U52" s="106" t="str">
        <f>IF(AND('Mapa final'!$AB$147="Muy Alta",'Mapa final'!$AD$147="Mayor"),CONCATENATE("R47C",'Mapa final'!$R$147),"")</f>
        <v/>
      </c>
      <c r="V52" s="43" t="str">
        <f>IF(AND('Mapa final'!$AB$145="Muy Alta",'Mapa final'!$AD$145="Catastrófico"),CONCATENATE("R47C",'Mapa final'!$R$145),"")</f>
        <v/>
      </c>
      <c r="W52" s="44" t="str">
        <f>IF(AND('Mapa final'!$AB$146="Muy Alta",'Mapa final'!$AD$146="Catastrófico"),CONCATENATE("R47C",'Mapa final'!$R$146),"")</f>
        <v/>
      </c>
      <c r="X52" s="100" t="str">
        <f>IF(AND('Mapa final'!$AB$147="Muy Alta",'Mapa final'!$AD$147="Catastrófico"),CONCATENATE("R47C",'Mapa final'!$R$147),"")</f>
        <v/>
      </c>
      <c r="Y52" s="56"/>
      <c r="Z52" s="305"/>
      <c r="AA52" s="306"/>
      <c r="AB52" s="306"/>
      <c r="AC52" s="306"/>
      <c r="AD52" s="306"/>
      <c r="AE52" s="307"/>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 customHeight="1" x14ac:dyDescent="0.35">
      <c r="A53" s="56"/>
      <c r="B53" s="311"/>
      <c r="C53" s="311"/>
      <c r="D53" s="312"/>
      <c r="E53" s="288"/>
      <c r="F53" s="301"/>
      <c r="G53" s="301"/>
      <c r="H53" s="301"/>
      <c r="I53" s="283"/>
      <c r="J53" s="105" t="str">
        <f>IF(AND('Mapa final'!$AB$148="Muy Alta",'Mapa final'!$AD$148="Leve"),CONCATENATE("R48C",'Mapa final'!$R$148),"")</f>
        <v/>
      </c>
      <c r="K53" s="42" t="str">
        <f>IF(AND('Mapa final'!$AB$149="Muy Alta",'Mapa final'!$AD$149="Leve"),CONCATENATE("R48C",'Mapa final'!$R$149),"")</f>
        <v/>
      </c>
      <c r="L53" s="106" t="str">
        <f>IF(AND('Mapa final'!$AB$150="Muy Alta",'Mapa final'!$AD$150="Leve"),CONCATENATE("R48C",'Mapa final'!$R$150),"")</f>
        <v/>
      </c>
      <c r="M53" s="105" t="str">
        <f>IF(AND('Mapa final'!$AB$148="Muy Alta",'Mapa final'!$AD$148="Menor"),CONCATENATE("R48C",'Mapa final'!$R$148),"")</f>
        <v/>
      </c>
      <c r="N53" s="42" t="str">
        <f>IF(AND('Mapa final'!$AB$149="Muy Alta",'Mapa final'!$AD$149="Menor"),CONCATENATE("R48C",'Mapa final'!$R$149),"")</f>
        <v/>
      </c>
      <c r="O53" s="106" t="str">
        <f>IF(AND('Mapa final'!$AB$150="Muy Alta",'Mapa final'!$AD$150="Menor"),CONCATENATE("R48C",'Mapa final'!$R$150),"")</f>
        <v/>
      </c>
      <c r="P53" s="105" t="str">
        <f>IF(AND('Mapa final'!$AB$148="Muy Alta",'Mapa final'!$AD$148="Moderado"),CONCATENATE("R48C",'Mapa final'!$R$148),"")</f>
        <v/>
      </c>
      <c r="Q53" s="42" t="str">
        <f>IF(AND('Mapa final'!$AB$149="Muy Alta",'Mapa final'!$AD$149="Moderado"),CONCATENATE("R48C",'Mapa final'!$R$149),"")</f>
        <v/>
      </c>
      <c r="R53" s="106" t="str">
        <f>IF(AND('Mapa final'!$AB$150="Muy Alta",'Mapa final'!$AD$150="Moderado"),CONCATENATE("R48C",'Mapa final'!$R$150),"")</f>
        <v/>
      </c>
      <c r="S53" s="105" t="str">
        <f>IF(AND('Mapa final'!$AB$148="Muy Alta",'Mapa final'!$AD$148="Mayor"),CONCATENATE("R48C",'Mapa final'!$R$148),"")</f>
        <v/>
      </c>
      <c r="T53" s="42" t="str">
        <f>IF(AND('Mapa final'!$AB$149="Muy Alta",'Mapa final'!$AD$149="Mayor"),CONCATENATE("R48C",'Mapa final'!$R$149),"")</f>
        <v/>
      </c>
      <c r="U53" s="106" t="str">
        <f>IF(AND('Mapa final'!$AB$150="Muy Alta",'Mapa final'!$AD$150="Mayor"),CONCATENATE("R48C",'Mapa final'!$R$150),"")</f>
        <v/>
      </c>
      <c r="V53" s="43" t="str">
        <f>IF(AND('Mapa final'!$AB$148="Muy Alta",'Mapa final'!$AD$148="Catastrófico"),CONCATENATE("R48C",'Mapa final'!$R$148),"")</f>
        <v/>
      </c>
      <c r="W53" s="44" t="str">
        <f>IF(AND('Mapa final'!$AB$149="Muy Alta",'Mapa final'!$AD$149="Catastrófico"),CONCATENATE("R48C",'Mapa final'!$R$149),"")</f>
        <v/>
      </c>
      <c r="X53" s="100" t="str">
        <f>IF(AND('Mapa final'!$AB$150="Muy Alta",'Mapa final'!$AD$150="Catastrófico"),CONCATENATE("R48C",'Mapa final'!$R$150),"")</f>
        <v/>
      </c>
      <c r="Y53" s="56"/>
      <c r="Z53" s="305"/>
      <c r="AA53" s="306"/>
      <c r="AB53" s="306"/>
      <c r="AC53" s="306"/>
      <c r="AD53" s="306"/>
      <c r="AE53" s="307"/>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61" ht="15" customHeight="1" x14ac:dyDescent="0.35">
      <c r="A54" s="56"/>
      <c r="B54" s="311"/>
      <c r="C54" s="311"/>
      <c r="D54" s="312"/>
      <c r="E54" s="288"/>
      <c r="F54" s="301"/>
      <c r="G54" s="301"/>
      <c r="H54" s="301"/>
      <c r="I54" s="283"/>
      <c r="J54" s="105" t="str">
        <f>IF(AND('Mapa final'!$AB$151="Muy Alta",'Mapa final'!$AD$151="Leve"),CONCATENATE("R49C",'Mapa final'!$R$151),"")</f>
        <v/>
      </c>
      <c r="K54" s="42" t="str">
        <f>IF(AND('Mapa final'!$AB$152="Muy Alta",'Mapa final'!$AD$152="Leve"),CONCATENATE("R49C",'Mapa final'!$R$152),"")</f>
        <v/>
      </c>
      <c r="L54" s="106" t="str">
        <f>IF(AND('Mapa final'!$AB$153="Muy Alta",'Mapa final'!$AD$153="Leve"),CONCATENATE("R49C",'Mapa final'!$R$153),"")</f>
        <v/>
      </c>
      <c r="M54" s="105" t="str">
        <f>IF(AND('Mapa final'!$AB$151="Muy Alta",'Mapa final'!$AD$151="Menor"),CONCATENATE("R49C",'Mapa final'!$R$151),"")</f>
        <v/>
      </c>
      <c r="N54" s="42" t="str">
        <f>IF(AND('Mapa final'!$AB$152="Muy Alta",'Mapa final'!$AD$152="Menor"),CONCATENATE("R49C",'Mapa final'!$R$152),"")</f>
        <v/>
      </c>
      <c r="O54" s="106" t="str">
        <f>IF(AND('Mapa final'!$AB$153="Muy Alta",'Mapa final'!$AD$153="Menor"),CONCATENATE("R49C",'Mapa final'!$R$153),"")</f>
        <v/>
      </c>
      <c r="P54" s="105" t="str">
        <f>IF(AND('Mapa final'!$AB$151="Muy Alta",'Mapa final'!$AD$151="Moderado"),CONCATENATE("R49C",'Mapa final'!$R$151),"")</f>
        <v/>
      </c>
      <c r="Q54" s="42" t="str">
        <f>IF(AND('Mapa final'!$AB$152="Muy Alta",'Mapa final'!$AD$152="Moderado"),CONCATENATE("R49C",'Mapa final'!$R$152),"")</f>
        <v/>
      </c>
      <c r="R54" s="106" t="str">
        <f>IF(AND('Mapa final'!$AB$153="Muy Alta",'Mapa final'!$AD$153="Moderado"),CONCATENATE("R49C",'Mapa final'!$R$153),"")</f>
        <v/>
      </c>
      <c r="S54" s="105" t="str">
        <f>IF(AND('Mapa final'!$AB$151="Muy Alta",'Mapa final'!$AD$151="Mayor"),CONCATENATE("R49C",'Mapa final'!$R$151),"")</f>
        <v/>
      </c>
      <c r="T54" s="42" t="str">
        <f>IF(AND('Mapa final'!$AB$152="Muy Alta",'Mapa final'!$AD$152="Mayor"),CONCATENATE("R49C",'Mapa final'!$R$152),"")</f>
        <v/>
      </c>
      <c r="U54" s="106" t="str">
        <f>IF(AND('Mapa final'!$AB$153="Muy Alta",'Mapa final'!$AD$153="Mayor"),CONCATENATE("R49C",'Mapa final'!$R$153),"")</f>
        <v/>
      </c>
      <c r="V54" s="43" t="str">
        <f>IF(AND('Mapa final'!$AB$151="Muy Alta",'Mapa final'!$AD$151="Catastrófico"),CONCATENATE("R49C",'Mapa final'!$R$151),"")</f>
        <v/>
      </c>
      <c r="W54" s="44" t="str">
        <f>IF(AND('Mapa final'!$AB$152="Muy Alta",'Mapa final'!$AD$152="Catastrófico"),CONCATENATE("R49C",'Mapa final'!$R$152),"")</f>
        <v/>
      </c>
      <c r="X54" s="100" t="str">
        <f>IF(AND('Mapa final'!$AB$153="Muy Alta",'Mapa final'!$AD$153="Catastrófico"),CONCATENATE("R49C",'Mapa final'!$R$153),"")</f>
        <v/>
      </c>
      <c r="Y54" s="56"/>
      <c r="Z54" s="305"/>
      <c r="AA54" s="306"/>
      <c r="AB54" s="306"/>
      <c r="AC54" s="306"/>
      <c r="AD54" s="306"/>
      <c r="AE54" s="307"/>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5" spans="1:61" ht="15" customHeight="1" thickBot="1" x14ac:dyDescent="0.4">
      <c r="A55" s="56"/>
      <c r="B55" s="311"/>
      <c r="C55" s="311"/>
      <c r="D55" s="312"/>
      <c r="E55" s="288"/>
      <c r="F55" s="301"/>
      <c r="G55" s="301"/>
      <c r="H55" s="301"/>
      <c r="I55" s="283"/>
      <c r="J55" s="105" t="str">
        <f>IF(AND('Mapa final'!$AB$154="Muy Alta",'Mapa final'!$AD$154="Leve"),CONCATENATE("R50C",'Mapa final'!$R$154),"")</f>
        <v/>
      </c>
      <c r="K55" s="42" t="str">
        <f>IF(AND('Mapa final'!$AB$155="Muy Alta",'Mapa final'!$AD$155="Leve"),CONCATENATE("R50C",'Mapa final'!$R$155),"")</f>
        <v/>
      </c>
      <c r="L55" s="106" t="str">
        <f>IF(AND('Mapa final'!$AB$156="Muy Alta",'Mapa final'!$AD$156="Leve"),CONCATENATE("R50C",'Mapa final'!$R$156),"")</f>
        <v/>
      </c>
      <c r="M55" s="105" t="str">
        <f>IF(AND('Mapa final'!$AB$154="Muy Alta",'Mapa final'!$AD$154="Menor"),CONCATENATE("R50C",'Mapa final'!$R$154),"")</f>
        <v/>
      </c>
      <c r="N55" s="42" t="str">
        <f>IF(AND('Mapa final'!$AB$155="Muy Alta",'Mapa final'!$AD$155="Menor"),CONCATENATE("R50C",'Mapa final'!$R$155),"")</f>
        <v/>
      </c>
      <c r="O55" s="106" t="str">
        <f>IF(AND('Mapa final'!$AB$156="Muy Alta",'Mapa final'!$AD$156="Menor"),CONCATENATE("R50C",'Mapa final'!$R$156),"")</f>
        <v/>
      </c>
      <c r="P55" s="105" t="str">
        <f>IF(AND('Mapa final'!$AB$154="Muy Alta",'Mapa final'!$AD$154="Moderado"),CONCATENATE("R50C",'Mapa final'!$R$154),"")</f>
        <v/>
      </c>
      <c r="Q55" s="42" t="str">
        <f>IF(AND('Mapa final'!$AB$155="Muy Alta",'Mapa final'!$AD$155="Moderado"),CONCATENATE("R50C",'Mapa final'!$R$155),"")</f>
        <v/>
      </c>
      <c r="R55" s="106" t="str">
        <f>IF(AND('Mapa final'!$AB$156="Muy Alta",'Mapa final'!$AD$156="Moderado"),CONCATENATE("R50C",'Mapa final'!$R$156),"")</f>
        <v/>
      </c>
      <c r="S55" s="107" t="str">
        <f>IF(AND('Mapa final'!$AB$154="Muy Alta",'Mapa final'!$AD$154="Mayor"),CONCATENATE("R50C",'Mapa final'!$R$154),"")</f>
        <v/>
      </c>
      <c r="T55" s="108" t="str">
        <f>IF(AND('Mapa final'!$AB$155="Muy Alta",'Mapa final'!$AD$155="Mayor"),CONCATENATE("R50C",'Mapa final'!$R$155),"")</f>
        <v/>
      </c>
      <c r="U55" s="109" t="str">
        <f>IF(AND('Mapa final'!$AB$156="Muy Alta",'Mapa final'!$AD$156="Mayor"),CONCATENATE("R50C",'Mapa final'!$R$156),"")</f>
        <v/>
      </c>
      <c r="V55" s="45" t="str">
        <f>IF(AND('Mapa final'!$AB$154="Muy Alta",'Mapa final'!$AD$154="Catastrófico"),CONCATENATE("R50C",'Mapa final'!$R$154),"")</f>
        <v/>
      </c>
      <c r="W55" s="46" t="str">
        <f>IF(AND('Mapa final'!$AB$155="Muy Alta",'Mapa final'!$AD$155="Catastrófico"),CONCATENATE("R50C",'Mapa final'!$R$155),"")</f>
        <v/>
      </c>
      <c r="X55" s="101" t="str">
        <f>IF(AND('Mapa final'!$AB$156="Muy Alta",'Mapa final'!$AD$156="Catastrófico"),CONCATENATE("R50C",'Mapa final'!$R$156),"")</f>
        <v/>
      </c>
      <c r="Y55" s="56"/>
      <c r="Z55" s="305"/>
      <c r="AA55" s="306"/>
      <c r="AB55" s="306"/>
      <c r="AC55" s="306"/>
      <c r="AD55" s="306"/>
      <c r="AE55" s="307"/>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row>
    <row r="56" spans="1:61" ht="15" customHeight="1" x14ac:dyDescent="0.35">
      <c r="A56" s="56"/>
      <c r="B56" s="311"/>
      <c r="C56" s="311"/>
      <c r="D56" s="312"/>
      <c r="E56" s="299" t="s">
        <v>106</v>
      </c>
      <c r="F56" s="300"/>
      <c r="G56" s="300"/>
      <c r="H56" s="300"/>
      <c r="I56" s="300"/>
      <c r="J56" s="47" t="str">
        <f>IF(AND('Mapa final'!$AB$7="Alta",'Mapa final'!$AD$7="Leve"),CONCATENATE("R1C",'Mapa final'!$R$7),"")</f>
        <v/>
      </c>
      <c r="K56" s="48" t="str">
        <f>IF(AND('Mapa final'!$AB$8="Alta",'Mapa final'!$AD$8="Leve"),CONCATENATE("R1C",'Mapa final'!$R$8),"")</f>
        <v/>
      </c>
      <c r="L56" s="110" t="str">
        <f>IF(AND('Mapa final'!$AB$9="Alta",'Mapa final'!$AD$9="Leve"),CONCATENATE("R1C",'Mapa final'!$R$9),"")</f>
        <v/>
      </c>
      <c r="M56" s="47" t="str">
        <f>IF(AND('Mapa final'!$AB$7="Alta",'Mapa final'!$AD$7="Menor"),CONCATENATE("R1C",'Mapa final'!$R$7),"")</f>
        <v/>
      </c>
      <c r="N56" s="48" t="str">
        <f>IF(AND('Mapa final'!$AB$8="Alta",'Mapa final'!$AD$8="Menor"),CONCATENATE("R1C",'Mapa final'!$R$8),"")</f>
        <v/>
      </c>
      <c r="O56" s="110" t="str">
        <f>IF(AND('Mapa final'!$AB$9="Alta",'Mapa final'!$AD$9="Menor"),CONCATENATE("R1C",'Mapa final'!$R$9),"")</f>
        <v/>
      </c>
      <c r="P56" s="102" t="str">
        <f>IF(AND('Mapa final'!$AB$7="Alta",'Mapa final'!$AD$7="Moderado"),CONCATENATE("R1C",'Mapa final'!$R$7),"")</f>
        <v/>
      </c>
      <c r="Q56" s="103" t="str">
        <f>IF(AND('Mapa final'!$AB$8="Alta",'Mapa final'!$AD$8="Moderado"),CONCATENATE("R1C",'Mapa final'!$R$8),"")</f>
        <v/>
      </c>
      <c r="R56" s="104" t="str">
        <f>IF(AND('Mapa final'!$AB$9="Alta",'Mapa final'!$AD$9="Moderado"),CONCATENATE("R1C",'Mapa final'!$R$9),"")</f>
        <v/>
      </c>
      <c r="S56" s="102" t="str">
        <f>IF(AND('Mapa final'!$AB$7="Alta",'Mapa final'!$AD$7="Mayor"),CONCATENATE("R1C",'Mapa final'!$R$7),"")</f>
        <v/>
      </c>
      <c r="T56" s="103" t="str">
        <f>IF(AND('Mapa final'!$AB$8="Alta",'Mapa final'!$AD$8="Mayor"),CONCATENATE("R1C",'Mapa final'!$R$8),"")</f>
        <v/>
      </c>
      <c r="U56" s="104" t="str">
        <f>IF(AND('Mapa final'!$AB$9="Alta",'Mapa final'!$AD$9="Mayor"),CONCATENATE("R1C",'Mapa final'!$R$9),"")</f>
        <v/>
      </c>
      <c r="V56" s="40" t="str">
        <f>IF(AND('Mapa final'!$AB$7="Alta",'Mapa final'!$AD$7="Catastrófico"),CONCATENATE("R1C",'Mapa final'!$R$7),"")</f>
        <v/>
      </c>
      <c r="W56" s="41" t="str">
        <f>IF(AND('Mapa final'!$AB$8="Alta",'Mapa final'!$AD$8="Catastrófico"),CONCATENATE("R1C",'Mapa final'!$R$8),"")</f>
        <v/>
      </c>
      <c r="X56" s="99" t="str">
        <f>IF(AND('Mapa final'!$AB$9="Alta",'Mapa final'!$AD$9="Catastrófico"),CONCATENATE("R1C",'Mapa final'!$R$9),"")</f>
        <v/>
      </c>
      <c r="Y56" s="56"/>
      <c r="Z56" s="293" t="s">
        <v>74</v>
      </c>
      <c r="AA56" s="294"/>
      <c r="AB56" s="294"/>
      <c r="AC56" s="294"/>
      <c r="AD56" s="294"/>
      <c r="AE56" s="295"/>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row>
    <row r="57" spans="1:61" ht="15" customHeight="1" x14ac:dyDescent="0.35">
      <c r="A57" s="56"/>
      <c r="B57" s="311"/>
      <c r="C57" s="311"/>
      <c r="D57" s="312"/>
      <c r="E57" s="287"/>
      <c r="F57" s="283"/>
      <c r="G57" s="283"/>
      <c r="H57" s="283"/>
      <c r="I57" s="283"/>
      <c r="J57" s="49" t="str">
        <f>IF(AND('Mapa final'!$AB$10="Alta",'Mapa final'!$AD$10="Leve"),CONCATENATE("R2C",'Mapa final'!$R$10),"")</f>
        <v/>
      </c>
      <c r="K57" s="50" t="str">
        <f>IF(AND('Mapa final'!$AB$11="Alta",'Mapa final'!$AD$11="Leve"),CONCATENATE("R2C",'Mapa final'!$R$11),"")</f>
        <v/>
      </c>
      <c r="L57" s="111" t="str">
        <f>IF(AND('Mapa final'!$AB$12="Alta",'Mapa final'!$AD$12="Leve"),CONCATENATE("R2C",'Mapa final'!$R$12),"")</f>
        <v/>
      </c>
      <c r="M57" s="49" t="str">
        <f>IF(AND('Mapa final'!$AB$10="Alta",'Mapa final'!$AD$10="Menor"),CONCATENATE("R2C",'Mapa final'!$R$10),"")</f>
        <v/>
      </c>
      <c r="N57" s="50" t="str">
        <f>IF(AND('Mapa final'!$AB$11="Alta",'Mapa final'!$AD$11="Menor"),CONCATENATE("R2C",'Mapa final'!$R$11),"")</f>
        <v/>
      </c>
      <c r="O57" s="111" t="str">
        <f>IF(AND('Mapa final'!$AB$12="Alta",'Mapa final'!$AD$12="Menor"),CONCATENATE("R2C",'Mapa final'!$R$12),"")</f>
        <v/>
      </c>
      <c r="P57" s="105" t="str">
        <f>IF(AND('Mapa final'!$AB$10="Alta",'Mapa final'!$AD$10="Moderado"),CONCATENATE("R2C",'Mapa final'!$R$10),"")</f>
        <v/>
      </c>
      <c r="Q57" s="42" t="str">
        <f>IF(AND('Mapa final'!$AB$11="Alta",'Mapa final'!$AD$11="Moderado"),CONCATENATE("R2C",'Mapa final'!$R$11),"")</f>
        <v/>
      </c>
      <c r="R57" s="106" t="str">
        <f>IF(AND('Mapa final'!$AB$12="Alta",'Mapa final'!$AD$12="Moderado"),CONCATENATE("R2C",'Mapa final'!$R$12),"")</f>
        <v/>
      </c>
      <c r="S57" s="105" t="str">
        <f>IF(AND('Mapa final'!$AB$10="Alta",'Mapa final'!$AD$10="Mayor"),CONCATENATE("R2C",'Mapa final'!$R$10),"")</f>
        <v/>
      </c>
      <c r="T57" s="42" t="str">
        <f>IF(AND('Mapa final'!$AB$11="Alta",'Mapa final'!$AD$11="Mayor"),CONCATENATE("R2C",'Mapa final'!$R$11),"")</f>
        <v/>
      </c>
      <c r="U57" s="106" t="str">
        <f>IF(AND('Mapa final'!$AB$12="Alta",'Mapa final'!$AD$12="Mayor"),CONCATENATE("R2C",'Mapa final'!$R$12),"")</f>
        <v/>
      </c>
      <c r="V57" s="43" t="str">
        <f>IF(AND('Mapa final'!$AB$10="Alta",'Mapa final'!$AD$10="Catastrófico"),CONCATENATE("R2C",'Mapa final'!$R$10),"")</f>
        <v/>
      </c>
      <c r="W57" s="44" t="str">
        <f>IF(AND('Mapa final'!$AB$11="Alta",'Mapa final'!$AD$11="Catastrófico"),CONCATENATE("R2C",'Mapa final'!$R$11),"")</f>
        <v/>
      </c>
      <c r="X57" s="100" t="str">
        <f>IF(AND('Mapa final'!$AB$12="Alta",'Mapa final'!$AD$12="Catastrófico"),CONCATENATE("R2C",'Mapa final'!$R$12),"")</f>
        <v/>
      </c>
      <c r="Y57" s="56"/>
      <c r="Z57" s="296"/>
      <c r="AA57" s="297"/>
      <c r="AB57" s="297"/>
      <c r="AC57" s="297"/>
      <c r="AD57" s="297"/>
      <c r="AE57" s="298"/>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row>
    <row r="58" spans="1:61" ht="15" customHeight="1" x14ac:dyDescent="0.35">
      <c r="A58" s="56"/>
      <c r="B58" s="311"/>
      <c r="C58" s="311"/>
      <c r="D58" s="312"/>
      <c r="E58" s="288"/>
      <c r="F58" s="301"/>
      <c r="G58" s="301"/>
      <c r="H58" s="301"/>
      <c r="I58" s="283"/>
      <c r="J58" s="49" t="str">
        <f>IF(AND('Mapa final'!$AB$13="Alta",'Mapa final'!$AD$13="Leve"),CONCATENATE("R3C",'Mapa final'!$R$13),"")</f>
        <v/>
      </c>
      <c r="K58" s="50" t="str">
        <f>IF(AND('Mapa final'!$AB$14="Alta",'Mapa final'!$AD$14="Leve"),CONCATENATE("R3C",'Mapa final'!$R$14),"")</f>
        <v/>
      </c>
      <c r="L58" s="111" t="str">
        <f>IF(AND('Mapa final'!$AB$15="Alta",'Mapa final'!$AD$15="Leve"),CONCATENATE("R3C",'Mapa final'!$R$15),"")</f>
        <v/>
      </c>
      <c r="M58" s="49" t="str">
        <f>IF(AND('Mapa final'!$AB$13="Alta",'Mapa final'!$AD$13="Menor"),CONCATENATE("R3C",'Mapa final'!$R$13),"")</f>
        <v/>
      </c>
      <c r="N58" s="50" t="str">
        <f>IF(AND('Mapa final'!$AB$14="Alta",'Mapa final'!$AD$14="Menor"),CONCATENATE("R3C",'Mapa final'!$R$14),"")</f>
        <v/>
      </c>
      <c r="O58" s="111" t="str">
        <f>IF(AND('Mapa final'!$AB$15="Alta",'Mapa final'!$AD$15="Menor"),CONCATENATE("R3C",'Mapa final'!$R$15),"")</f>
        <v/>
      </c>
      <c r="P58" s="105" t="str">
        <f>IF(AND('Mapa final'!$AB$13="Alta",'Mapa final'!$AD$13="Moderado"),CONCATENATE("R3C",'Mapa final'!$R$13),"")</f>
        <v/>
      </c>
      <c r="Q58" s="42" t="str">
        <f>IF(AND('Mapa final'!$AB$14="Alta",'Mapa final'!$AD$14="Moderado"),CONCATENATE("R3C",'Mapa final'!$R$14),"")</f>
        <v/>
      </c>
      <c r="R58" s="106" t="str">
        <f>IF(AND('Mapa final'!$AB$15="Alta",'Mapa final'!$AD$15="Moderado"),CONCATENATE("R3C",'Mapa final'!$R$15),"")</f>
        <v/>
      </c>
      <c r="S58" s="105" t="str">
        <f>IF(AND('Mapa final'!$AB$13="Alta",'Mapa final'!$AD$13="Mayor"),CONCATENATE("R3C",'Mapa final'!$R$13),"")</f>
        <v/>
      </c>
      <c r="T58" s="42" t="str">
        <f>IF(AND('Mapa final'!$AB$14="Alta",'Mapa final'!$AD$14="Mayor"),CONCATENATE("R3C",'Mapa final'!$R$14),"")</f>
        <v/>
      </c>
      <c r="U58" s="106" t="str">
        <f>IF(AND('Mapa final'!$AB$15="Alta",'Mapa final'!$AD$15="Mayor"),CONCATENATE("R3C",'Mapa final'!$R$15),"")</f>
        <v/>
      </c>
      <c r="V58" s="43" t="str">
        <f>IF(AND('Mapa final'!$AB$13="Alta",'Mapa final'!$AD$13="Catastrófico"),CONCATENATE("R3C",'Mapa final'!$R$13),"")</f>
        <v/>
      </c>
      <c r="W58" s="44" t="str">
        <f>IF(AND('Mapa final'!$AB$14="Alta",'Mapa final'!$AD$14="Catastrófico"),CONCATENATE("R3C",'Mapa final'!$R$14),"")</f>
        <v/>
      </c>
      <c r="X58" s="100" t="str">
        <f>IF(AND('Mapa final'!$AB$15="Alta",'Mapa final'!$AD$15="Catastrófico"),CONCATENATE("R3C",'Mapa final'!$R$15),"")</f>
        <v/>
      </c>
      <c r="Y58" s="56"/>
      <c r="Z58" s="296"/>
      <c r="AA58" s="297"/>
      <c r="AB58" s="297"/>
      <c r="AC58" s="297"/>
      <c r="AD58" s="297"/>
      <c r="AE58" s="298"/>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row>
    <row r="59" spans="1:61" ht="15" customHeight="1" x14ac:dyDescent="0.35">
      <c r="A59" s="56"/>
      <c r="B59" s="311"/>
      <c r="C59" s="311"/>
      <c r="D59" s="312"/>
      <c r="E59" s="288"/>
      <c r="F59" s="301"/>
      <c r="G59" s="301"/>
      <c r="H59" s="301"/>
      <c r="I59" s="283"/>
      <c r="J59" s="49" t="e">
        <f>IF(AND('Mapa final'!#REF!="Alta",'Mapa final'!#REF!="Leve"),CONCATENATE("R4C",'Mapa final'!#REF!),"")</f>
        <v>#REF!</v>
      </c>
      <c r="K59" s="50" t="e">
        <f>IF(AND('Mapa final'!#REF!="Alta",'Mapa final'!#REF!="Leve"),CONCATENATE("R4C",'Mapa final'!#REF!),"")</f>
        <v>#REF!</v>
      </c>
      <c r="L59" s="111" t="e">
        <f>IF(AND('Mapa final'!#REF!="Alta",'Mapa final'!#REF!="Leve"),CONCATENATE("R4C",'Mapa final'!#REF!),"")</f>
        <v>#REF!</v>
      </c>
      <c r="M59" s="49" t="e">
        <f>IF(AND('Mapa final'!#REF!="Alta",'Mapa final'!#REF!="Menor"),CONCATENATE("R4C",'Mapa final'!#REF!),"")</f>
        <v>#REF!</v>
      </c>
      <c r="N59" s="50" t="e">
        <f>IF(AND('Mapa final'!#REF!="Alta",'Mapa final'!#REF!="Menor"),CONCATENATE("R4C",'Mapa final'!#REF!),"")</f>
        <v>#REF!</v>
      </c>
      <c r="O59" s="111" t="e">
        <f>IF(AND('Mapa final'!#REF!="Alta",'Mapa final'!#REF!="Menor"),CONCATENATE("R4C",'Mapa final'!#REF!),"")</f>
        <v>#REF!</v>
      </c>
      <c r="P59" s="105" t="e">
        <f>IF(AND('Mapa final'!#REF!="Alta",'Mapa final'!#REF!="Moderado"),CONCATENATE("R4C",'Mapa final'!#REF!),"")</f>
        <v>#REF!</v>
      </c>
      <c r="Q59" s="42" t="e">
        <f>IF(AND('Mapa final'!#REF!="Alta",'Mapa final'!#REF!="Moderado"),CONCATENATE("R4C",'Mapa final'!#REF!),"")</f>
        <v>#REF!</v>
      </c>
      <c r="R59" s="106" t="e">
        <f>IF(AND('Mapa final'!#REF!="Alta",'Mapa final'!#REF!="Moderado"),CONCATENATE("R4C",'Mapa final'!#REF!),"")</f>
        <v>#REF!</v>
      </c>
      <c r="S59" s="105" t="e">
        <f>IF(AND('Mapa final'!#REF!="Alta",'Mapa final'!#REF!="Mayor"),CONCATENATE("R4C",'Mapa final'!#REF!),"")</f>
        <v>#REF!</v>
      </c>
      <c r="T59" s="42" t="e">
        <f>IF(AND('Mapa final'!#REF!="Alta",'Mapa final'!#REF!="Mayor"),CONCATENATE("R4C",'Mapa final'!#REF!),"")</f>
        <v>#REF!</v>
      </c>
      <c r="U59" s="106" t="e">
        <f>IF(AND('Mapa final'!#REF!="Alta",'Mapa final'!#REF!="Mayor"),CONCATENATE("R4C",'Mapa final'!#REF!),"")</f>
        <v>#REF!</v>
      </c>
      <c r="V59" s="43" t="e">
        <f>IF(AND('Mapa final'!#REF!="Alta",'Mapa final'!#REF!="Catastrófico"),CONCATENATE("R4C",'Mapa final'!#REF!),"")</f>
        <v>#REF!</v>
      </c>
      <c r="W59" s="44" t="e">
        <f>IF(AND('Mapa final'!#REF!="Alta",'Mapa final'!#REF!="Catastrófico"),CONCATENATE("R4C",'Mapa final'!#REF!),"")</f>
        <v>#REF!</v>
      </c>
      <c r="X59" s="100" t="e">
        <f>IF(AND('Mapa final'!#REF!="Alta",'Mapa final'!#REF!="Catastrófico"),CONCATENATE("R4C",'Mapa final'!#REF!),"")</f>
        <v>#REF!</v>
      </c>
      <c r="Y59" s="56"/>
      <c r="Z59" s="296"/>
      <c r="AA59" s="297"/>
      <c r="AB59" s="297"/>
      <c r="AC59" s="297"/>
      <c r="AD59" s="297"/>
      <c r="AE59" s="298"/>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row>
    <row r="60" spans="1:61" ht="12" customHeight="1" x14ac:dyDescent="0.35">
      <c r="A60" s="56"/>
      <c r="B60" s="311"/>
      <c r="C60" s="311"/>
      <c r="D60" s="312"/>
      <c r="E60" s="288"/>
      <c r="F60" s="301"/>
      <c r="G60" s="301"/>
      <c r="H60" s="301"/>
      <c r="I60" s="283"/>
      <c r="J60" s="49" t="str">
        <f>IF(AND('Mapa final'!$AB$16="Alta",'Mapa final'!$AD$16="Leve"),CONCATENATE("R5C",'Mapa final'!$R$16),"")</f>
        <v/>
      </c>
      <c r="K60" s="50" t="str">
        <f>IF(AND('Mapa final'!$AB$17="Alta",'Mapa final'!$AD$17="Leve"),CONCATENATE("R5C",'Mapa final'!$R$17),"")</f>
        <v/>
      </c>
      <c r="L60" s="111" t="str">
        <f>IF(AND('Mapa final'!$AB$18="Alta",'Mapa final'!$AD$18="Leve"),CONCATENATE("R5C",'Mapa final'!$R$18),"")</f>
        <v/>
      </c>
      <c r="M60" s="49" t="str">
        <f>IF(AND('Mapa final'!$AB$16="Alta",'Mapa final'!$AD$16="Menor"),CONCATENATE("R5C",'Mapa final'!$R$16),"")</f>
        <v/>
      </c>
      <c r="N60" s="50" t="str">
        <f>IF(AND('Mapa final'!$AB$17="Alta",'Mapa final'!$AD$17="Menor"),CONCATENATE("R5C",'Mapa final'!$R$17),"")</f>
        <v/>
      </c>
      <c r="O60" s="111" t="str">
        <f>IF(AND('Mapa final'!$AB$18="Alta",'Mapa final'!$AD$18="Menor"),CONCATENATE("R5C",'Mapa final'!$R$18),"")</f>
        <v/>
      </c>
      <c r="P60" s="105" t="str">
        <f>IF(AND('Mapa final'!$AB$16="Alta",'Mapa final'!$AD$16="Moderado"),CONCATENATE("R5C",'Mapa final'!$R$16),"")</f>
        <v/>
      </c>
      <c r="Q60" s="42" t="str">
        <f>IF(AND('Mapa final'!$AB$17="Alta",'Mapa final'!$AD$17="Moderado"),CONCATENATE("R5C",'Mapa final'!$R$17),"")</f>
        <v/>
      </c>
      <c r="R60" s="106" t="str">
        <f>IF(AND('Mapa final'!$AB$18="Alta",'Mapa final'!$AD$18="Moderado"),CONCATENATE("R5C",'Mapa final'!$R$18),"")</f>
        <v/>
      </c>
      <c r="S60" s="105" t="str">
        <f>IF(AND('Mapa final'!$AB$16="Alta",'Mapa final'!$AD$16="Mayor"),CONCATENATE("R5C",'Mapa final'!$R$16),"")</f>
        <v/>
      </c>
      <c r="T60" s="42" t="str">
        <f>IF(AND('Mapa final'!$AB$17="Alta",'Mapa final'!$AD$17="Mayor"),CONCATENATE("R5C",'Mapa final'!$R$17),"")</f>
        <v/>
      </c>
      <c r="U60" s="106" t="str">
        <f>IF(AND('Mapa final'!$AB$18="Alta",'Mapa final'!$AD$18="Mayor"),CONCATENATE("R5C",'Mapa final'!$R$18),"")</f>
        <v/>
      </c>
      <c r="V60" s="43" t="str">
        <f>IF(AND('Mapa final'!$AB$16="Alta",'Mapa final'!$AD$16="Catastrófico"),CONCATENATE("R5C",'Mapa final'!$R$16),"")</f>
        <v/>
      </c>
      <c r="W60" s="44" t="str">
        <f>IF(AND('Mapa final'!$AB$17="Alta",'Mapa final'!$AD$17="Catastrófico"),CONCATENATE("R5C",'Mapa final'!$R$17),"")</f>
        <v/>
      </c>
      <c r="X60" s="100" t="str">
        <f>IF(AND('Mapa final'!$AB$18="Alta",'Mapa final'!$AD$18="Catastrófico"),CONCATENATE("R5C",'Mapa final'!$R$18),"")</f>
        <v/>
      </c>
      <c r="Y60" s="56"/>
      <c r="Z60" s="296"/>
      <c r="AA60" s="297"/>
      <c r="AB60" s="297"/>
      <c r="AC60" s="297"/>
      <c r="AD60" s="297"/>
      <c r="AE60" s="298"/>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row>
    <row r="61" spans="1:61" ht="12" customHeight="1" x14ac:dyDescent="0.35">
      <c r="A61" s="56"/>
      <c r="B61" s="311"/>
      <c r="C61" s="311"/>
      <c r="D61" s="312"/>
      <c r="E61" s="288"/>
      <c r="F61" s="301"/>
      <c r="G61" s="301"/>
      <c r="H61" s="301"/>
      <c r="I61" s="283"/>
      <c r="J61" s="49" t="str">
        <f>IF(AND('Mapa final'!$AB$19="Alta",'Mapa final'!$AD$19="Leve"),CONCATENATE("R6C",'Mapa final'!$R$19),"")</f>
        <v/>
      </c>
      <c r="K61" s="50" t="str">
        <f>IF(AND('Mapa final'!$AB$20="Alta",'Mapa final'!$AD$20="Leve"),CONCATENATE("R6C",'Mapa final'!$R$20),"")</f>
        <v/>
      </c>
      <c r="L61" s="111" t="str">
        <f>IF(AND('Mapa final'!$AB$21="Alta",'Mapa final'!$AD$21="Leve"),CONCATENATE("R6C",'Mapa final'!$R$21),"")</f>
        <v/>
      </c>
      <c r="M61" s="49" t="str">
        <f>IF(AND('Mapa final'!$AB$19="Alta",'Mapa final'!$AD$19="Menor"),CONCATENATE("R6C",'Mapa final'!$R$19),"")</f>
        <v/>
      </c>
      <c r="N61" s="50" t="str">
        <f>IF(AND('Mapa final'!$AB$20="Alta",'Mapa final'!$AD$20="Menor"),CONCATENATE("R6C",'Mapa final'!$R$20),"")</f>
        <v/>
      </c>
      <c r="O61" s="111" t="str">
        <f>IF(AND('Mapa final'!$AB$21="Alta",'Mapa final'!$AD$21="Menor"),CONCATENATE("R6C",'Mapa final'!$R$21),"")</f>
        <v/>
      </c>
      <c r="P61" s="105" t="str">
        <f>IF(AND('Mapa final'!$AB$19="Alta",'Mapa final'!$AD$19="Moderado"),CONCATENATE("R6C",'Mapa final'!$R$19),"")</f>
        <v/>
      </c>
      <c r="Q61" s="42" t="str">
        <f>IF(AND('Mapa final'!$AB$20="Alta",'Mapa final'!$AD$20="Moderado"),CONCATENATE("R6C",'Mapa final'!$R$20),"")</f>
        <v/>
      </c>
      <c r="R61" s="106" t="str">
        <f>IF(AND('Mapa final'!$AB$21="Alta",'Mapa final'!$AD$21="Moderado"),CONCATENATE("R6C",'Mapa final'!$R$21),"")</f>
        <v/>
      </c>
      <c r="S61" s="105" t="str">
        <f>IF(AND('Mapa final'!$AB$19="Alta",'Mapa final'!$AD$19="Mayor"),CONCATENATE("R6C",'Mapa final'!$R$19),"")</f>
        <v/>
      </c>
      <c r="T61" s="42" t="str">
        <f>IF(AND('Mapa final'!$AB$20="Alta",'Mapa final'!$AD$20="Mayor"),CONCATENATE("R6C",'Mapa final'!$R$20),"")</f>
        <v/>
      </c>
      <c r="U61" s="106" t="str">
        <f>IF(AND('Mapa final'!$AB$21="Alta",'Mapa final'!$AD$21="Mayor"),CONCATENATE("R6C",'Mapa final'!$R$21),"")</f>
        <v/>
      </c>
      <c r="V61" s="43" t="str">
        <f>IF(AND('Mapa final'!$AB$19="Alta",'Mapa final'!$AD$19="Catastrófico"),CONCATENATE("R6C",'Mapa final'!$R$19),"")</f>
        <v/>
      </c>
      <c r="W61" s="44" t="str">
        <f>IF(AND('Mapa final'!$AB$20="Alta",'Mapa final'!$AD$20="Catastrófico"),CONCATENATE("R6C",'Mapa final'!$R$20),"")</f>
        <v/>
      </c>
      <c r="X61" s="100" t="str">
        <f>IF(AND('Mapa final'!$AB$21="Alta",'Mapa final'!$AD$21="Catastrófico"),CONCATENATE("R6C",'Mapa final'!$R$21),"")</f>
        <v/>
      </c>
      <c r="Y61" s="56"/>
      <c r="Z61" s="296"/>
      <c r="AA61" s="297"/>
      <c r="AB61" s="297"/>
      <c r="AC61" s="297"/>
      <c r="AD61" s="297"/>
      <c r="AE61" s="298"/>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row>
    <row r="62" spans="1:61" ht="12" customHeight="1" x14ac:dyDescent="0.35">
      <c r="A62" s="56"/>
      <c r="B62" s="311"/>
      <c r="C62" s="311"/>
      <c r="D62" s="312"/>
      <c r="E62" s="288"/>
      <c r="F62" s="301"/>
      <c r="G62" s="301"/>
      <c r="H62" s="301"/>
      <c r="I62" s="283"/>
      <c r="J62" s="49" t="str">
        <f>IF(AND('Mapa final'!$AB$22="Alta",'Mapa final'!$AD$22="Leve"),CONCATENATE("R7C",'Mapa final'!$R$22),"")</f>
        <v/>
      </c>
      <c r="K62" s="50" t="str">
        <f>IF(AND('Mapa final'!$AB$23="Alta",'Mapa final'!$AD$23="Leve"),CONCATENATE("R7C",'Mapa final'!$R$23),"")</f>
        <v/>
      </c>
      <c r="L62" s="111" t="str">
        <f>IF(AND('Mapa final'!$AB$24="Alta",'Mapa final'!$AD$24="Leve"),CONCATENATE("R7C",'Mapa final'!$R$24),"")</f>
        <v/>
      </c>
      <c r="M62" s="49" t="str">
        <f>IF(AND('Mapa final'!$AB$22="Alta",'Mapa final'!$AD$22="Menor"),CONCATENATE("R7C",'Mapa final'!$R$22),"")</f>
        <v/>
      </c>
      <c r="N62" s="50" t="str">
        <f>IF(AND('Mapa final'!$AB$23="Alta",'Mapa final'!$AD$23="Menor"),CONCATENATE("R7C",'Mapa final'!$R$23),"")</f>
        <v/>
      </c>
      <c r="O62" s="111" t="str">
        <f>IF(AND('Mapa final'!$AB$24="Alta",'Mapa final'!$AD$24="Menor"),CONCATENATE("R7C",'Mapa final'!$R$24),"")</f>
        <v/>
      </c>
      <c r="P62" s="105" t="str">
        <f>IF(AND('Mapa final'!$AB$22="Alta",'Mapa final'!$AD$22="Moderado"),CONCATENATE("R7C",'Mapa final'!$R$22),"")</f>
        <v/>
      </c>
      <c r="Q62" s="42" t="str">
        <f>IF(AND('Mapa final'!$AB$23="Alta",'Mapa final'!$AD$23="Moderado"),CONCATENATE("R7C",'Mapa final'!$R$23),"")</f>
        <v/>
      </c>
      <c r="R62" s="106" t="str">
        <f>IF(AND('Mapa final'!$AB$24="Alta",'Mapa final'!$AD$24="Moderado"),CONCATENATE("R7C",'Mapa final'!$R$24),"")</f>
        <v/>
      </c>
      <c r="S62" s="105" t="str">
        <f>IF(AND('Mapa final'!$AB$22="Alta",'Mapa final'!$AD$22="Mayor"),CONCATENATE("R7C",'Mapa final'!$R$22),"")</f>
        <v/>
      </c>
      <c r="T62" s="42" t="str">
        <f>IF(AND('Mapa final'!$AB$23="Alta",'Mapa final'!$AD$23="Mayor"),CONCATENATE("R7C",'Mapa final'!$R$23),"")</f>
        <v/>
      </c>
      <c r="U62" s="106" t="str">
        <f>IF(AND('Mapa final'!$AB$24="Alta",'Mapa final'!$AD$24="Mayor"),CONCATENATE("R7C",'Mapa final'!$R$24),"")</f>
        <v/>
      </c>
      <c r="V62" s="43" t="str">
        <f>IF(AND('Mapa final'!$AB$22="Alta",'Mapa final'!$AD$22="Catastrófico"),CONCATENATE("R7C",'Mapa final'!$R$22),"")</f>
        <v/>
      </c>
      <c r="W62" s="44" t="str">
        <f>IF(AND('Mapa final'!$AB$23="Alta",'Mapa final'!$AD$23="Catastrófico"),CONCATENATE("R7C",'Mapa final'!$R$23),"")</f>
        <v/>
      </c>
      <c r="X62" s="100" t="str">
        <f>IF(AND('Mapa final'!$AB$24="Alta",'Mapa final'!$AD$24="Catastrófico"),CONCATENATE("R7C",'Mapa final'!$R$24),"")</f>
        <v/>
      </c>
      <c r="Y62" s="56"/>
      <c r="Z62" s="296"/>
      <c r="AA62" s="297"/>
      <c r="AB62" s="297"/>
      <c r="AC62" s="297"/>
      <c r="AD62" s="297"/>
      <c r="AE62" s="298"/>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row>
    <row r="63" spans="1:61" ht="12" customHeight="1" x14ac:dyDescent="0.35">
      <c r="A63" s="56"/>
      <c r="B63" s="311"/>
      <c r="C63" s="311"/>
      <c r="D63" s="312"/>
      <c r="E63" s="288"/>
      <c r="F63" s="301"/>
      <c r="G63" s="301"/>
      <c r="H63" s="301"/>
      <c r="I63" s="283"/>
      <c r="J63" s="49" t="str">
        <f>IF(AND('Mapa final'!$AB$25="Alta",'Mapa final'!$AD$25="Leve"),CONCATENATE("R8C",'Mapa final'!$R$25),"")</f>
        <v/>
      </c>
      <c r="K63" s="50" t="str">
        <f>IF(AND('Mapa final'!$AB$26="Alta",'Mapa final'!$AD$26="Leve"),CONCATENATE("R8C",'Mapa final'!$R$26),"")</f>
        <v/>
      </c>
      <c r="L63" s="111" t="str">
        <f>IF(AND('Mapa final'!$AB$27="Alta",'Mapa final'!$AD$27="Leve"),CONCATENATE("R8C",'Mapa final'!$R$27),"")</f>
        <v/>
      </c>
      <c r="M63" s="49" t="str">
        <f>IF(AND('Mapa final'!$AB$25="Alta",'Mapa final'!$AD$25="Menor"),CONCATENATE("R8C",'Mapa final'!$R$25),"")</f>
        <v/>
      </c>
      <c r="N63" s="50" t="str">
        <f>IF(AND('Mapa final'!$AB$26="Alta",'Mapa final'!$AD$26="Menor"),CONCATENATE("R8C",'Mapa final'!$R$26),"")</f>
        <v/>
      </c>
      <c r="O63" s="111" t="str">
        <f>IF(AND('Mapa final'!$AB$27="Alta",'Mapa final'!$AD$27="Menor"),CONCATENATE("R8C",'Mapa final'!$R$27),"")</f>
        <v/>
      </c>
      <c r="P63" s="105" t="str">
        <f>IF(AND('Mapa final'!$AB$25="Alta",'Mapa final'!$AD$25="Moderado"),CONCATENATE("R8C",'Mapa final'!$R$25),"")</f>
        <v/>
      </c>
      <c r="Q63" s="42" t="str">
        <f>IF(AND('Mapa final'!$AB$26="Alta",'Mapa final'!$AD$26="Moderado"),CONCATENATE("R8C",'Mapa final'!$R$26),"")</f>
        <v/>
      </c>
      <c r="R63" s="106" t="str">
        <f>IF(AND('Mapa final'!$AB$27="Alta",'Mapa final'!$AD$27="Moderado"),CONCATENATE("R8C",'Mapa final'!$R$27),"")</f>
        <v/>
      </c>
      <c r="S63" s="105" t="str">
        <f>IF(AND('Mapa final'!$AB$25="Alta",'Mapa final'!$AD$25="Mayor"),CONCATENATE("R8C",'Mapa final'!$R$25),"")</f>
        <v/>
      </c>
      <c r="T63" s="42" t="str">
        <f>IF(AND('Mapa final'!$AB$26="Alta",'Mapa final'!$AD$26="Mayor"),CONCATENATE("R8C",'Mapa final'!$R$26),"")</f>
        <v/>
      </c>
      <c r="U63" s="106" t="str">
        <f>IF(AND('Mapa final'!$AB$27="Alta",'Mapa final'!$AD$27="Mayor"),CONCATENATE("R8C",'Mapa final'!$R$27),"")</f>
        <v/>
      </c>
      <c r="V63" s="43" t="str">
        <f>IF(AND('Mapa final'!$AB$25="Alta",'Mapa final'!$AD$25="Catastrófico"),CONCATENATE("R8C",'Mapa final'!$R$25),"")</f>
        <v/>
      </c>
      <c r="W63" s="44" t="str">
        <f>IF(AND('Mapa final'!$AB$26="Alta",'Mapa final'!$AD$26="Catastrófico"),CONCATENATE("R8C",'Mapa final'!$R$26),"")</f>
        <v/>
      </c>
      <c r="X63" s="100" t="str">
        <f>IF(AND('Mapa final'!$AB$27="Alta",'Mapa final'!$AD$27="Catastrófico"),CONCATENATE("R8C",'Mapa final'!$R$27),"")</f>
        <v/>
      </c>
      <c r="Y63" s="56"/>
      <c r="Z63" s="296"/>
      <c r="AA63" s="297"/>
      <c r="AB63" s="297"/>
      <c r="AC63" s="297"/>
      <c r="AD63" s="297"/>
      <c r="AE63" s="298"/>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row>
    <row r="64" spans="1:61" ht="12" customHeight="1" x14ac:dyDescent="0.35">
      <c r="A64" s="56"/>
      <c r="B64" s="311"/>
      <c r="C64" s="311"/>
      <c r="D64" s="312"/>
      <c r="E64" s="288"/>
      <c r="F64" s="301"/>
      <c r="G64" s="301"/>
      <c r="H64" s="301"/>
      <c r="I64" s="283"/>
      <c r="J64" s="49" t="str">
        <f>IF(AND('Mapa final'!$AB$28="Alta",'Mapa final'!$AD$28="Leve"),CONCATENATE("R9C",'Mapa final'!$R$28),"")</f>
        <v/>
      </c>
      <c r="K64" s="50" t="str">
        <f>IF(AND('Mapa final'!$AB$29="Alta",'Mapa final'!$AD$29="Leve"),CONCATENATE("R9C",'Mapa final'!$R$29),"")</f>
        <v/>
      </c>
      <c r="L64" s="111" t="str">
        <f>IF(AND('Mapa final'!$AB$30="Alta",'Mapa final'!$AD$30="Leve"),CONCATENATE("R9C",'Mapa final'!$R$30),"")</f>
        <v/>
      </c>
      <c r="M64" s="49" t="str">
        <f>IF(AND('Mapa final'!$AB$28="Alta",'Mapa final'!$AD$28="Menor"),CONCATENATE("R9C",'Mapa final'!$R$28),"")</f>
        <v/>
      </c>
      <c r="N64" s="50" t="str">
        <f>IF(AND('Mapa final'!$AB$29="Alta",'Mapa final'!$AD$29="Menor"),CONCATENATE("R9C",'Mapa final'!$R$29),"")</f>
        <v/>
      </c>
      <c r="O64" s="111" t="str">
        <f>IF(AND('Mapa final'!$AB$30="Alta",'Mapa final'!$AD$30="Menor"),CONCATENATE("R9C",'Mapa final'!$R$30),"")</f>
        <v/>
      </c>
      <c r="P64" s="105" t="str">
        <f>IF(AND('Mapa final'!$AB$28="Alta",'Mapa final'!$AD$28="Moderado"),CONCATENATE("R9C",'Mapa final'!$R$28),"")</f>
        <v/>
      </c>
      <c r="Q64" s="42" t="str">
        <f>IF(AND('Mapa final'!$AB$29="Alta",'Mapa final'!$AD$29="Moderado"),CONCATENATE("R9C",'Mapa final'!$R$29),"")</f>
        <v/>
      </c>
      <c r="R64" s="106" t="str">
        <f>IF(AND('Mapa final'!$AB$30="Alta",'Mapa final'!$AD$30="Moderado"),CONCATENATE("R9C",'Mapa final'!$R$30),"")</f>
        <v/>
      </c>
      <c r="S64" s="105" t="str">
        <f>IF(AND('Mapa final'!$AB$28="Alta",'Mapa final'!$AD$28="Mayor"),CONCATENATE("R9C",'Mapa final'!$R$28),"")</f>
        <v/>
      </c>
      <c r="T64" s="42" t="str">
        <f>IF(AND('Mapa final'!$AB$29="Alta",'Mapa final'!$AD$29="Mayor"),CONCATENATE("R9C",'Mapa final'!$R$29),"")</f>
        <v/>
      </c>
      <c r="U64" s="106" t="str">
        <f>IF(AND('Mapa final'!$AB$30="Alta",'Mapa final'!$AD$30="Mayor"),CONCATENATE("R9C",'Mapa final'!$R$30),"")</f>
        <v/>
      </c>
      <c r="V64" s="43" t="str">
        <f>IF(AND('Mapa final'!$AB$28="Alta",'Mapa final'!$AD$28="Catastrófico"),CONCATENATE("R9C",'Mapa final'!$R$28),"")</f>
        <v/>
      </c>
      <c r="W64" s="44" t="str">
        <f>IF(AND('Mapa final'!$AB$29="Alta",'Mapa final'!$AD$29="Catastrófico"),CONCATENATE("R9C",'Mapa final'!$R$29),"")</f>
        <v/>
      </c>
      <c r="X64" s="100" t="str">
        <f>IF(AND('Mapa final'!$AB$30="Alta",'Mapa final'!$AD$30="Catastrófico"),CONCATENATE("R9C",'Mapa final'!$R$30),"")</f>
        <v/>
      </c>
      <c r="Y64" s="56"/>
      <c r="Z64" s="296"/>
      <c r="AA64" s="297"/>
      <c r="AB64" s="297"/>
      <c r="AC64" s="297"/>
      <c r="AD64" s="297"/>
      <c r="AE64" s="298"/>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row>
    <row r="65" spans="1:61" ht="12" customHeight="1" x14ac:dyDescent="0.35">
      <c r="A65" s="56"/>
      <c r="B65" s="311"/>
      <c r="C65" s="311"/>
      <c r="D65" s="312"/>
      <c r="E65" s="288"/>
      <c r="F65" s="301"/>
      <c r="G65" s="301"/>
      <c r="H65" s="301"/>
      <c r="I65" s="283"/>
      <c r="J65" s="49" t="str">
        <f>IF(AND('Mapa final'!$AB$31="Alta",'Mapa final'!$AD$31="Leve"),CONCATENATE("R10C",'Mapa final'!$R$31),"")</f>
        <v/>
      </c>
      <c r="K65" s="50" t="str">
        <f>IF(AND('Mapa final'!$AB$32="Alta",'Mapa final'!$AD$32="Leve"),CONCATENATE("R10C",'Mapa final'!$R$32),"")</f>
        <v/>
      </c>
      <c r="L65" s="111" t="str">
        <f>IF(AND('Mapa final'!$AB$33="Alta",'Mapa final'!$AD$33="Leve"),CONCATENATE("R10C",'Mapa final'!$R$33),"")</f>
        <v/>
      </c>
      <c r="M65" s="49" t="str">
        <f>IF(AND('Mapa final'!$AB$31="Alta",'Mapa final'!$AD$31="Menor"),CONCATENATE("R10C",'Mapa final'!$R$31),"")</f>
        <v/>
      </c>
      <c r="N65" s="50" t="str">
        <f>IF(AND('Mapa final'!$AB$32="Alta",'Mapa final'!$AD$32="Menor"),CONCATENATE("R10C",'Mapa final'!$R$32),"")</f>
        <v/>
      </c>
      <c r="O65" s="111" t="str">
        <f>IF(AND('Mapa final'!$AB$33="Alta",'Mapa final'!$AD$33="Menor"),CONCATENATE("R10C",'Mapa final'!$R$33),"")</f>
        <v/>
      </c>
      <c r="P65" s="105" t="str">
        <f>IF(AND('Mapa final'!$AB$31="Alta",'Mapa final'!$AD$31="Moderado"),CONCATENATE("R10C",'Mapa final'!$R$31),"")</f>
        <v/>
      </c>
      <c r="Q65" s="42" t="str">
        <f>IF(AND('Mapa final'!$AB$32="Alta",'Mapa final'!$AD$32="Moderado"),CONCATENATE("R10C",'Mapa final'!$R$32),"")</f>
        <v/>
      </c>
      <c r="R65" s="106" t="str">
        <f>IF(AND('Mapa final'!$AB$33="Alta",'Mapa final'!$AD$33="Moderado"),CONCATENATE("R10C",'Mapa final'!$R$33),"")</f>
        <v/>
      </c>
      <c r="S65" s="105" t="str">
        <f>IF(AND('Mapa final'!$AB$31="Alta",'Mapa final'!$AD$31="Mayor"),CONCATENATE("R10C",'Mapa final'!$R$31),"")</f>
        <v/>
      </c>
      <c r="T65" s="42" t="str">
        <f>IF(AND('Mapa final'!$AB$32="Alta",'Mapa final'!$AD$32="Mayor"),CONCATENATE("R10C",'Mapa final'!$R$32),"")</f>
        <v/>
      </c>
      <c r="U65" s="106" t="str">
        <f>IF(AND('Mapa final'!$AB$33="Alta",'Mapa final'!$AD$33="Mayor"),CONCATENATE("R10C",'Mapa final'!$R$33),"")</f>
        <v/>
      </c>
      <c r="V65" s="43" t="str">
        <f>IF(AND('Mapa final'!$AB$31="Alta",'Mapa final'!$AD$31="Catastrófico"),CONCATENATE("R10C",'Mapa final'!$R$31),"")</f>
        <v/>
      </c>
      <c r="W65" s="44" t="str">
        <f>IF(AND('Mapa final'!$AB$32="Alta",'Mapa final'!$AD$32="Catastrófico"),CONCATENATE("R10C",'Mapa final'!$R$32),"")</f>
        <v/>
      </c>
      <c r="X65" s="100" t="str">
        <f>IF(AND('Mapa final'!$AB$33="Alta",'Mapa final'!$AD$33="Catastrófico"),CONCATENATE("R10C",'Mapa final'!$R$33),"")</f>
        <v/>
      </c>
      <c r="Y65" s="56"/>
      <c r="Z65" s="296"/>
      <c r="AA65" s="297"/>
      <c r="AB65" s="297"/>
      <c r="AC65" s="297"/>
      <c r="AD65" s="297"/>
      <c r="AE65" s="298"/>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row>
    <row r="66" spans="1:61" ht="12" customHeight="1" x14ac:dyDescent="0.35">
      <c r="A66" s="56"/>
      <c r="B66" s="311"/>
      <c r="C66" s="311"/>
      <c r="D66" s="312"/>
      <c r="E66" s="288"/>
      <c r="F66" s="301"/>
      <c r="G66" s="301"/>
      <c r="H66" s="301"/>
      <c r="I66" s="283"/>
      <c r="J66" s="49" t="str">
        <f>IF(AND('Mapa final'!$AB$34="Alta",'Mapa final'!$AD$34="Leve"),CONCATENATE("R11C",'Mapa final'!$R$34),"")</f>
        <v/>
      </c>
      <c r="K66" s="50" t="str">
        <f>IF(AND('Mapa final'!$AB$35="Alta",'Mapa final'!$AD$35="Leve"),CONCATENATE("R11C",'Mapa final'!$R$35),"")</f>
        <v/>
      </c>
      <c r="L66" s="111" t="str">
        <f>IF(AND('Mapa final'!$AB$36="Alta",'Mapa final'!$AD$36="Leve"),CONCATENATE("R11C",'Mapa final'!$R$36),"")</f>
        <v/>
      </c>
      <c r="M66" s="49" t="str">
        <f>IF(AND('Mapa final'!$AB$34="Alta",'Mapa final'!$AD$34="Menor"),CONCATENATE("R11C",'Mapa final'!$R$34),"")</f>
        <v/>
      </c>
      <c r="N66" s="50" t="str">
        <f>IF(AND('Mapa final'!$AB$35="Alta",'Mapa final'!$AD$35="Menor"),CONCATENATE("R11C",'Mapa final'!$R$35),"")</f>
        <v/>
      </c>
      <c r="O66" s="111" t="str">
        <f>IF(AND('Mapa final'!$AB$36="Alta",'Mapa final'!$AD$36="Menor"),CONCATENATE("R11C",'Mapa final'!$R$36),"")</f>
        <v/>
      </c>
      <c r="P66" s="105" t="str">
        <f>IF(AND('Mapa final'!$AB$34="Alta",'Mapa final'!$AD$34="Moderado"),CONCATENATE("R11C",'Mapa final'!$R$34),"")</f>
        <v/>
      </c>
      <c r="Q66" s="42" t="str">
        <f>IF(AND('Mapa final'!$AB$35="Alta",'Mapa final'!$AD$35="Moderado"),CONCATENATE("R11C",'Mapa final'!$R$35),"")</f>
        <v/>
      </c>
      <c r="R66" s="106" t="str">
        <f>IF(AND('Mapa final'!$AB$36="Alta",'Mapa final'!$AD$36="Moderado"),CONCATENATE("R11C",'Mapa final'!$R$36),"")</f>
        <v/>
      </c>
      <c r="S66" s="105" t="str">
        <f>IF(AND('Mapa final'!$AB$34="Alta",'Mapa final'!$AD$34="Mayor"),CONCATENATE("R11C",'Mapa final'!$R$34),"")</f>
        <v/>
      </c>
      <c r="T66" s="42" t="str">
        <f>IF(AND('Mapa final'!$AB$35="Alta",'Mapa final'!$AD$35="Mayor"),CONCATENATE("R11C",'Mapa final'!$R$35),"")</f>
        <v/>
      </c>
      <c r="U66" s="106" t="str">
        <f>IF(AND('Mapa final'!$AB$36="Alta",'Mapa final'!$AD$36="Mayor"),CONCATENATE("R11C",'Mapa final'!$R$36),"")</f>
        <v/>
      </c>
      <c r="V66" s="43" t="str">
        <f>IF(AND('Mapa final'!$AB$34="Alta",'Mapa final'!$AD$34="Catastrófico"),CONCATENATE("R11C",'Mapa final'!$R$34),"")</f>
        <v/>
      </c>
      <c r="W66" s="44" t="str">
        <f>IF(AND('Mapa final'!$AB$35="Alta",'Mapa final'!$AD$35="Catastrófico"),CONCATENATE("R11C",'Mapa final'!$R$35),"")</f>
        <v/>
      </c>
      <c r="X66" s="100" t="str">
        <f>IF(AND('Mapa final'!$AB$36="Alta",'Mapa final'!$AD$36="Catastrófico"),CONCATENATE("R11C",'Mapa final'!$R$36),"")</f>
        <v/>
      </c>
      <c r="Y66" s="56"/>
      <c r="Z66" s="296"/>
      <c r="AA66" s="297"/>
      <c r="AB66" s="297"/>
      <c r="AC66" s="297"/>
      <c r="AD66" s="297"/>
      <c r="AE66" s="298"/>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row>
    <row r="67" spans="1:61" ht="12" customHeight="1" x14ac:dyDescent="0.35">
      <c r="A67" s="56"/>
      <c r="B67" s="311"/>
      <c r="C67" s="311"/>
      <c r="D67" s="312"/>
      <c r="E67" s="288"/>
      <c r="F67" s="301"/>
      <c r="G67" s="301"/>
      <c r="H67" s="301"/>
      <c r="I67" s="283"/>
      <c r="J67" s="49" t="str">
        <f>IF(AND('Mapa final'!$AB$37="Alta",'Mapa final'!$AD$37="Leve"),CONCATENATE("R12C",'Mapa final'!$R$37),"")</f>
        <v/>
      </c>
      <c r="K67" s="50" t="str">
        <f>IF(AND('Mapa final'!$AB$38="Alta",'Mapa final'!$AD$38="Leve"),CONCATENATE("R12C",'Mapa final'!$R$38),"")</f>
        <v/>
      </c>
      <c r="L67" s="111" t="str">
        <f>IF(AND('Mapa final'!$AB$39="Alta",'Mapa final'!$AD$39="Leve"),CONCATENATE("R12C",'Mapa final'!$R$39),"")</f>
        <v/>
      </c>
      <c r="M67" s="49" t="str">
        <f>IF(AND('Mapa final'!$AB$37="Alta",'Mapa final'!$AD$37="Menor"),CONCATENATE("R12C",'Mapa final'!$R$37),"")</f>
        <v/>
      </c>
      <c r="N67" s="50" t="str">
        <f>IF(AND('Mapa final'!$AB$38="Alta",'Mapa final'!$AD$38="Menor"),CONCATENATE("R12C",'Mapa final'!$R$38),"")</f>
        <v/>
      </c>
      <c r="O67" s="111" t="str">
        <f>IF(AND('Mapa final'!$AB$39="Alta",'Mapa final'!$AD$39="Menor"),CONCATENATE("R12C",'Mapa final'!$R$39),"")</f>
        <v/>
      </c>
      <c r="P67" s="105" t="str">
        <f>IF(AND('Mapa final'!$AB$37="Alta",'Mapa final'!$AD$37="Moderado"),CONCATENATE("R12C",'Mapa final'!$R$37),"")</f>
        <v/>
      </c>
      <c r="Q67" s="42" t="str">
        <f>IF(AND('Mapa final'!$AB$38="Alta",'Mapa final'!$AD$38="Moderado"),CONCATENATE("R12C",'Mapa final'!$R$38),"")</f>
        <v/>
      </c>
      <c r="R67" s="106" t="str">
        <f>IF(AND('Mapa final'!$AB$39="Alta",'Mapa final'!$AD$39="Moderado"),CONCATENATE("R12C",'Mapa final'!$R$39),"")</f>
        <v/>
      </c>
      <c r="S67" s="105" t="str">
        <f>IF(AND('Mapa final'!$AB$37="Alta",'Mapa final'!$AD$37="Mayor"),CONCATENATE("R12C",'Mapa final'!$R$37),"")</f>
        <v/>
      </c>
      <c r="T67" s="42" t="str">
        <f>IF(AND('Mapa final'!$AB$38="Alta",'Mapa final'!$AD$38="Mayor"),CONCATENATE("R12C",'Mapa final'!$R$38),"")</f>
        <v/>
      </c>
      <c r="U67" s="106" t="str">
        <f>IF(AND('Mapa final'!$AB$39="Alta",'Mapa final'!$AD$39="Mayor"),CONCATENATE("R12C",'Mapa final'!$R$39),"")</f>
        <v/>
      </c>
      <c r="V67" s="43" t="str">
        <f>IF(AND('Mapa final'!$AB$37="Alta",'Mapa final'!$AD$37="Catastrófico"),CONCATENATE("R12C",'Mapa final'!$R$37),"")</f>
        <v/>
      </c>
      <c r="W67" s="44" t="str">
        <f>IF(AND('Mapa final'!$AB$38="Alta",'Mapa final'!$AD$38="Catastrófico"),CONCATENATE("R12C",'Mapa final'!$R$38),"")</f>
        <v/>
      </c>
      <c r="X67" s="100" t="str">
        <f>IF(AND('Mapa final'!$AB$39="Alta",'Mapa final'!$AD$39="Catastrófico"),CONCATENATE("R12C",'Mapa final'!$R$39),"")</f>
        <v/>
      </c>
      <c r="Y67" s="56"/>
      <c r="Z67" s="296"/>
      <c r="AA67" s="297"/>
      <c r="AB67" s="297"/>
      <c r="AC67" s="297"/>
      <c r="AD67" s="297"/>
      <c r="AE67" s="298"/>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row>
    <row r="68" spans="1:61" ht="12" customHeight="1" x14ac:dyDescent="0.35">
      <c r="A68" s="56"/>
      <c r="B68" s="311"/>
      <c r="C68" s="311"/>
      <c r="D68" s="312"/>
      <c r="E68" s="288"/>
      <c r="F68" s="301"/>
      <c r="G68" s="301"/>
      <c r="H68" s="301"/>
      <c r="I68" s="283"/>
      <c r="J68" s="49" t="str">
        <f>IF(AND('Mapa final'!$AB$40="Alta",'Mapa final'!$AD$40="Leve"),CONCATENATE("R13C",'Mapa final'!$R$40),"")</f>
        <v/>
      </c>
      <c r="K68" s="50" t="str">
        <f>IF(AND('Mapa final'!$AB$41="Alta",'Mapa final'!$AD$41="Leve"),CONCATENATE("R13C",'Mapa final'!$R$41),"")</f>
        <v/>
      </c>
      <c r="L68" s="111" t="str">
        <f>IF(AND('Mapa final'!$AB$42="Alta",'Mapa final'!$AD$42="Leve"),CONCATENATE("R13C",'Mapa final'!$R$42),"")</f>
        <v/>
      </c>
      <c r="M68" s="49" t="str">
        <f>IF(AND('Mapa final'!$AB$40="Alta",'Mapa final'!$AD$40="Menor"),CONCATENATE("R13C",'Mapa final'!$R$40),"")</f>
        <v/>
      </c>
      <c r="N68" s="50" t="str">
        <f>IF(AND('Mapa final'!$AB$41="Alta",'Mapa final'!$AD$41="Menor"),CONCATENATE("R13C",'Mapa final'!$R$41),"")</f>
        <v/>
      </c>
      <c r="O68" s="111" t="str">
        <f>IF(AND('Mapa final'!$AB$42="Alta",'Mapa final'!$AD$42="Menor"),CONCATENATE("R13C",'Mapa final'!$R$42),"")</f>
        <v/>
      </c>
      <c r="P68" s="105" t="str">
        <f>IF(AND('Mapa final'!$AB$40="Alta",'Mapa final'!$AD$40="Moderado"),CONCATENATE("R13C",'Mapa final'!$R$40),"")</f>
        <v/>
      </c>
      <c r="Q68" s="42" t="str">
        <f>IF(AND('Mapa final'!$AB$41="Alta",'Mapa final'!$AD$41="Moderado"),CONCATENATE("R13C",'Mapa final'!$R$41),"")</f>
        <v/>
      </c>
      <c r="R68" s="106" t="str">
        <f>IF(AND('Mapa final'!$AB$42="Alta",'Mapa final'!$AD$42="Moderado"),CONCATENATE("R13C",'Mapa final'!$R$42),"")</f>
        <v/>
      </c>
      <c r="S68" s="105" t="str">
        <f>IF(AND('Mapa final'!$AB$40="Alta",'Mapa final'!$AD$40="Mayor"),CONCATENATE("R13C",'Mapa final'!$R$40),"")</f>
        <v/>
      </c>
      <c r="T68" s="42" t="str">
        <f>IF(AND('Mapa final'!$AB$41="Alta",'Mapa final'!$AD$41="Mayor"),CONCATENATE("R13C",'Mapa final'!$R$41),"")</f>
        <v/>
      </c>
      <c r="U68" s="106" t="str">
        <f>IF(AND('Mapa final'!$AB$42="Alta",'Mapa final'!$AD$42="Mayor"),CONCATENATE("R13C",'Mapa final'!$R$42),"")</f>
        <v/>
      </c>
      <c r="V68" s="43" t="str">
        <f>IF(AND('Mapa final'!$AB$40="Alta",'Mapa final'!$AD$40="Catastrófico"),CONCATENATE("R13C",'Mapa final'!$R$40),"")</f>
        <v/>
      </c>
      <c r="W68" s="44" t="str">
        <f>IF(AND('Mapa final'!$AB$41="Alta",'Mapa final'!$AD$41="Catastrófico"),CONCATENATE("R13C",'Mapa final'!$R$41),"")</f>
        <v/>
      </c>
      <c r="X68" s="100" t="str">
        <f>IF(AND('Mapa final'!$AB$42="Alta",'Mapa final'!$AD$42="Catastrófico"),CONCATENATE("R13C",'Mapa final'!$R$42),"")</f>
        <v/>
      </c>
      <c r="Y68" s="56"/>
      <c r="Z68" s="296"/>
      <c r="AA68" s="297"/>
      <c r="AB68" s="297"/>
      <c r="AC68" s="297"/>
      <c r="AD68" s="297"/>
      <c r="AE68" s="298"/>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row>
    <row r="69" spans="1:61" ht="12" customHeight="1" x14ac:dyDescent="0.35">
      <c r="A69" s="56"/>
      <c r="B69" s="311"/>
      <c r="C69" s="311"/>
      <c r="D69" s="312"/>
      <c r="E69" s="288"/>
      <c r="F69" s="301"/>
      <c r="G69" s="301"/>
      <c r="H69" s="301"/>
      <c r="I69" s="283"/>
      <c r="J69" s="49" t="str">
        <f>IF(AND('Mapa final'!$AB$43="Alta",'Mapa final'!$AD$43="Leve"),CONCATENATE("R14C",'Mapa final'!$R$43),"")</f>
        <v/>
      </c>
      <c r="K69" s="50" t="str">
        <f>IF(AND('Mapa final'!$AB$44="Alta",'Mapa final'!$AD$44="Leve"),CONCATENATE("R14C",'Mapa final'!$R$44),"")</f>
        <v/>
      </c>
      <c r="L69" s="111" t="str">
        <f>IF(AND('Mapa final'!$AB$45="Alta",'Mapa final'!$AD$45="Leve"),CONCATENATE("R14C",'Mapa final'!$R$45),"")</f>
        <v/>
      </c>
      <c r="M69" s="49" t="str">
        <f>IF(AND('Mapa final'!$AB$43="Alta",'Mapa final'!$AD$43="Menor"),CONCATENATE("R14C",'Mapa final'!$R$43),"")</f>
        <v/>
      </c>
      <c r="N69" s="50" t="str">
        <f>IF(AND('Mapa final'!$AB$44="Alta",'Mapa final'!$AD$44="Menor"),CONCATENATE("R14C",'Mapa final'!$R$44),"")</f>
        <v/>
      </c>
      <c r="O69" s="111" t="str">
        <f>IF(AND('Mapa final'!$AB$45="Alta",'Mapa final'!$AD$45="Menor"),CONCATENATE("R14C",'Mapa final'!$R$45),"")</f>
        <v/>
      </c>
      <c r="P69" s="105" t="str">
        <f>IF(AND('Mapa final'!$AB$43="Alta",'Mapa final'!$AD$43="Moderado"),CONCATENATE("R14C",'Mapa final'!$R$43),"")</f>
        <v/>
      </c>
      <c r="Q69" s="42" t="str">
        <f>IF(AND('Mapa final'!$AB$44="Alta",'Mapa final'!$AD$44="Moderado"),CONCATENATE("R14C",'Mapa final'!$R$44),"")</f>
        <v/>
      </c>
      <c r="R69" s="106" t="str">
        <f>IF(AND('Mapa final'!$AB$45="Alta",'Mapa final'!$AD$45="Moderado"),CONCATENATE("R14C",'Mapa final'!$R$45),"")</f>
        <v/>
      </c>
      <c r="S69" s="105" t="str">
        <f>IF(AND('Mapa final'!$AB$43="Alta",'Mapa final'!$AD$43="Mayor"),CONCATENATE("R14C",'Mapa final'!$R$43),"")</f>
        <v/>
      </c>
      <c r="T69" s="42" t="str">
        <f>IF(AND('Mapa final'!$AB$44="Alta",'Mapa final'!$AD$44="Mayor"),CONCATENATE("R14C",'Mapa final'!$R$44),"")</f>
        <v/>
      </c>
      <c r="U69" s="106" t="str">
        <f>IF(AND('Mapa final'!$AB$45="Alta",'Mapa final'!$AD$45="Mayor"),CONCATENATE("R14C",'Mapa final'!$R$45),"")</f>
        <v/>
      </c>
      <c r="V69" s="43" t="str">
        <f>IF(AND('Mapa final'!$AB$43="Alta",'Mapa final'!$AD$43="Catastrófico"),CONCATENATE("R14C",'Mapa final'!$R$43),"")</f>
        <v/>
      </c>
      <c r="W69" s="44" t="str">
        <f>IF(AND('Mapa final'!$AB$44="Alta",'Mapa final'!$AD$44="Catastrófico"),CONCATENATE("R14C",'Mapa final'!$R$44),"")</f>
        <v/>
      </c>
      <c r="X69" s="100" t="str">
        <f>IF(AND('Mapa final'!$AB$45="Alta",'Mapa final'!$AD$45="Catastrófico"),CONCATENATE("R14C",'Mapa final'!$R$45),"")</f>
        <v/>
      </c>
      <c r="Y69" s="56"/>
      <c r="Z69" s="296"/>
      <c r="AA69" s="297"/>
      <c r="AB69" s="297"/>
      <c r="AC69" s="297"/>
      <c r="AD69" s="297"/>
      <c r="AE69" s="298"/>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row>
    <row r="70" spans="1:61" ht="15" customHeight="1" x14ac:dyDescent="0.35">
      <c r="A70" s="56"/>
      <c r="B70" s="311"/>
      <c r="C70" s="311"/>
      <c r="D70" s="312"/>
      <c r="E70" s="288"/>
      <c r="F70" s="301"/>
      <c r="G70" s="301"/>
      <c r="H70" s="301"/>
      <c r="I70" s="283"/>
      <c r="J70" s="49" t="str">
        <f>IF(AND('Mapa final'!$AB$46="Alta",'Mapa final'!$AD$46="Leve"),CONCATENATE("R15C",'Mapa final'!$R$46),"")</f>
        <v/>
      </c>
      <c r="K70" s="50" t="str">
        <f>IF(AND('Mapa final'!$AB$47="Alta",'Mapa final'!$AD$47="Leve"),CONCATENATE("R15C",'Mapa final'!$R$47),"")</f>
        <v/>
      </c>
      <c r="L70" s="111" t="str">
        <f>IF(AND('Mapa final'!$AB$48="Alta",'Mapa final'!$AD$48="Leve"),CONCATENATE("R15C",'Mapa final'!$R$48),"")</f>
        <v/>
      </c>
      <c r="M70" s="49" t="str">
        <f>IF(AND('Mapa final'!$AB$46="Alta",'Mapa final'!$AD$46="Menor"),CONCATENATE("R15C",'Mapa final'!$R$46),"")</f>
        <v/>
      </c>
      <c r="N70" s="50" t="str">
        <f>IF(AND('Mapa final'!$AB$47="Alta",'Mapa final'!$AD$47="Menor"),CONCATENATE("R15C",'Mapa final'!$R$47),"")</f>
        <v/>
      </c>
      <c r="O70" s="111" t="str">
        <f>IF(AND('Mapa final'!$AB$48="Alta",'Mapa final'!$AD$48="Menor"),CONCATENATE("R15C",'Mapa final'!$R$48),"")</f>
        <v/>
      </c>
      <c r="P70" s="105" t="str">
        <f>IF(AND('Mapa final'!$AB$46="Alta",'Mapa final'!$AD$46="Moderado"),CONCATENATE("R15C",'Mapa final'!$R$46),"")</f>
        <v/>
      </c>
      <c r="Q70" s="42" t="str">
        <f>IF(AND('Mapa final'!$AB$47="Alta",'Mapa final'!$AD$47="Moderado"),CONCATENATE("R15C",'Mapa final'!$R$47),"")</f>
        <v/>
      </c>
      <c r="R70" s="106" t="str">
        <f>IF(AND('Mapa final'!$AB$48="Alta",'Mapa final'!$AD$48="Moderado"),CONCATENATE("R15C",'Mapa final'!$R$48),"")</f>
        <v/>
      </c>
      <c r="S70" s="105" t="str">
        <f>IF(AND('Mapa final'!$AB$46="Alta",'Mapa final'!$AD$46="Mayor"),CONCATENATE("R15C",'Mapa final'!$R$46),"")</f>
        <v/>
      </c>
      <c r="T70" s="42" t="str">
        <f>IF(AND('Mapa final'!$AB$47="Alta",'Mapa final'!$AD$47="Mayor"),CONCATENATE("R15C",'Mapa final'!$R$47),"")</f>
        <v/>
      </c>
      <c r="U70" s="106" t="str">
        <f>IF(AND('Mapa final'!$AB$48="Alta",'Mapa final'!$AD$48="Mayor"),CONCATENATE("R15C",'Mapa final'!$R$48),"")</f>
        <v/>
      </c>
      <c r="V70" s="43" t="str">
        <f>IF(AND('Mapa final'!$AB$46="Alta",'Mapa final'!$AD$46="Catastrófico"),CONCATENATE("R15C",'Mapa final'!$R$46),"")</f>
        <v/>
      </c>
      <c r="W70" s="44" t="str">
        <f>IF(AND('Mapa final'!$AB$47="Alta",'Mapa final'!$AD$47="Catastrófico"),CONCATENATE("R15C",'Mapa final'!$R$47),"")</f>
        <v/>
      </c>
      <c r="X70" s="100" t="str">
        <f>IF(AND('Mapa final'!$AB$48="Alta",'Mapa final'!$AD$48="Catastrófico"),CONCATENATE("R15C",'Mapa final'!$R$48),"")</f>
        <v/>
      </c>
      <c r="Y70" s="56"/>
      <c r="Z70" s="296"/>
      <c r="AA70" s="297"/>
      <c r="AB70" s="297"/>
      <c r="AC70" s="297"/>
      <c r="AD70" s="297"/>
      <c r="AE70" s="298"/>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row>
    <row r="71" spans="1:61" ht="15" customHeight="1" x14ac:dyDescent="0.35">
      <c r="A71" s="56"/>
      <c r="B71" s="311"/>
      <c r="C71" s="311"/>
      <c r="D71" s="312"/>
      <c r="E71" s="288"/>
      <c r="F71" s="301"/>
      <c r="G71" s="301"/>
      <c r="H71" s="301"/>
      <c r="I71" s="283"/>
      <c r="J71" s="49" t="str">
        <f>IF(AND('Mapa final'!$AB$49="Alta",'Mapa final'!$AD$49="Leve"),CONCATENATE("R16C",'Mapa final'!$R$49),"")</f>
        <v/>
      </c>
      <c r="K71" s="50" t="str">
        <f>IF(AND('Mapa final'!$AB$50="Alta",'Mapa final'!$AD$50="Leve"),CONCATENATE("R16C",'Mapa final'!$R$50),"")</f>
        <v/>
      </c>
      <c r="L71" s="111" t="str">
        <f>IF(AND('Mapa final'!$AB$51="Alta",'Mapa final'!$AD$51="Leve"),CONCATENATE("R16C",'Mapa final'!$R$51),"")</f>
        <v/>
      </c>
      <c r="M71" s="49" t="str">
        <f>IF(AND('Mapa final'!$AB$49="Alta",'Mapa final'!$AD$49="Menor"),CONCATENATE("R16C",'Mapa final'!$R$49),"")</f>
        <v/>
      </c>
      <c r="N71" s="50" t="str">
        <f>IF(AND('Mapa final'!$AB$50="Alta",'Mapa final'!$AD$50="Menor"),CONCATENATE("R16C",'Mapa final'!$R$50),"")</f>
        <v/>
      </c>
      <c r="O71" s="111" t="str">
        <f>IF(AND('Mapa final'!$AB$51="Alta",'Mapa final'!$AD$51="Menor"),CONCATENATE("R16C",'Mapa final'!$R$51),"")</f>
        <v/>
      </c>
      <c r="P71" s="105" t="str">
        <f>IF(AND('Mapa final'!$AB$49="Alta",'Mapa final'!$AD$49="Moderado"),CONCATENATE("R16C",'Mapa final'!$R$49),"")</f>
        <v/>
      </c>
      <c r="Q71" s="42" t="str">
        <f>IF(AND('Mapa final'!$AB$50="Alta",'Mapa final'!$AD$50="Moderado"),CONCATENATE("R16C",'Mapa final'!$R$50),"")</f>
        <v/>
      </c>
      <c r="R71" s="106" t="str">
        <f>IF(AND('Mapa final'!$AB$51="Alta",'Mapa final'!$AD$51="Moderado"),CONCATENATE("R16C",'Mapa final'!$R$51),"")</f>
        <v/>
      </c>
      <c r="S71" s="105" t="str">
        <f>IF(AND('Mapa final'!$AB$49="Alta",'Mapa final'!$AD$49="Mayor"),CONCATENATE("R16C",'Mapa final'!$R$49),"")</f>
        <v/>
      </c>
      <c r="T71" s="42" t="str">
        <f>IF(AND('Mapa final'!$AB$50="Alta",'Mapa final'!$AD$50="Mayor"),CONCATENATE("R16C",'Mapa final'!$R$50),"")</f>
        <v/>
      </c>
      <c r="U71" s="106" t="str">
        <f>IF(AND('Mapa final'!$AB$51="Alta",'Mapa final'!$AD$51="Mayor"),CONCATENATE("R16C",'Mapa final'!$R$51),"")</f>
        <v/>
      </c>
      <c r="V71" s="43" t="str">
        <f>IF(AND('Mapa final'!$AB$49="Alta",'Mapa final'!$AD$49="Catastrófico"),CONCATENATE("R16C",'Mapa final'!$R$49),"")</f>
        <v/>
      </c>
      <c r="W71" s="44" t="str">
        <f>IF(AND('Mapa final'!$AB$50="Alta",'Mapa final'!$AD$50="Catastrófico"),CONCATENATE("R16C",'Mapa final'!$R$50),"")</f>
        <v/>
      </c>
      <c r="X71" s="100" t="str">
        <f>IF(AND('Mapa final'!$AB$51="Alta",'Mapa final'!$AD$51="Catastrófico"),CONCATENATE("R16C",'Mapa final'!$R$51),"")</f>
        <v/>
      </c>
      <c r="Y71" s="56"/>
      <c r="Z71" s="296"/>
      <c r="AA71" s="297"/>
      <c r="AB71" s="297"/>
      <c r="AC71" s="297"/>
      <c r="AD71" s="297"/>
      <c r="AE71" s="298"/>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row>
    <row r="72" spans="1:61" ht="15" customHeight="1" x14ac:dyDescent="0.35">
      <c r="A72" s="56"/>
      <c r="B72" s="311"/>
      <c r="C72" s="311"/>
      <c r="D72" s="312"/>
      <c r="E72" s="288"/>
      <c r="F72" s="301"/>
      <c r="G72" s="301"/>
      <c r="H72" s="301"/>
      <c r="I72" s="283"/>
      <c r="J72" s="49" t="str">
        <f>IF(AND('Mapa final'!$AB$52="Alta",'Mapa final'!$AD$52="Leve"),CONCATENATE("R17C",'Mapa final'!$R$52),"")</f>
        <v/>
      </c>
      <c r="K72" s="50" t="str">
        <f>IF(AND('Mapa final'!$AB$53="Alta",'Mapa final'!$AD$53="Leve"),CONCATENATE("R17C",'Mapa final'!$R$53),"")</f>
        <v/>
      </c>
      <c r="L72" s="111" t="str">
        <f>IF(AND('Mapa final'!$AB$54="Alta",'Mapa final'!$AD$54="Leve"),CONCATENATE("R17C",'Mapa final'!$R$54),"")</f>
        <v/>
      </c>
      <c r="M72" s="49" t="str">
        <f>IF(AND('Mapa final'!$AB$52="Alta",'Mapa final'!$AD$52="Menor"),CONCATENATE("R17C",'Mapa final'!$R$52),"")</f>
        <v/>
      </c>
      <c r="N72" s="50" t="str">
        <f>IF(AND('Mapa final'!$AB$53="Alta",'Mapa final'!$AD$53="Menor"),CONCATENATE("R17C",'Mapa final'!$R$53),"")</f>
        <v/>
      </c>
      <c r="O72" s="111" t="str">
        <f>IF(AND('Mapa final'!$AB$54="Alta",'Mapa final'!$AD$54="Menor"),CONCATENATE("R17C",'Mapa final'!$R$54),"")</f>
        <v/>
      </c>
      <c r="P72" s="105" t="str">
        <f>IF(AND('Mapa final'!$AB$52="Alta",'Mapa final'!$AD$52="Moderado"),CONCATENATE("R17C",'Mapa final'!$R$52),"")</f>
        <v/>
      </c>
      <c r="Q72" s="42" t="str">
        <f>IF(AND('Mapa final'!$AB$53="Alta",'Mapa final'!$AD$53="Moderado"),CONCATENATE("R17C",'Mapa final'!$R$53),"")</f>
        <v/>
      </c>
      <c r="R72" s="106" t="str">
        <f>IF(AND('Mapa final'!$AB$54="Alta",'Mapa final'!$AD$54="Moderado"),CONCATENATE("R17C",'Mapa final'!$R$54),"")</f>
        <v/>
      </c>
      <c r="S72" s="105" t="str">
        <f>IF(AND('Mapa final'!$AB$52="Alta",'Mapa final'!$AD$52="Mayor"),CONCATENATE("R17C",'Mapa final'!$R$52),"")</f>
        <v/>
      </c>
      <c r="T72" s="42" t="str">
        <f>IF(AND('Mapa final'!$AB$53="Alta",'Mapa final'!$AD$53="Mayor"),CONCATENATE("R17C",'Mapa final'!$R$53),"")</f>
        <v/>
      </c>
      <c r="U72" s="106" t="str">
        <f>IF(AND('Mapa final'!$AB$54="Alta",'Mapa final'!$AD$54="Mayor"),CONCATENATE("R17C",'Mapa final'!$R$54),"")</f>
        <v/>
      </c>
      <c r="V72" s="43" t="str">
        <f>IF(AND('Mapa final'!$AB$52="Alta",'Mapa final'!$AD$52="Catastrófico"),CONCATENATE("R17C",'Mapa final'!$R$52),"")</f>
        <v/>
      </c>
      <c r="W72" s="44" t="str">
        <f>IF(AND('Mapa final'!$AB$53="Alta",'Mapa final'!$AD$53="Catastrófico"),CONCATENATE("R17C",'Mapa final'!$R$53),"")</f>
        <v/>
      </c>
      <c r="X72" s="100" t="str">
        <f>IF(AND('Mapa final'!$AB$54="Alta",'Mapa final'!$AD$54="Catastrófico"),CONCATENATE("R17C",'Mapa final'!$R$54),"")</f>
        <v/>
      </c>
      <c r="Y72" s="56"/>
      <c r="Z72" s="296"/>
      <c r="AA72" s="297"/>
      <c r="AB72" s="297"/>
      <c r="AC72" s="297"/>
      <c r="AD72" s="297"/>
      <c r="AE72" s="298"/>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row>
    <row r="73" spans="1:61" ht="15" customHeight="1" x14ac:dyDescent="0.35">
      <c r="A73" s="56"/>
      <c r="B73" s="311"/>
      <c r="C73" s="311"/>
      <c r="D73" s="312"/>
      <c r="E73" s="288"/>
      <c r="F73" s="301"/>
      <c r="G73" s="301"/>
      <c r="H73" s="301"/>
      <c r="I73" s="283"/>
      <c r="J73" s="49" t="str">
        <f>IF(AND('Mapa final'!$AB$55="Alta",'Mapa final'!$AD$55="Leve"),CONCATENATE("R18C",'Mapa final'!$R$55),"")</f>
        <v/>
      </c>
      <c r="K73" s="50" t="str">
        <f>IF(AND('Mapa final'!$AB$56="Alta",'Mapa final'!$AD$56="Leve"),CONCATENATE("R18C",'Mapa final'!$R$56),"")</f>
        <v/>
      </c>
      <c r="L73" s="111" t="str">
        <f>IF(AND('Mapa final'!$AB$57="Alta",'Mapa final'!$AD$57="Leve"),CONCATENATE("R18C",'Mapa final'!$R$57),"")</f>
        <v/>
      </c>
      <c r="M73" s="49" t="str">
        <f>IF(AND('Mapa final'!$AB$55="Alta",'Mapa final'!$AD$55="Menor"),CONCATENATE("R18C",'Mapa final'!$R$55),"")</f>
        <v/>
      </c>
      <c r="N73" s="50" t="str">
        <f>IF(AND('Mapa final'!$AB$56="Alta",'Mapa final'!$AD$56="Menor"),CONCATENATE("R18C",'Mapa final'!$R$56),"")</f>
        <v/>
      </c>
      <c r="O73" s="111" t="str">
        <f>IF(AND('Mapa final'!$AB$57="Alta",'Mapa final'!$AD$57="Menor"),CONCATENATE("R18C",'Mapa final'!$R$57),"")</f>
        <v/>
      </c>
      <c r="P73" s="105" t="str">
        <f>IF(AND('Mapa final'!$AB$55="Alta",'Mapa final'!$AD$55="Moderado"),CONCATENATE("R18C",'Mapa final'!$R$55),"")</f>
        <v/>
      </c>
      <c r="Q73" s="42" t="str">
        <f>IF(AND('Mapa final'!$AB$56="Alta",'Mapa final'!$AD$56="Moderado"),CONCATENATE("R18C",'Mapa final'!$R$56),"")</f>
        <v/>
      </c>
      <c r="R73" s="106" t="str">
        <f>IF(AND('Mapa final'!$AB$57="Alta",'Mapa final'!$AD$57="Moderado"),CONCATENATE("R18C",'Mapa final'!$R$57),"")</f>
        <v/>
      </c>
      <c r="S73" s="105" t="str">
        <f>IF(AND('Mapa final'!$AB$55="Alta",'Mapa final'!$AD$55="Mayor"),CONCATENATE("R18C",'Mapa final'!$R$55),"")</f>
        <v/>
      </c>
      <c r="T73" s="42" t="str">
        <f>IF(AND('Mapa final'!$AB$56="Alta",'Mapa final'!$AD$56="Mayor"),CONCATENATE("R18C",'Mapa final'!$R$56),"")</f>
        <v/>
      </c>
      <c r="U73" s="106" t="str">
        <f>IF(AND('Mapa final'!$AB$57="Alta",'Mapa final'!$AD$57="Mayor"),CONCATENATE("R18C",'Mapa final'!$R$57),"")</f>
        <v/>
      </c>
      <c r="V73" s="43" t="str">
        <f>IF(AND('Mapa final'!$AB$55="Alta",'Mapa final'!$AD$55="Catastrófico"),CONCATENATE("R18C",'Mapa final'!$R$55),"")</f>
        <v/>
      </c>
      <c r="W73" s="44" t="str">
        <f>IF(AND('Mapa final'!$AB$56="Alta",'Mapa final'!$AD$56="Catastrófico"),CONCATENATE("R18C",'Mapa final'!$R$56),"")</f>
        <v/>
      </c>
      <c r="X73" s="100" t="str">
        <f>IF(AND('Mapa final'!$AB$57="Alta",'Mapa final'!$AD$57="Catastrófico"),CONCATENATE("R18C",'Mapa final'!$R$57),"")</f>
        <v/>
      </c>
      <c r="Y73" s="56"/>
      <c r="Z73" s="296"/>
      <c r="AA73" s="297"/>
      <c r="AB73" s="297"/>
      <c r="AC73" s="297"/>
      <c r="AD73" s="297"/>
      <c r="AE73" s="298"/>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row>
    <row r="74" spans="1:61" ht="15" customHeight="1" x14ac:dyDescent="0.35">
      <c r="A74" s="56"/>
      <c r="B74" s="311"/>
      <c r="C74" s="311"/>
      <c r="D74" s="312"/>
      <c r="E74" s="288"/>
      <c r="F74" s="301"/>
      <c r="G74" s="301"/>
      <c r="H74" s="301"/>
      <c r="I74" s="283"/>
      <c r="J74" s="49" t="str">
        <f>IF(AND('Mapa final'!$AB$58="Alta",'Mapa final'!$AD$58="Leve"),CONCATENATE("R19C",'Mapa final'!$R$58),"")</f>
        <v/>
      </c>
      <c r="K74" s="50" t="str">
        <f>IF(AND('Mapa final'!$AB$59="Alta",'Mapa final'!$AD$59="Leve"),CONCATENATE("R19C",'Mapa final'!$R$59),"")</f>
        <v/>
      </c>
      <c r="L74" s="111" t="str">
        <f>IF(AND('Mapa final'!$AB$60="Alta",'Mapa final'!$AD$60="Leve"),CONCATENATE("R19C",'Mapa final'!$R$60),"")</f>
        <v/>
      </c>
      <c r="M74" s="49" t="str">
        <f>IF(AND('Mapa final'!$AB$58="Alta",'Mapa final'!$AD$58="Menor"),CONCATENATE("R19C",'Mapa final'!$R$58),"")</f>
        <v/>
      </c>
      <c r="N74" s="50" t="str">
        <f>IF(AND('Mapa final'!$AB$59="Alta",'Mapa final'!$AD$59="Menor"),CONCATENATE("R19C",'Mapa final'!$R$59),"")</f>
        <v/>
      </c>
      <c r="O74" s="111" t="str">
        <f>IF(AND('Mapa final'!$AB$60="Alta",'Mapa final'!$AD$60="Menor"),CONCATENATE("R19C",'Mapa final'!$R$60),"")</f>
        <v/>
      </c>
      <c r="P74" s="105" t="str">
        <f>IF(AND('Mapa final'!$AB$58="Alta",'Mapa final'!$AD$58="Moderado"),CONCATENATE("R19C",'Mapa final'!$R$58),"")</f>
        <v/>
      </c>
      <c r="Q74" s="42" t="str">
        <f>IF(AND('Mapa final'!$AB$59="Alta",'Mapa final'!$AD$59="Moderado"),CONCATENATE("R19C",'Mapa final'!$R$59),"")</f>
        <v/>
      </c>
      <c r="R74" s="106" t="str">
        <f>IF(AND('Mapa final'!$AB$60="Alta",'Mapa final'!$AD$60="Moderado"),CONCATENATE("R19C",'Mapa final'!$R$60),"")</f>
        <v/>
      </c>
      <c r="S74" s="105" t="str">
        <f>IF(AND('Mapa final'!$AB$58="Alta",'Mapa final'!$AD$58="Mayor"),CONCATENATE("R19C",'Mapa final'!$R$58),"")</f>
        <v/>
      </c>
      <c r="T74" s="42" t="str">
        <f>IF(AND('Mapa final'!$AB$59="Alta",'Mapa final'!$AD$59="Mayor"),CONCATENATE("R19C",'Mapa final'!$R$59),"")</f>
        <v/>
      </c>
      <c r="U74" s="106" t="str">
        <f>IF(AND('Mapa final'!$AB$60="Alta",'Mapa final'!$AD$60="Mayor"),CONCATENATE("R19C",'Mapa final'!$R$60),"")</f>
        <v/>
      </c>
      <c r="V74" s="43" t="str">
        <f>IF(AND('Mapa final'!$AB$58="Alta",'Mapa final'!$AD$58="Catastrófico"),CONCATENATE("R19C",'Mapa final'!$R$58),"")</f>
        <v/>
      </c>
      <c r="W74" s="44" t="str">
        <f>IF(AND('Mapa final'!$AB$59="Alta",'Mapa final'!$AD$59="Catastrófico"),CONCATENATE("R19C",'Mapa final'!$R$59),"")</f>
        <v/>
      </c>
      <c r="X74" s="100" t="str">
        <f>IF(AND('Mapa final'!$AB$60="Alta",'Mapa final'!$AD$60="Catastrófico"),CONCATENATE("R19C",'Mapa final'!$R$60),"")</f>
        <v/>
      </c>
      <c r="Y74" s="56"/>
      <c r="Z74" s="296"/>
      <c r="AA74" s="297"/>
      <c r="AB74" s="297"/>
      <c r="AC74" s="297"/>
      <c r="AD74" s="297"/>
      <c r="AE74" s="298"/>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row>
    <row r="75" spans="1:61" ht="15" customHeight="1" x14ac:dyDescent="0.35">
      <c r="A75" s="56"/>
      <c r="B75" s="311"/>
      <c r="C75" s="311"/>
      <c r="D75" s="312"/>
      <c r="E75" s="288"/>
      <c r="F75" s="301"/>
      <c r="G75" s="301"/>
      <c r="H75" s="301"/>
      <c r="I75" s="283"/>
      <c r="J75" s="49" t="str">
        <f>IF(AND('Mapa final'!$AB$61="Alta",'Mapa final'!$AD$61="Leve"),CONCATENATE("R20C",'Mapa final'!$R$61),"")</f>
        <v/>
      </c>
      <c r="K75" s="50" t="str">
        <f>IF(AND('Mapa final'!$AB$62="Alta",'Mapa final'!$AD$62="Leve"),CONCATENATE("R20C",'Mapa final'!$R$62),"")</f>
        <v/>
      </c>
      <c r="L75" s="111" t="str">
        <f>IF(AND('Mapa final'!$AB$63="Alta",'Mapa final'!$AD$63="Leve"),CONCATENATE("R20C",'Mapa final'!$R$63),"")</f>
        <v/>
      </c>
      <c r="M75" s="49" t="str">
        <f>IF(AND('Mapa final'!$AB$61="Alta",'Mapa final'!$AD$61="Menor"),CONCATENATE("R20C",'Mapa final'!$R$61),"")</f>
        <v/>
      </c>
      <c r="N75" s="50" t="str">
        <f>IF(AND('Mapa final'!$AB$62="Alta",'Mapa final'!$AD$62="Menor"),CONCATENATE("R20C",'Mapa final'!$R$62),"")</f>
        <v/>
      </c>
      <c r="O75" s="111" t="str">
        <f>IF(AND('Mapa final'!$AB$63="Alta",'Mapa final'!$AD$63="Menor"),CONCATENATE("R20C",'Mapa final'!$R$63),"")</f>
        <v/>
      </c>
      <c r="P75" s="105" t="str">
        <f>IF(AND('Mapa final'!$AB$61="Alta",'Mapa final'!$AD$61="Moderado"),CONCATENATE("R20C",'Mapa final'!$R$61),"")</f>
        <v/>
      </c>
      <c r="Q75" s="42" t="str">
        <f>IF(AND('Mapa final'!$AB$62="Alta",'Mapa final'!$AD$62="Moderado"),CONCATENATE("R20C",'Mapa final'!$R$62),"")</f>
        <v/>
      </c>
      <c r="R75" s="106" t="str">
        <f>IF(AND('Mapa final'!$AB$63="Alta",'Mapa final'!$AD$63="Moderado"),CONCATENATE("R20C",'Mapa final'!$R$63),"")</f>
        <v/>
      </c>
      <c r="S75" s="105" t="str">
        <f>IF(AND('Mapa final'!$AB$61="Alta",'Mapa final'!$AD$61="Mayor"),CONCATENATE("R20C",'Mapa final'!$R$61),"")</f>
        <v/>
      </c>
      <c r="T75" s="42" t="str">
        <f>IF(AND('Mapa final'!$AB$62="Alta",'Mapa final'!$AD$62="Mayor"),CONCATENATE("R20C",'Mapa final'!$R$62),"")</f>
        <v/>
      </c>
      <c r="U75" s="106" t="str">
        <f>IF(AND('Mapa final'!$AB$63="Alta",'Mapa final'!$AD$63="Mayor"),CONCATENATE("R20C",'Mapa final'!$R$63),"")</f>
        <v/>
      </c>
      <c r="V75" s="43" t="str">
        <f>IF(AND('Mapa final'!$AB$61="Alta",'Mapa final'!$AD$61="Catastrófico"),CONCATENATE("R20C",'Mapa final'!$R$61),"")</f>
        <v/>
      </c>
      <c r="W75" s="44" t="str">
        <f>IF(AND('Mapa final'!$AB$62="Alta",'Mapa final'!$AD$62="Catastrófico"),CONCATENATE("R20C",'Mapa final'!$R$62),"")</f>
        <v/>
      </c>
      <c r="X75" s="100" t="str">
        <f>IF(AND('Mapa final'!$AB$63="Alta",'Mapa final'!$AD$63="Catastrófico"),CONCATENATE("R20C",'Mapa final'!$R$63),"")</f>
        <v/>
      </c>
      <c r="Y75" s="56"/>
      <c r="Z75" s="296"/>
      <c r="AA75" s="297"/>
      <c r="AB75" s="297"/>
      <c r="AC75" s="297"/>
      <c r="AD75" s="297"/>
      <c r="AE75" s="298"/>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row>
    <row r="76" spans="1:61" ht="15" customHeight="1" x14ac:dyDescent="0.35">
      <c r="A76" s="56"/>
      <c r="B76" s="311"/>
      <c r="C76" s="311"/>
      <c r="D76" s="312"/>
      <c r="E76" s="288"/>
      <c r="F76" s="301"/>
      <c r="G76" s="301"/>
      <c r="H76" s="301"/>
      <c r="I76" s="283"/>
      <c r="J76" s="49" t="str">
        <f>IF(AND('Mapa final'!$AB$64="Alta",'Mapa final'!$AD$64="Leve"),CONCATENATE("R21C",'Mapa final'!$R$64),"")</f>
        <v/>
      </c>
      <c r="K76" s="50" t="str">
        <f>IF(AND('Mapa final'!$AB$65="Alta",'Mapa final'!$AD$65="Leve"),CONCATENATE("R21C",'Mapa final'!$R$65),"")</f>
        <v/>
      </c>
      <c r="L76" s="111" t="str">
        <f>IF(AND('Mapa final'!$AB$66="Alta",'Mapa final'!$AD$66="Leve"),CONCATENATE("R21C",'Mapa final'!$R$66),"")</f>
        <v/>
      </c>
      <c r="M76" s="49" t="str">
        <f>IF(AND('Mapa final'!$AB$64="Alta",'Mapa final'!$AD$64="Menor"),CONCATENATE("R21C",'Mapa final'!$R$64),"")</f>
        <v/>
      </c>
      <c r="N76" s="50" t="str">
        <f>IF(AND('Mapa final'!$AB$65="Alta",'Mapa final'!$AD$65="Menor"),CONCATENATE("R21C",'Mapa final'!$R$65),"")</f>
        <v/>
      </c>
      <c r="O76" s="111" t="str">
        <f>IF(AND('Mapa final'!$AB$66="Alta",'Mapa final'!$AD$66="Menor"),CONCATENATE("R21C",'Mapa final'!$R$66),"")</f>
        <v/>
      </c>
      <c r="P76" s="105" t="str">
        <f>IF(AND('Mapa final'!$AB$64="Alta",'Mapa final'!$AD$64="Moderado"),CONCATENATE("R21C",'Mapa final'!$R$64),"")</f>
        <v/>
      </c>
      <c r="Q76" s="42" t="str">
        <f>IF(AND('Mapa final'!$AB$65="Alta",'Mapa final'!$AD$65="Moderado"),CONCATENATE("R21C",'Mapa final'!$R$65),"")</f>
        <v/>
      </c>
      <c r="R76" s="106" t="str">
        <f>IF(AND('Mapa final'!$AB$66="Alta",'Mapa final'!$AD$66="Moderado"),CONCATENATE("R21C",'Mapa final'!$R$66),"")</f>
        <v/>
      </c>
      <c r="S76" s="105" t="str">
        <f>IF(AND('Mapa final'!$AB$64="Alta",'Mapa final'!$AD$64="Mayor"),CONCATENATE("R21C",'Mapa final'!$R$64),"")</f>
        <v/>
      </c>
      <c r="T76" s="42" t="str">
        <f>IF(AND('Mapa final'!$AB$65="Alta",'Mapa final'!$AD$65="Mayor"),CONCATENATE("R21C",'Mapa final'!$R$65),"")</f>
        <v/>
      </c>
      <c r="U76" s="106" t="str">
        <f>IF(AND('Mapa final'!$AB$66="Alta",'Mapa final'!$AD$66="Mayor"),CONCATENATE("R21C",'Mapa final'!$R$66),"")</f>
        <v/>
      </c>
      <c r="V76" s="43" t="str">
        <f>IF(AND('Mapa final'!$AB$64="Alta",'Mapa final'!$AD$64="Catastrófico"),CONCATENATE("R21C",'Mapa final'!$R$64),"")</f>
        <v/>
      </c>
      <c r="W76" s="44" t="str">
        <f>IF(AND('Mapa final'!$AB$65="Alta",'Mapa final'!$AD$65="Catastrófico"),CONCATENATE("R21C",'Mapa final'!$R$65),"")</f>
        <v/>
      </c>
      <c r="X76" s="100" t="str">
        <f>IF(AND('Mapa final'!$AB$66="Alta",'Mapa final'!$AD$66="Catastrófico"),CONCATENATE("R21C",'Mapa final'!$R$66),"")</f>
        <v/>
      </c>
      <c r="Y76" s="56"/>
      <c r="Z76" s="296"/>
      <c r="AA76" s="297"/>
      <c r="AB76" s="297"/>
      <c r="AC76" s="297"/>
      <c r="AD76" s="297"/>
      <c r="AE76" s="298"/>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row>
    <row r="77" spans="1:61" ht="15" customHeight="1" x14ac:dyDescent="0.35">
      <c r="A77" s="56"/>
      <c r="B77" s="311"/>
      <c r="C77" s="311"/>
      <c r="D77" s="312"/>
      <c r="E77" s="288"/>
      <c r="F77" s="301"/>
      <c r="G77" s="301"/>
      <c r="H77" s="301"/>
      <c r="I77" s="283"/>
      <c r="J77" s="49" t="str">
        <f>IF(AND('Mapa final'!$AB$67="Alta",'Mapa final'!$AD$67="Leve"),CONCATENATE("R22C",'Mapa final'!$R$67),"")</f>
        <v/>
      </c>
      <c r="K77" s="50" t="str">
        <f>IF(AND('Mapa final'!$AB$68="Alta",'Mapa final'!$AD$68="Leve"),CONCATENATE("R22C",'Mapa final'!$R$68),"")</f>
        <v/>
      </c>
      <c r="L77" s="111" t="str">
        <f>IF(AND('Mapa final'!$AB$69="Alta",'Mapa final'!$AD$69="Leve"),CONCATENATE("R22C",'Mapa final'!$R$69),"")</f>
        <v/>
      </c>
      <c r="M77" s="49" t="str">
        <f>IF(AND('Mapa final'!$AB$67="Alta",'Mapa final'!$AD$67="Menor"),CONCATENATE("R22C",'Mapa final'!$R$67),"")</f>
        <v/>
      </c>
      <c r="N77" s="50" t="str">
        <f>IF(AND('Mapa final'!$AB$68="Alta",'Mapa final'!$AD$68="Menor"),CONCATENATE("R22C",'Mapa final'!$R$68),"")</f>
        <v/>
      </c>
      <c r="O77" s="111" t="str">
        <f>IF(AND('Mapa final'!$AB$69="Alta",'Mapa final'!$AD$69="Menor"),CONCATENATE("R22C",'Mapa final'!$R$69),"")</f>
        <v/>
      </c>
      <c r="P77" s="105" t="str">
        <f>IF(AND('Mapa final'!$AB$67="Alta",'Mapa final'!$AD$67="Moderado"),CONCATENATE("R22C",'Mapa final'!$R$67),"")</f>
        <v/>
      </c>
      <c r="Q77" s="42" t="str">
        <f>IF(AND('Mapa final'!$AB$68="Alta",'Mapa final'!$AD$68="Moderado"),CONCATENATE("R22C",'Mapa final'!$R$68),"")</f>
        <v/>
      </c>
      <c r="R77" s="106" t="str">
        <f>IF(AND('Mapa final'!$AB$69="Alta",'Mapa final'!$AD$69="Moderado"),CONCATENATE("R22C",'Mapa final'!$R$69),"")</f>
        <v/>
      </c>
      <c r="S77" s="105" t="str">
        <f>IF(AND('Mapa final'!$AB$67="Alta",'Mapa final'!$AD$67="Mayor"),CONCATENATE("R22C",'Mapa final'!$R$67),"")</f>
        <v/>
      </c>
      <c r="T77" s="42" t="str">
        <f>IF(AND('Mapa final'!$AB$68="Alta",'Mapa final'!$AD$68="Mayor"),CONCATENATE("R22C",'Mapa final'!$R$68),"")</f>
        <v/>
      </c>
      <c r="U77" s="106" t="str">
        <f>IF(AND('Mapa final'!$AB$69="Alta",'Mapa final'!$AD$69="Mayor"),CONCATENATE("R22C",'Mapa final'!$R$69),"")</f>
        <v/>
      </c>
      <c r="V77" s="43" t="str">
        <f>IF(AND('Mapa final'!$AB$67="Alta",'Mapa final'!$AD$67="Catastrófico"),CONCATENATE("R22C",'Mapa final'!$R$67),"")</f>
        <v/>
      </c>
      <c r="W77" s="44" t="str">
        <f>IF(AND('Mapa final'!$AB$68="Alta",'Mapa final'!$AD$68="Catastrófico"),CONCATENATE("R22C",'Mapa final'!$R$68),"")</f>
        <v/>
      </c>
      <c r="X77" s="100" t="str">
        <f>IF(AND('Mapa final'!$AB$69="Alta",'Mapa final'!$AD$69="Catastrófico"),CONCATENATE("R22C",'Mapa final'!$R$69),"")</f>
        <v/>
      </c>
      <c r="Y77" s="56"/>
      <c r="Z77" s="296"/>
      <c r="AA77" s="297"/>
      <c r="AB77" s="297"/>
      <c r="AC77" s="297"/>
      <c r="AD77" s="297"/>
      <c r="AE77" s="298"/>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row>
    <row r="78" spans="1:61" ht="15" customHeight="1" x14ac:dyDescent="0.35">
      <c r="A78" s="56"/>
      <c r="B78" s="311"/>
      <c r="C78" s="311"/>
      <c r="D78" s="312"/>
      <c r="E78" s="288"/>
      <c r="F78" s="301"/>
      <c r="G78" s="301"/>
      <c r="H78" s="301"/>
      <c r="I78" s="283"/>
      <c r="J78" s="49" t="str">
        <f>IF(AND('Mapa final'!$AB$73="Alta",'Mapa final'!$AD$73="Leve"),CONCATENATE("R23C",'Mapa final'!$R$73),"")</f>
        <v/>
      </c>
      <c r="K78" s="50" t="str">
        <f>IF(AND('Mapa final'!$AB$74="Alta",'Mapa final'!$AD$74="Leve"),CONCATENATE("R23C",'Mapa final'!$R$74),"")</f>
        <v/>
      </c>
      <c r="L78" s="111" t="str">
        <f>IF(AND('Mapa final'!$AB$75="Alta",'Mapa final'!$AD$75="Leve"),CONCATENATE("R23C",'Mapa final'!$R$75),"")</f>
        <v/>
      </c>
      <c r="M78" s="49" t="str">
        <f>IF(AND('Mapa final'!$AB$73="Alta",'Mapa final'!$AD$73="Menor"),CONCATENATE("R23C",'Mapa final'!$R$73),"")</f>
        <v/>
      </c>
      <c r="N78" s="50" t="str">
        <f>IF(AND('Mapa final'!$AB$74="Alta",'Mapa final'!$AD$74="Menor"),CONCATENATE("R23C",'Mapa final'!$R$74),"")</f>
        <v/>
      </c>
      <c r="O78" s="111" t="str">
        <f>IF(AND('Mapa final'!$AB$75="Alta",'Mapa final'!$AD$75="Menor"),CONCATENATE("R23C",'Mapa final'!$R$75),"")</f>
        <v/>
      </c>
      <c r="P78" s="105" t="str">
        <f>IF(AND('Mapa final'!$AB$73="Alta",'Mapa final'!$AD$73="Moderado"),CONCATENATE("R23C",'Mapa final'!$R$73),"")</f>
        <v/>
      </c>
      <c r="Q78" s="42" t="str">
        <f>IF(AND('Mapa final'!$AB$74="Alta",'Mapa final'!$AD$74="Moderado"),CONCATENATE("R23C",'Mapa final'!$R$74),"")</f>
        <v/>
      </c>
      <c r="R78" s="106" t="str">
        <f>IF(AND('Mapa final'!$AB$75="Alta",'Mapa final'!$AD$75="Moderado"),CONCATENATE("R23C",'Mapa final'!$R$75),"")</f>
        <v/>
      </c>
      <c r="S78" s="105" t="str">
        <f>IF(AND('Mapa final'!$AB$73="Alta",'Mapa final'!$AD$73="Mayor"),CONCATENATE("R23C",'Mapa final'!$R$73),"")</f>
        <v/>
      </c>
      <c r="T78" s="42" t="str">
        <f>IF(AND('Mapa final'!$AB$74="Alta",'Mapa final'!$AD$74="Mayor"),CONCATENATE("R23C",'Mapa final'!$R$74),"")</f>
        <v/>
      </c>
      <c r="U78" s="106" t="str">
        <f>IF(AND('Mapa final'!$AB$75="Alta",'Mapa final'!$AD$75="Mayor"),CONCATENATE("R23C",'Mapa final'!$R$75),"")</f>
        <v/>
      </c>
      <c r="V78" s="43" t="str">
        <f>IF(AND('Mapa final'!$AB$73="Alta",'Mapa final'!$AD$73="Catastrófico"),CONCATENATE("R23C",'Mapa final'!$R$73),"")</f>
        <v/>
      </c>
      <c r="W78" s="44" t="str">
        <f>IF(AND('Mapa final'!$AB$74="Alta",'Mapa final'!$AD$74="Catastrófico"),CONCATENATE("R23C",'Mapa final'!$R$74),"")</f>
        <v/>
      </c>
      <c r="X78" s="100" t="str">
        <f>IF(AND('Mapa final'!$AB$75="Alta",'Mapa final'!$AD$75="Catastrófico"),CONCATENATE("R23C",'Mapa final'!$R$75),"")</f>
        <v/>
      </c>
      <c r="Y78" s="56"/>
      <c r="Z78" s="296"/>
      <c r="AA78" s="297"/>
      <c r="AB78" s="297"/>
      <c r="AC78" s="297"/>
      <c r="AD78" s="297"/>
      <c r="AE78" s="298"/>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row>
    <row r="79" spans="1:61" ht="15" customHeight="1" x14ac:dyDescent="0.35">
      <c r="A79" s="56"/>
      <c r="B79" s="311"/>
      <c r="C79" s="311"/>
      <c r="D79" s="312"/>
      <c r="E79" s="288"/>
      <c r="F79" s="301"/>
      <c r="G79" s="301"/>
      <c r="H79" s="301"/>
      <c r="I79" s="283"/>
      <c r="J79" s="49" t="str">
        <f>IF(AND('Mapa final'!$AB$76="Alta",'Mapa final'!$AD$76="Leve"),CONCATENATE("R24C",'Mapa final'!$R$76),"")</f>
        <v/>
      </c>
      <c r="K79" s="50" t="str">
        <f>IF(AND('Mapa final'!$AB$77="Alta",'Mapa final'!$AD$77="Leve"),CONCATENATE("R24C",'Mapa final'!$R$77),"")</f>
        <v/>
      </c>
      <c r="L79" s="111" t="str">
        <f>IF(AND('Mapa final'!$AB$78="Alta",'Mapa final'!$AD$78="Leve"),CONCATENATE("R24C",'Mapa final'!$R$78),"")</f>
        <v/>
      </c>
      <c r="M79" s="49" t="str">
        <f>IF(AND('Mapa final'!$AB$76="Alta",'Mapa final'!$AD$76="Menor"),CONCATENATE("R24C",'Mapa final'!$R$76),"")</f>
        <v/>
      </c>
      <c r="N79" s="50" t="str">
        <f>IF(AND('Mapa final'!$AB$77="Alta",'Mapa final'!$AD$77="Menor"),CONCATENATE("R24C",'Mapa final'!$R$77),"")</f>
        <v/>
      </c>
      <c r="O79" s="111" t="str">
        <f>IF(AND('Mapa final'!$AB$78="Alta",'Mapa final'!$AD$78="Menor"),CONCATENATE("R24C",'Mapa final'!$R$78),"")</f>
        <v/>
      </c>
      <c r="P79" s="105" t="str">
        <f>IF(AND('Mapa final'!$AB$76="Alta",'Mapa final'!$AD$76="Moderado"),CONCATENATE("R24C",'Mapa final'!$R$76),"")</f>
        <v/>
      </c>
      <c r="Q79" s="42" t="str">
        <f>IF(AND('Mapa final'!$AB$77="Alta",'Mapa final'!$AD$77="Moderado"),CONCATENATE("R24C",'Mapa final'!$R$77),"")</f>
        <v/>
      </c>
      <c r="R79" s="106" t="str">
        <f>IF(AND('Mapa final'!$AB$78="Alta",'Mapa final'!$AD$78="Moderado"),CONCATENATE("R24C",'Mapa final'!$R$78),"")</f>
        <v/>
      </c>
      <c r="S79" s="105" t="str">
        <f>IF(AND('Mapa final'!$AB$76="Alta",'Mapa final'!$AD$76="Mayor"),CONCATENATE("R24C",'Mapa final'!$R$76),"")</f>
        <v/>
      </c>
      <c r="T79" s="42" t="str">
        <f>IF(AND('Mapa final'!$AB$77="Alta",'Mapa final'!$AD$77="Mayor"),CONCATENATE("R24C",'Mapa final'!$R$77),"")</f>
        <v/>
      </c>
      <c r="U79" s="106" t="str">
        <f>IF(AND('Mapa final'!$AB$78="Alta",'Mapa final'!$AD$78="Mayor"),CONCATENATE("R24C",'Mapa final'!$R$78),"")</f>
        <v/>
      </c>
      <c r="V79" s="43" t="str">
        <f>IF(AND('Mapa final'!$AB$76="Alta",'Mapa final'!$AD$76="Catastrófico"),CONCATENATE("R24C",'Mapa final'!$R$76),"")</f>
        <v/>
      </c>
      <c r="W79" s="44" t="str">
        <f>IF(AND('Mapa final'!$AB$77="Alta",'Mapa final'!$AD$77="Catastrófico"),CONCATENATE("R24C",'Mapa final'!$R$77),"")</f>
        <v/>
      </c>
      <c r="X79" s="100" t="str">
        <f>IF(AND('Mapa final'!$AB$78="Alta",'Mapa final'!$AD$78="Catastrófico"),CONCATENATE("R24C",'Mapa final'!$R$78),"")</f>
        <v/>
      </c>
      <c r="Y79" s="56"/>
      <c r="Z79" s="296"/>
      <c r="AA79" s="297"/>
      <c r="AB79" s="297"/>
      <c r="AC79" s="297"/>
      <c r="AD79" s="297"/>
      <c r="AE79" s="298"/>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row>
    <row r="80" spans="1:61" ht="15" customHeight="1" x14ac:dyDescent="0.35">
      <c r="A80" s="56"/>
      <c r="B80" s="311"/>
      <c r="C80" s="311"/>
      <c r="D80" s="312"/>
      <c r="E80" s="288"/>
      <c r="F80" s="301"/>
      <c r="G80" s="301"/>
      <c r="H80" s="301"/>
      <c r="I80" s="283"/>
      <c r="J80" s="49" t="str">
        <f>IF(AND('Mapa final'!$AB$79="Alta",'Mapa final'!$AD$79="Leve"),CONCATENATE("R25C",'Mapa final'!$R$79),"")</f>
        <v/>
      </c>
      <c r="K80" s="50" t="str">
        <f>IF(AND('Mapa final'!$AB$80="Alta",'Mapa final'!$AD$80="Leve"),CONCATENATE("R25C",'Mapa final'!$R$80),"")</f>
        <v/>
      </c>
      <c r="L80" s="111" t="str">
        <f>IF(AND('Mapa final'!$AB$81="Alta",'Mapa final'!$AD$81="Leve"),CONCATENATE("R25C",'Mapa final'!$R$81),"")</f>
        <v/>
      </c>
      <c r="M80" s="49" t="str">
        <f>IF(AND('Mapa final'!$AB$79="Alta",'Mapa final'!$AD$79="Menor"),CONCATENATE("R25C",'Mapa final'!$R$79),"")</f>
        <v/>
      </c>
      <c r="N80" s="50" t="str">
        <f>IF(AND('Mapa final'!$AB$80="Alta",'Mapa final'!$AD$80="Menor"),CONCATENATE("R25C",'Mapa final'!$R$80),"")</f>
        <v/>
      </c>
      <c r="O80" s="111" t="str">
        <f>IF(AND('Mapa final'!$AB$81="Alta",'Mapa final'!$AD$81="Menor"),CONCATENATE("R25C",'Mapa final'!$R$81),"")</f>
        <v/>
      </c>
      <c r="P80" s="105" t="str">
        <f>IF(AND('Mapa final'!$AB$79="Alta",'Mapa final'!$AD$79="Moderado"),CONCATENATE("R25C",'Mapa final'!$R$79),"")</f>
        <v/>
      </c>
      <c r="Q80" s="42" t="str">
        <f>IF(AND('Mapa final'!$AB$80="Alta",'Mapa final'!$AD$80="Moderado"),CONCATENATE("R25C",'Mapa final'!$R$80),"")</f>
        <v/>
      </c>
      <c r="R80" s="106" t="str">
        <f>IF(AND('Mapa final'!$AB$81="Alta",'Mapa final'!$AD$81="Moderado"),CONCATENATE("R25C",'Mapa final'!$R$81),"")</f>
        <v/>
      </c>
      <c r="S80" s="105" t="str">
        <f>IF(AND('Mapa final'!$AB$79="Alta",'Mapa final'!$AD$79="Mayor"),CONCATENATE("R25C",'Mapa final'!$R$79),"")</f>
        <v/>
      </c>
      <c r="T80" s="42" t="str">
        <f>IF(AND('Mapa final'!$AB$80="Alta",'Mapa final'!$AD$80="Mayor"),CONCATENATE("R25C",'Mapa final'!$R$80),"")</f>
        <v/>
      </c>
      <c r="U80" s="106" t="str">
        <f>IF(AND('Mapa final'!$AB$81="Alta",'Mapa final'!$AD$81="Mayor"),CONCATENATE("R25C",'Mapa final'!$R$81),"")</f>
        <v/>
      </c>
      <c r="V80" s="43" t="str">
        <f>IF(AND('Mapa final'!$AB$79="Alta",'Mapa final'!$AD$79="Catastrófico"),CONCATENATE("R25C",'Mapa final'!$R$79),"")</f>
        <v/>
      </c>
      <c r="W80" s="44" t="str">
        <f>IF(AND('Mapa final'!$AB$80="Alta",'Mapa final'!$AD$80="Catastrófico"),CONCATENATE("R25C",'Mapa final'!$R$80),"")</f>
        <v/>
      </c>
      <c r="X80" s="100" t="str">
        <f>IF(AND('Mapa final'!$AB$81="Alta",'Mapa final'!$AD$81="Catastrófico"),CONCATENATE("R25C",'Mapa final'!$R$81),"")</f>
        <v/>
      </c>
      <c r="Y80" s="56"/>
      <c r="Z80" s="296"/>
      <c r="AA80" s="297"/>
      <c r="AB80" s="297"/>
      <c r="AC80" s="297"/>
      <c r="AD80" s="297"/>
      <c r="AE80" s="298"/>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row>
    <row r="81" spans="1:61" ht="15" customHeight="1" x14ac:dyDescent="0.35">
      <c r="A81" s="56"/>
      <c r="B81" s="311"/>
      <c r="C81" s="311"/>
      <c r="D81" s="312"/>
      <c r="E81" s="288"/>
      <c r="F81" s="301"/>
      <c r="G81" s="301"/>
      <c r="H81" s="301"/>
      <c r="I81" s="283"/>
      <c r="J81" s="49" t="str">
        <f>IF(AND('Mapa final'!$AB$82="Alta",'Mapa final'!$AD$82="Leve"),CONCATENATE("R26C",'Mapa final'!$R$82),"")</f>
        <v/>
      </c>
      <c r="K81" s="50" t="str">
        <f>IF(AND('Mapa final'!$AB$83="Alta",'Mapa final'!$AD$83="Leve"),CONCATENATE("R26C",'Mapa final'!$R$83),"")</f>
        <v/>
      </c>
      <c r="L81" s="111" t="str">
        <f>IF(AND('Mapa final'!$AB$84="Alta",'Mapa final'!$AD$84="Leve"),CONCATENATE("R26C",'Mapa final'!$R$84),"")</f>
        <v/>
      </c>
      <c r="M81" s="49" t="str">
        <f>IF(AND('Mapa final'!$AB$82="Alta",'Mapa final'!$AD$82="Menor"),CONCATENATE("R26C",'Mapa final'!$R$82),"")</f>
        <v/>
      </c>
      <c r="N81" s="50" t="str">
        <f>IF(AND('Mapa final'!$AB$83="Alta",'Mapa final'!$AD$83="Menor"),CONCATENATE("R26C",'Mapa final'!$R$83),"")</f>
        <v/>
      </c>
      <c r="O81" s="111" t="str">
        <f>IF(AND('Mapa final'!$AB$84="Alta",'Mapa final'!$AD$84="Menor"),CONCATENATE("R26C",'Mapa final'!$R$84),"")</f>
        <v/>
      </c>
      <c r="P81" s="105" t="str">
        <f>IF(AND('Mapa final'!$AB$82="Alta",'Mapa final'!$AD$82="Moderado"),CONCATENATE("R26C",'Mapa final'!$R$82),"")</f>
        <v/>
      </c>
      <c r="Q81" s="42" t="str">
        <f>IF(AND('Mapa final'!$AB$83="Alta",'Mapa final'!$AD$83="Moderado"),CONCATENATE("R26C",'Mapa final'!$R$83),"")</f>
        <v/>
      </c>
      <c r="R81" s="106" t="str">
        <f>IF(AND('Mapa final'!$AB$84="Alta",'Mapa final'!$AD$84="Moderado"),CONCATENATE("R26C",'Mapa final'!$R$84),"")</f>
        <v/>
      </c>
      <c r="S81" s="105" t="str">
        <f>IF(AND('Mapa final'!$AB$82="Alta",'Mapa final'!$AD$82="Mayor"),CONCATENATE("R26C",'Mapa final'!$R$82),"")</f>
        <v/>
      </c>
      <c r="T81" s="42" t="str">
        <f>IF(AND('Mapa final'!$AB$83="Alta",'Mapa final'!$AD$83="Mayor"),CONCATENATE("R26C",'Mapa final'!$R$83),"")</f>
        <v/>
      </c>
      <c r="U81" s="106" t="str">
        <f>IF(AND('Mapa final'!$AB$84="Alta",'Mapa final'!$AD$84="Mayor"),CONCATENATE("R26C",'Mapa final'!$R$84),"")</f>
        <v/>
      </c>
      <c r="V81" s="43" t="str">
        <f>IF(AND('Mapa final'!$AB$82="Alta",'Mapa final'!$AD$82="Catastrófico"),CONCATENATE("R26C",'Mapa final'!$R$82),"")</f>
        <v/>
      </c>
      <c r="W81" s="44" t="str">
        <f>IF(AND('Mapa final'!$AB$83="Alta",'Mapa final'!$AD$83="Catastrófico"),CONCATENATE("R26C",'Mapa final'!$R$83),"")</f>
        <v/>
      </c>
      <c r="X81" s="100" t="str">
        <f>IF(AND('Mapa final'!$AB$84="Alta",'Mapa final'!$AD$84="Catastrófico"),CONCATENATE("R26C",'Mapa final'!$R$84),"")</f>
        <v/>
      </c>
      <c r="Y81" s="56"/>
      <c r="Z81" s="296"/>
      <c r="AA81" s="297"/>
      <c r="AB81" s="297"/>
      <c r="AC81" s="297"/>
      <c r="AD81" s="297"/>
      <c r="AE81" s="298"/>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row>
    <row r="82" spans="1:61" ht="15" customHeight="1" x14ac:dyDescent="0.35">
      <c r="A82" s="56"/>
      <c r="B82" s="311"/>
      <c r="C82" s="311"/>
      <c r="D82" s="312"/>
      <c r="E82" s="288"/>
      <c r="F82" s="301"/>
      <c r="G82" s="301"/>
      <c r="H82" s="301"/>
      <c r="I82" s="283"/>
      <c r="J82" s="49" t="str">
        <f>IF(AND('Mapa final'!$AB$85="Alta",'Mapa final'!$AD$85="Leve"),CONCATENATE("R27C",'Mapa final'!$R$85),"")</f>
        <v/>
      </c>
      <c r="K82" s="50" t="str">
        <f>IF(AND('Mapa final'!$AB$86="Alta",'Mapa final'!$AD$86="Leve"),CONCATENATE("R27C",'Mapa final'!$R$86),"")</f>
        <v/>
      </c>
      <c r="L82" s="111" t="str">
        <f>IF(AND('Mapa final'!$AB$87="Alta",'Mapa final'!$AD$87="Leve"),CONCATENATE("R27C",'Mapa final'!$R$87),"")</f>
        <v/>
      </c>
      <c r="M82" s="49" t="str">
        <f>IF(AND('Mapa final'!$AB$85="Alta",'Mapa final'!$AD$85="Menor"),CONCATENATE("R27C",'Mapa final'!$R$85),"")</f>
        <v/>
      </c>
      <c r="N82" s="50" t="str">
        <f>IF(AND('Mapa final'!$AB$86="Alta",'Mapa final'!$AD$86="Menor"),CONCATENATE("R27C",'Mapa final'!$R$86),"")</f>
        <v/>
      </c>
      <c r="O82" s="111" t="str">
        <f>IF(AND('Mapa final'!$AB$87="Alta",'Mapa final'!$AD$87="Menor"),CONCATENATE("R27C",'Mapa final'!$R$87),"")</f>
        <v/>
      </c>
      <c r="P82" s="105" t="str">
        <f>IF(AND('Mapa final'!$AB$85="Alta",'Mapa final'!$AD$85="Moderado"),CONCATENATE("R27C",'Mapa final'!$R$85),"")</f>
        <v/>
      </c>
      <c r="Q82" s="42" t="str">
        <f>IF(AND('Mapa final'!$AB$86="Alta",'Mapa final'!$AD$86="Moderado"),CONCATENATE("R27C",'Mapa final'!$R$86),"")</f>
        <v/>
      </c>
      <c r="R82" s="106" t="str">
        <f>IF(AND('Mapa final'!$AB$87="Alta",'Mapa final'!$AD$87="Moderado"),CONCATENATE("R27C",'Mapa final'!$R$87),"")</f>
        <v/>
      </c>
      <c r="S82" s="105" t="str">
        <f>IF(AND('Mapa final'!$AB$85="Alta",'Mapa final'!$AD$85="Mayor"),CONCATENATE("R27C",'Mapa final'!$R$85),"")</f>
        <v/>
      </c>
      <c r="T82" s="42" t="str">
        <f>IF(AND('Mapa final'!$AB$86="Alta",'Mapa final'!$AD$86="Mayor"),CONCATENATE("R27C",'Mapa final'!$R$86),"")</f>
        <v/>
      </c>
      <c r="U82" s="106" t="str">
        <f>IF(AND('Mapa final'!$AB$87="Alta",'Mapa final'!$AD$87="Mayor"),CONCATENATE("R27C",'Mapa final'!$R$87),"")</f>
        <v/>
      </c>
      <c r="V82" s="43" t="str">
        <f>IF(AND('Mapa final'!$AB$85="Alta",'Mapa final'!$AD$85="Catastrófico"),CONCATENATE("R27C",'Mapa final'!$R$85),"")</f>
        <v/>
      </c>
      <c r="W82" s="44" t="str">
        <f>IF(AND('Mapa final'!$AB$86="Alta",'Mapa final'!$AD$86="Catastrófico"),CONCATENATE("R27C",'Mapa final'!$R$86),"")</f>
        <v/>
      </c>
      <c r="X82" s="100" t="str">
        <f>IF(AND('Mapa final'!$AB$87="Alta",'Mapa final'!$AD$87="Catastrófico"),CONCATENATE("R27C",'Mapa final'!$R$87),"")</f>
        <v/>
      </c>
      <c r="Y82" s="56"/>
      <c r="Z82" s="296"/>
      <c r="AA82" s="297"/>
      <c r="AB82" s="297"/>
      <c r="AC82" s="297"/>
      <c r="AD82" s="297"/>
      <c r="AE82" s="298"/>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row>
    <row r="83" spans="1:61" ht="15" customHeight="1" x14ac:dyDescent="0.35">
      <c r="A83" s="56"/>
      <c r="B83" s="311"/>
      <c r="C83" s="311"/>
      <c r="D83" s="312"/>
      <c r="E83" s="288"/>
      <c r="F83" s="301"/>
      <c r="G83" s="301"/>
      <c r="H83" s="301"/>
      <c r="I83" s="283"/>
      <c r="J83" s="49" t="str">
        <f>IF(AND('Mapa final'!$AB$88="Alta",'Mapa final'!$AD$88="Leve"),CONCATENATE("R28C",'Mapa final'!$R$88),"")</f>
        <v/>
      </c>
      <c r="K83" s="50" t="str">
        <f>IF(AND('Mapa final'!$AB$89="Alta",'Mapa final'!$AD$89="Leve"),CONCATENATE("R28C",'Mapa final'!$R$89),"")</f>
        <v/>
      </c>
      <c r="L83" s="111" t="str">
        <f>IF(AND('Mapa final'!$AB$90="Alta",'Mapa final'!$AD$90="Leve"),CONCATENATE("R28C",'Mapa final'!$R$90),"")</f>
        <v/>
      </c>
      <c r="M83" s="49" t="str">
        <f>IF(AND('Mapa final'!$AB$88="Alta",'Mapa final'!$AD$88="Menor"),CONCATENATE("R28C",'Mapa final'!$R$88),"")</f>
        <v/>
      </c>
      <c r="N83" s="50" t="str">
        <f>IF(AND('Mapa final'!$AB$89="Alta",'Mapa final'!$AD$89="Menor"),CONCATENATE("R28C",'Mapa final'!$R$89),"")</f>
        <v/>
      </c>
      <c r="O83" s="111" t="str">
        <f>IF(AND('Mapa final'!$AB$90="Alta",'Mapa final'!$AD$90="Menor"),CONCATENATE("R28C",'Mapa final'!$R$90),"")</f>
        <v/>
      </c>
      <c r="P83" s="105" t="str">
        <f>IF(AND('Mapa final'!$AB$88="Alta",'Mapa final'!$AD$88="Moderado"),CONCATENATE("R28C",'Mapa final'!$R$88),"")</f>
        <v/>
      </c>
      <c r="Q83" s="42" t="str">
        <f>IF(AND('Mapa final'!$AB$89="Alta",'Mapa final'!$AD$89="Moderado"),CONCATENATE("R28C",'Mapa final'!$R$89),"")</f>
        <v/>
      </c>
      <c r="R83" s="106" t="str">
        <f>IF(AND('Mapa final'!$AB$90="Alta",'Mapa final'!$AD$90="Moderado"),CONCATENATE("R28C",'Mapa final'!$R$90),"")</f>
        <v/>
      </c>
      <c r="S83" s="105" t="str">
        <f>IF(AND('Mapa final'!$AB$88="Alta",'Mapa final'!$AD$88="Mayor"),CONCATENATE("R28C",'Mapa final'!$R$88),"")</f>
        <v/>
      </c>
      <c r="T83" s="42" t="str">
        <f>IF(AND('Mapa final'!$AB$89="Alta",'Mapa final'!$AD$89="Mayor"),CONCATENATE("R28C",'Mapa final'!$R$89),"")</f>
        <v/>
      </c>
      <c r="U83" s="106" t="str">
        <f>IF(AND('Mapa final'!$AB$90="Alta",'Mapa final'!$AD$90="Mayor"),CONCATENATE("R28C",'Mapa final'!$R$90),"")</f>
        <v/>
      </c>
      <c r="V83" s="43" t="str">
        <f>IF(AND('Mapa final'!$AB$88="Alta",'Mapa final'!$AD$88="Catastrófico"),CONCATENATE("R28C",'Mapa final'!$R$88),"")</f>
        <v/>
      </c>
      <c r="W83" s="44" t="str">
        <f>IF(AND('Mapa final'!$AB$89="Alta",'Mapa final'!$AD$89="Catastrófico"),CONCATENATE("R28C",'Mapa final'!$R$89),"")</f>
        <v/>
      </c>
      <c r="X83" s="100" t="str">
        <f>IF(AND('Mapa final'!$AB$90="Alta",'Mapa final'!$AD$90="Catastrófico"),CONCATENATE("R28C",'Mapa final'!$R$90),"")</f>
        <v/>
      </c>
      <c r="Y83" s="56"/>
      <c r="Z83" s="296"/>
      <c r="AA83" s="297"/>
      <c r="AB83" s="297"/>
      <c r="AC83" s="297"/>
      <c r="AD83" s="297"/>
      <c r="AE83" s="298"/>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row>
    <row r="84" spans="1:61" ht="15" customHeight="1" x14ac:dyDescent="0.35">
      <c r="A84" s="56"/>
      <c r="B84" s="311"/>
      <c r="C84" s="311"/>
      <c r="D84" s="312"/>
      <c r="E84" s="288"/>
      <c r="F84" s="301"/>
      <c r="G84" s="301"/>
      <c r="H84" s="301"/>
      <c r="I84" s="283"/>
      <c r="J84" s="49" t="str">
        <f>IF(AND('Mapa final'!$AB$91="Alta",'Mapa final'!$AD$91="Leve"),CONCATENATE("R29C",'Mapa final'!$R$91),"")</f>
        <v/>
      </c>
      <c r="K84" s="50" t="str">
        <f>IF(AND('Mapa final'!$AB$92="Alta",'Mapa final'!$AD$92="Leve"),CONCATENATE("R29C",'Mapa final'!$R$92),"")</f>
        <v/>
      </c>
      <c r="L84" s="111" t="str">
        <f>IF(AND('Mapa final'!$AB$93="Alta",'Mapa final'!$AD$93="Leve"),CONCATENATE("R29C",'Mapa final'!$R$93),"")</f>
        <v/>
      </c>
      <c r="M84" s="49" t="str">
        <f>IF(AND('Mapa final'!$AB$91="Alta",'Mapa final'!$AD$91="Menor"),CONCATENATE("R29C",'Mapa final'!$R$91),"")</f>
        <v/>
      </c>
      <c r="N84" s="50" t="str">
        <f>IF(AND('Mapa final'!$AB$92="Alta",'Mapa final'!$AD$92="Menor"),CONCATENATE("R29C",'Mapa final'!$R$92),"")</f>
        <v/>
      </c>
      <c r="O84" s="111" t="str">
        <f>IF(AND('Mapa final'!$AB$93="Alta",'Mapa final'!$AD$93="Menor"),CONCATENATE("R29C",'Mapa final'!$R$93),"")</f>
        <v/>
      </c>
      <c r="P84" s="105" t="str">
        <f>IF(AND('Mapa final'!$AB$91="Alta",'Mapa final'!$AD$91="Moderado"),CONCATENATE("R29C",'Mapa final'!$R$91),"")</f>
        <v/>
      </c>
      <c r="Q84" s="42" t="str">
        <f>IF(AND('Mapa final'!$AB$92="Alta",'Mapa final'!$AD$92="Moderado"),CONCATENATE("R29C",'Mapa final'!$R$92),"")</f>
        <v/>
      </c>
      <c r="R84" s="106" t="str">
        <f>IF(AND('Mapa final'!$AB$93="Alta",'Mapa final'!$AD$93="Moderado"),CONCATENATE("R29C",'Mapa final'!$R$93),"")</f>
        <v/>
      </c>
      <c r="S84" s="105" t="str">
        <f>IF(AND('Mapa final'!$AB$91="Alta",'Mapa final'!$AD$91="Mayor"),CONCATENATE("R29C",'Mapa final'!$R$91),"")</f>
        <v/>
      </c>
      <c r="T84" s="42" t="str">
        <f>IF(AND('Mapa final'!$AB$92="Alta",'Mapa final'!$AD$92="Mayor"),CONCATENATE("R29C",'Mapa final'!$R$92),"")</f>
        <v/>
      </c>
      <c r="U84" s="106" t="str">
        <f>IF(AND('Mapa final'!$AB$93="Alta",'Mapa final'!$AD$93="Mayor"),CONCATENATE("R29C",'Mapa final'!$R$93),"")</f>
        <v/>
      </c>
      <c r="V84" s="43" t="str">
        <f>IF(AND('Mapa final'!$AB$91="Alta",'Mapa final'!$AD$91="Catastrófico"),CONCATENATE("R29C",'Mapa final'!$R$91),"")</f>
        <v/>
      </c>
      <c r="W84" s="44" t="str">
        <f>IF(AND('Mapa final'!$AB$92="Alta",'Mapa final'!$AD$92="Catastrófico"),CONCATENATE("R29C",'Mapa final'!$R$92),"")</f>
        <v/>
      </c>
      <c r="X84" s="100" t="str">
        <f>IF(AND('Mapa final'!$AB$93="Alta",'Mapa final'!$AD$93="Catastrófico"),CONCATENATE("R29C",'Mapa final'!$R$93),"")</f>
        <v/>
      </c>
      <c r="Y84" s="56"/>
      <c r="Z84" s="296"/>
      <c r="AA84" s="297"/>
      <c r="AB84" s="297"/>
      <c r="AC84" s="297"/>
      <c r="AD84" s="297"/>
      <c r="AE84" s="298"/>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row>
    <row r="85" spans="1:61" ht="15" customHeight="1" x14ac:dyDescent="0.35">
      <c r="A85" s="56"/>
      <c r="B85" s="311"/>
      <c r="C85" s="311"/>
      <c r="D85" s="312"/>
      <c r="E85" s="288"/>
      <c r="F85" s="301"/>
      <c r="G85" s="301"/>
      <c r="H85" s="301"/>
      <c r="I85" s="283"/>
      <c r="J85" s="49" t="str">
        <f>IF(AND('Mapa final'!$AB$94="Alta",'Mapa final'!$AD$94="Leve"),CONCATENATE("R30C",'Mapa final'!$R$94),"")</f>
        <v/>
      </c>
      <c r="K85" s="50" t="str">
        <f>IF(AND('Mapa final'!$AB$95="Alta",'Mapa final'!$AD$95="Leve"),CONCATENATE("R30C",'Mapa final'!$R$95),"")</f>
        <v/>
      </c>
      <c r="L85" s="111" t="str">
        <f>IF(AND('Mapa final'!$AB$96="Alta",'Mapa final'!$AD$96="Leve"),CONCATENATE("R30C",'Mapa final'!$R$96),"")</f>
        <v/>
      </c>
      <c r="M85" s="49" t="str">
        <f>IF(AND('Mapa final'!$AB$94="Alta",'Mapa final'!$AD$94="Menor"),CONCATENATE("R30C",'Mapa final'!$R$94),"")</f>
        <v/>
      </c>
      <c r="N85" s="50" t="str">
        <f>IF(AND('Mapa final'!$AB$95="Alta",'Mapa final'!$AD$95="Menor"),CONCATENATE("R30C",'Mapa final'!$R$95),"")</f>
        <v/>
      </c>
      <c r="O85" s="111" t="str">
        <f>IF(AND('Mapa final'!$AB$96="Alta",'Mapa final'!$AD$96="Menor"),CONCATENATE("R30C",'Mapa final'!$R$96),"")</f>
        <v/>
      </c>
      <c r="P85" s="105" t="str">
        <f>IF(AND('Mapa final'!$AB$94="Alta",'Mapa final'!$AD$94="Moderado"),CONCATENATE("R30C",'Mapa final'!$R$94),"")</f>
        <v/>
      </c>
      <c r="Q85" s="42" t="str">
        <f>IF(AND('Mapa final'!$AB$95="Alta",'Mapa final'!$AD$95="Moderado"),CONCATENATE("R30C",'Mapa final'!$R$95),"")</f>
        <v/>
      </c>
      <c r="R85" s="106" t="str">
        <f>IF(AND('Mapa final'!$AB$96="Alta",'Mapa final'!$AD$96="Moderado"),CONCATENATE("R30C",'Mapa final'!$R$96),"")</f>
        <v/>
      </c>
      <c r="S85" s="105" t="str">
        <f>IF(AND('Mapa final'!$AB$94="Alta",'Mapa final'!$AD$94="Mayor"),CONCATENATE("R30C",'Mapa final'!$R$94),"")</f>
        <v/>
      </c>
      <c r="T85" s="42" t="str">
        <f>IF(AND('Mapa final'!$AB$95="Alta",'Mapa final'!$AD$95="Mayor"),CONCATENATE("R30C",'Mapa final'!$R$95),"")</f>
        <v/>
      </c>
      <c r="U85" s="106" t="str">
        <f>IF(AND('Mapa final'!$AB$96="Alta",'Mapa final'!$AD$96="Mayor"),CONCATENATE("R30C",'Mapa final'!$R$96),"")</f>
        <v/>
      </c>
      <c r="V85" s="43" t="str">
        <f>IF(AND('Mapa final'!$AB$94="Alta",'Mapa final'!$AD$94="Catastrófico"),CONCATENATE("R30C",'Mapa final'!$R$94),"")</f>
        <v/>
      </c>
      <c r="W85" s="44" t="str">
        <f>IF(AND('Mapa final'!$AB$95="Alta",'Mapa final'!$AD$95="Catastrófico"),CONCATENATE("R30C",'Mapa final'!$R$95),"")</f>
        <v/>
      </c>
      <c r="X85" s="100" t="str">
        <f>IF(AND('Mapa final'!$AB$96="Alta",'Mapa final'!$AD$96="Catastrófico"),CONCATENATE("R30C",'Mapa final'!$R$96),"")</f>
        <v/>
      </c>
      <c r="Y85" s="56"/>
      <c r="Z85" s="296"/>
      <c r="AA85" s="297"/>
      <c r="AB85" s="297"/>
      <c r="AC85" s="297"/>
      <c r="AD85" s="297"/>
      <c r="AE85" s="298"/>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row>
    <row r="86" spans="1:61" ht="15" customHeight="1" x14ac:dyDescent="0.35">
      <c r="A86" s="56"/>
      <c r="B86" s="311"/>
      <c r="C86" s="311"/>
      <c r="D86" s="312"/>
      <c r="E86" s="288"/>
      <c r="F86" s="301"/>
      <c r="G86" s="301"/>
      <c r="H86" s="301"/>
      <c r="I86" s="283"/>
      <c r="J86" s="49" t="str">
        <f>IF(AND('Mapa final'!$AB$97="Alta",'Mapa final'!$AD$97="Leve"),CONCATENATE("R31C",'Mapa final'!$R$97),"")</f>
        <v/>
      </c>
      <c r="K86" s="50" t="str">
        <f>IF(AND('Mapa final'!$AB$98="Alta",'Mapa final'!$AD$98="Leve"),CONCATENATE("R31C",'Mapa final'!$R$98),"")</f>
        <v/>
      </c>
      <c r="L86" s="111" t="str">
        <f>IF(AND('Mapa final'!$AB$99="Alta",'Mapa final'!$AD$99="Leve"),CONCATENATE("R31C",'Mapa final'!$R$99),"")</f>
        <v/>
      </c>
      <c r="M86" s="49" t="str">
        <f>IF(AND('Mapa final'!$AB$97="Alta",'Mapa final'!$AD$97="Menor"),CONCATENATE("R31C",'Mapa final'!$R$97),"")</f>
        <v/>
      </c>
      <c r="N86" s="50" t="str">
        <f>IF(AND('Mapa final'!$AB$98="Alta",'Mapa final'!$AD$98="Menor"),CONCATENATE("R31C",'Mapa final'!$R$98),"")</f>
        <v/>
      </c>
      <c r="O86" s="111" t="str">
        <f>IF(AND('Mapa final'!$AB$99="Alta",'Mapa final'!$AD$99="Menor"),CONCATENATE("R31C",'Mapa final'!$R$99),"")</f>
        <v/>
      </c>
      <c r="P86" s="105" t="str">
        <f>IF(AND('Mapa final'!$AB$97="Alta",'Mapa final'!$AD$97="Moderado"),CONCATENATE("R31C",'Mapa final'!$R$97),"")</f>
        <v/>
      </c>
      <c r="Q86" s="42" t="str">
        <f>IF(AND('Mapa final'!$AB$98="Alta",'Mapa final'!$AD$98="Moderado"),CONCATENATE("R31C",'Mapa final'!$R$98),"")</f>
        <v/>
      </c>
      <c r="R86" s="106" t="str">
        <f>IF(AND('Mapa final'!$AB$99="Alta",'Mapa final'!$AD$99="Moderado"),CONCATENATE("R31C",'Mapa final'!$R$99),"")</f>
        <v/>
      </c>
      <c r="S86" s="105" t="str">
        <f>IF(AND('Mapa final'!$AB$97="Alta",'Mapa final'!$AD$97="Mayor"),CONCATENATE("R31C",'Mapa final'!$R$97),"")</f>
        <v/>
      </c>
      <c r="T86" s="42" t="str">
        <f>IF(AND('Mapa final'!$AB$98="Alta",'Mapa final'!$AD$98="Mayor"),CONCATENATE("R31C",'Mapa final'!$R$98),"")</f>
        <v/>
      </c>
      <c r="U86" s="106" t="str">
        <f>IF(AND('Mapa final'!$AB$99="Alta",'Mapa final'!$AD$99="Mayor"),CONCATENATE("R31C",'Mapa final'!$R$99),"")</f>
        <v/>
      </c>
      <c r="V86" s="43" t="str">
        <f>IF(AND('Mapa final'!$AB$97="Alta",'Mapa final'!$AD$97="Catastrófico"),CONCATENATE("R31C",'Mapa final'!$R$97),"")</f>
        <v/>
      </c>
      <c r="W86" s="44" t="str">
        <f>IF(AND('Mapa final'!$AB$98="Alta",'Mapa final'!$AD$98="Catastrófico"),CONCATENATE("R31C",'Mapa final'!$R$98),"")</f>
        <v/>
      </c>
      <c r="X86" s="100" t="str">
        <f>IF(AND('Mapa final'!$AB$99="Alta",'Mapa final'!$AD$99="Catastrófico"),CONCATENATE("R31C",'Mapa final'!$R$99),"")</f>
        <v/>
      </c>
      <c r="Y86" s="56"/>
      <c r="Z86" s="296"/>
      <c r="AA86" s="297"/>
      <c r="AB86" s="297"/>
      <c r="AC86" s="297"/>
      <c r="AD86" s="297"/>
      <c r="AE86" s="298"/>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row>
    <row r="87" spans="1:61" ht="15" customHeight="1" x14ac:dyDescent="0.35">
      <c r="A87" s="56"/>
      <c r="B87" s="311"/>
      <c r="C87" s="311"/>
      <c r="D87" s="312"/>
      <c r="E87" s="288"/>
      <c r="F87" s="301"/>
      <c r="G87" s="301"/>
      <c r="H87" s="301"/>
      <c r="I87" s="283"/>
      <c r="J87" s="49" t="str">
        <f>IF(AND('Mapa final'!$AB$100="Alta",'Mapa final'!$AD$100="Leve"),CONCATENATE("R32C",'Mapa final'!$R$100),"")</f>
        <v/>
      </c>
      <c r="K87" s="50" t="str">
        <f>IF(AND('Mapa final'!$AB$101="Alta",'Mapa final'!$AD$101="Leve"),CONCATENATE("R32C",'Mapa final'!$R$101),"")</f>
        <v/>
      </c>
      <c r="L87" s="111" t="str">
        <f>IF(AND('Mapa final'!$AB$102="Alta",'Mapa final'!$AD$102="Leve"),CONCATENATE("R32C",'Mapa final'!$R$102),"")</f>
        <v/>
      </c>
      <c r="M87" s="49" t="str">
        <f>IF(AND('Mapa final'!$AB$100="Alta",'Mapa final'!$AD$100="Menor"),CONCATENATE("R32C",'Mapa final'!$R$100),"")</f>
        <v/>
      </c>
      <c r="N87" s="50" t="str">
        <f>IF(AND('Mapa final'!$AB$101="Alta",'Mapa final'!$AD$101="Menor"),CONCATENATE("R32C",'Mapa final'!$R$101),"")</f>
        <v/>
      </c>
      <c r="O87" s="111" t="str">
        <f>IF(AND('Mapa final'!$AB$102="Alta",'Mapa final'!$AD$102="Menor"),CONCATENATE("R32C",'Mapa final'!$R$102),"")</f>
        <v/>
      </c>
      <c r="P87" s="105" t="str">
        <f>IF(AND('Mapa final'!$AB$100="Alta",'Mapa final'!$AD$100="Moderado"),CONCATENATE("R32C",'Mapa final'!$R$100),"")</f>
        <v/>
      </c>
      <c r="Q87" s="42" t="str">
        <f>IF(AND('Mapa final'!$AB$101="Alta",'Mapa final'!$AD$101="Moderado"),CONCATENATE("R32C",'Mapa final'!$R$101),"")</f>
        <v/>
      </c>
      <c r="R87" s="42" t="str">
        <f>IF(AND('Mapa final'!$AB$102="Alta",'Mapa final'!$AD$102="Moderado"),CONCATENATE("R32C",'Mapa final'!$R$102),"")</f>
        <v/>
      </c>
      <c r="S87" s="105" t="str">
        <f>IF(AND('Mapa final'!$AB$100="Alta",'Mapa final'!$AD$100="Mayor"),CONCATENATE("R32C",'Mapa final'!$R$100),"")</f>
        <v/>
      </c>
      <c r="T87" s="42" t="str">
        <f>IF(AND('Mapa final'!$AB$101="Alta",'Mapa final'!$AD$101="Mayor"),CONCATENATE("R32C",'Mapa final'!$R$101),"")</f>
        <v/>
      </c>
      <c r="U87" s="106" t="str">
        <f>IF(AND('Mapa final'!$AB$102="Alta",'Mapa final'!$AD$102="Mayor"),CONCATENATE("R32C",'Mapa final'!$R$102),"")</f>
        <v/>
      </c>
      <c r="V87" s="43" t="str">
        <f>IF(AND('Mapa final'!$AB$100="Alta",'Mapa final'!$AD$100="Catastrófico"),CONCATENATE("R32C",'Mapa final'!$R$100),"")</f>
        <v/>
      </c>
      <c r="W87" s="44" t="str">
        <f>IF(AND('Mapa final'!$AB$101="Alta",'Mapa final'!$AD$101="Catastrófico"),CONCATENATE("R32C",'Mapa final'!$R$101),"")</f>
        <v/>
      </c>
      <c r="X87" s="100" t="str">
        <f>IF(AND('Mapa final'!$AB$102="Alta",'Mapa final'!$AD$102="Catastrófico"),CONCATENATE("R32C",'Mapa final'!$R$102),"")</f>
        <v/>
      </c>
      <c r="Y87" s="56"/>
      <c r="Z87" s="296"/>
      <c r="AA87" s="297"/>
      <c r="AB87" s="297"/>
      <c r="AC87" s="297"/>
      <c r="AD87" s="297"/>
      <c r="AE87" s="298"/>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1:61" ht="15" customHeight="1" x14ac:dyDescent="0.35">
      <c r="A88" s="56"/>
      <c r="B88" s="311"/>
      <c r="C88" s="311"/>
      <c r="D88" s="312"/>
      <c r="E88" s="288"/>
      <c r="F88" s="301"/>
      <c r="G88" s="301"/>
      <c r="H88" s="301"/>
      <c r="I88" s="283"/>
      <c r="J88" s="49" t="str">
        <f>IF(AND('Mapa final'!$AB$103="Alta",'Mapa final'!$AD$103="Leve"),CONCATENATE("R33C",'Mapa final'!$R$103),"")</f>
        <v/>
      </c>
      <c r="K88" s="50" t="str">
        <f>IF(AND('Mapa final'!$AB$104="Alta",'Mapa final'!$AD$104="Leve"),CONCATENATE("R33C",'Mapa final'!$R$104),"")</f>
        <v/>
      </c>
      <c r="L88" s="111" t="str">
        <f>IF(AND('Mapa final'!$AB$105="Alta",'Mapa final'!$AD$105="Leve"),CONCATENATE("R33C",'Mapa final'!$R$105),"")</f>
        <v/>
      </c>
      <c r="M88" s="49" t="str">
        <f>IF(AND('Mapa final'!$AB$103="Alta",'Mapa final'!$AD$103="Menor"),CONCATENATE("R33C",'Mapa final'!$R$103),"")</f>
        <v/>
      </c>
      <c r="N88" s="50" t="str">
        <f>IF(AND('Mapa final'!$AB$104="Alta",'Mapa final'!$AD$104="Menor"),CONCATENATE("R33C",'Mapa final'!$R$104),"")</f>
        <v/>
      </c>
      <c r="O88" s="111" t="str">
        <f>IF(AND('Mapa final'!$AB$105="Alta",'Mapa final'!$AD$105="Menor"),CONCATENATE("R33C",'Mapa final'!$R$105),"")</f>
        <v/>
      </c>
      <c r="P88" s="105" t="str">
        <f>IF(AND('Mapa final'!$AB$103="Alta",'Mapa final'!$AD$103="Moderado"),CONCATENATE("R33C",'Mapa final'!$R$103),"")</f>
        <v/>
      </c>
      <c r="Q88" s="42" t="str">
        <f>IF(AND('Mapa final'!$AB$104="Alta",'Mapa final'!$AD$104="Moderado"),CONCATENATE("R33C",'Mapa final'!$R$104),"")</f>
        <v/>
      </c>
      <c r="R88" s="42" t="str">
        <f>IF(AND('Mapa final'!$AB$105="Alta",'Mapa final'!$AD$105="Moderado"),CONCATENATE("R33C",'Mapa final'!$R$105),"")</f>
        <v/>
      </c>
      <c r="S88" s="105" t="str">
        <f>IF(AND('Mapa final'!$AB$103="Alta",'Mapa final'!$AD$103="Mayor"),CONCATENATE("R33C",'Mapa final'!$R$103),"")</f>
        <v/>
      </c>
      <c r="T88" s="42" t="str">
        <f>IF(AND('Mapa final'!$AB$104="Alta",'Mapa final'!$AD$104="Mayor"),CONCATENATE("R33C",'Mapa final'!$R$104),"")</f>
        <v/>
      </c>
      <c r="U88" s="106" t="str">
        <f>IF(AND('Mapa final'!$AB$105="Alta",'Mapa final'!$AD$105="Mayor"),CONCATENATE("R33C",'Mapa final'!$R$105),"")</f>
        <v/>
      </c>
      <c r="V88" s="43" t="str">
        <f>IF(AND('Mapa final'!$AB$103="Alta",'Mapa final'!$AD$103="Catastrófico"),CONCATENATE("R33C",'Mapa final'!$R$103),"")</f>
        <v/>
      </c>
      <c r="W88" s="44" t="str">
        <f>IF(AND('Mapa final'!$AB$104="Alta",'Mapa final'!$AD$104="Catastrófico"),CONCATENATE("R33C",'Mapa final'!$R$104),"")</f>
        <v/>
      </c>
      <c r="X88" s="100" t="str">
        <f>IF(AND('Mapa final'!$AB$105="Alta",'Mapa final'!$AD$105="Catastrófico"),CONCATENATE("R33C",'Mapa final'!$R$105),"")</f>
        <v/>
      </c>
      <c r="Y88" s="56"/>
      <c r="Z88" s="296"/>
      <c r="AA88" s="297"/>
      <c r="AB88" s="297"/>
      <c r="AC88" s="297"/>
      <c r="AD88" s="297"/>
      <c r="AE88" s="298"/>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row>
    <row r="89" spans="1:61" ht="15" customHeight="1" x14ac:dyDescent="0.35">
      <c r="A89" s="56"/>
      <c r="B89" s="311"/>
      <c r="C89" s="311"/>
      <c r="D89" s="312"/>
      <c r="E89" s="288"/>
      <c r="F89" s="301"/>
      <c r="G89" s="301"/>
      <c r="H89" s="301"/>
      <c r="I89" s="283"/>
      <c r="J89" s="49" t="str">
        <f>IF(AND('Mapa final'!$AB$106="Alta",'Mapa final'!$AD$106="Leve"),CONCATENATE("R34C",'Mapa final'!$R$106),"")</f>
        <v/>
      </c>
      <c r="K89" s="50" t="str">
        <f>IF(AND('Mapa final'!$AB$107="Alta",'Mapa final'!$AD$107="Leve"),CONCATENATE("R34C",'Mapa final'!$R$107),"")</f>
        <v/>
      </c>
      <c r="L89" s="111" t="str">
        <f>IF(AND('Mapa final'!$AB$108="Alta",'Mapa final'!$AD$108="Leve"),CONCATENATE("R34C",'Mapa final'!$R$108),"")</f>
        <v/>
      </c>
      <c r="M89" s="49" t="str">
        <f>IF(AND('Mapa final'!$AB$106="Alta",'Mapa final'!$AD$106="Menor"),CONCATENATE("R34C",'Mapa final'!$R$106),"")</f>
        <v/>
      </c>
      <c r="N89" s="50" t="str">
        <f>IF(AND('Mapa final'!$AB$107="Alta",'Mapa final'!$AD$107="Menor"),CONCATENATE("R34C",'Mapa final'!$R$107),"")</f>
        <v/>
      </c>
      <c r="O89" s="111" t="str">
        <f>IF(AND('Mapa final'!$AB$108="Alta",'Mapa final'!$AD$108="Menor"),CONCATENATE("R34C",'Mapa final'!$R$108),"")</f>
        <v/>
      </c>
      <c r="P89" s="105" t="str">
        <f>IF(AND('Mapa final'!$AB$106="Alta",'Mapa final'!$AD$106="Moderado"),CONCATENATE("R34C",'Mapa final'!$R$106),"")</f>
        <v/>
      </c>
      <c r="Q89" s="42" t="str">
        <f>IF(AND('Mapa final'!$AB$107="Alta",'Mapa final'!$AD$107="Moderado"),CONCATENATE("R34C",'Mapa final'!$R$107),"")</f>
        <v/>
      </c>
      <c r="R89" s="106" t="str">
        <f>IF(AND('Mapa final'!$AB$108="Alta",'Mapa final'!$AD$108="Moderado"),CONCATENATE("R34C",'Mapa final'!$R$108),"")</f>
        <v/>
      </c>
      <c r="S89" s="105" t="str">
        <f>IF(AND('Mapa final'!$AB$106="Alta",'Mapa final'!$AD$106="Mayor"),CONCATENATE("R34C",'Mapa final'!$R$106),"")</f>
        <v/>
      </c>
      <c r="T89" s="42" t="str">
        <f>IF(AND('Mapa final'!$AB$107="Alta",'Mapa final'!$AD$107="Mayor"),CONCATENATE("R34C",'Mapa final'!$R$107),"")</f>
        <v/>
      </c>
      <c r="U89" s="106" t="str">
        <f>IF(AND('Mapa final'!$AB$108="Alta",'Mapa final'!$AD$108="Mayor"),CONCATENATE("R34C",'Mapa final'!$R$108),"")</f>
        <v/>
      </c>
      <c r="V89" s="43" t="str">
        <f>IF(AND('Mapa final'!$AB$106="Alta",'Mapa final'!$AD$106="Catastrófico"),CONCATENATE("R34C",'Mapa final'!$R$106),"")</f>
        <v/>
      </c>
      <c r="W89" s="44" t="str">
        <f>IF(AND('Mapa final'!$AB$107="Alta",'Mapa final'!$AD$107="Catastrófico"),CONCATENATE("R34C",'Mapa final'!$R$107),"")</f>
        <v/>
      </c>
      <c r="X89" s="100" t="str">
        <f>IF(AND('Mapa final'!$AB$108="Alta",'Mapa final'!$AD$108="Catastrófico"),CONCATENATE("R34C",'Mapa final'!$R$108),"")</f>
        <v/>
      </c>
      <c r="Y89" s="56"/>
      <c r="Z89" s="296"/>
      <c r="AA89" s="297"/>
      <c r="AB89" s="297"/>
      <c r="AC89" s="297"/>
      <c r="AD89" s="297"/>
      <c r="AE89" s="298"/>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row>
    <row r="90" spans="1:61" ht="15" customHeight="1" x14ac:dyDescent="0.35">
      <c r="A90" s="56"/>
      <c r="B90" s="311"/>
      <c r="C90" s="311"/>
      <c r="D90" s="312"/>
      <c r="E90" s="288"/>
      <c r="F90" s="301"/>
      <c r="G90" s="301"/>
      <c r="H90" s="301"/>
      <c r="I90" s="283"/>
      <c r="J90" s="49" t="str">
        <f>IF(AND('Mapa final'!$AB$109="Alta",'Mapa final'!$AD$109="Leve"),CONCATENATE("R35C",'Mapa final'!$R$109),"")</f>
        <v/>
      </c>
      <c r="K90" s="50" t="str">
        <f>IF(AND('Mapa final'!$AB$110="Alta",'Mapa final'!$AD$110="Leve"),CONCATENATE("R35C",'Mapa final'!$R$110),"")</f>
        <v/>
      </c>
      <c r="L90" s="111" t="str">
        <f>IF(AND('Mapa final'!$AB$111="Alta",'Mapa final'!$AD$111="Leve"),CONCATENATE("R35C",'Mapa final'!$R$111),"")</f>
        <v/>
      </c>
      <c r="M90" s="49" t="str">
        <f>IF(AND('Mapa final'!$AB$109="Alta",'Mapa final'!$AD$109="Menor"),CONCATENATE("R35C",'Mapa final'!$R$109),"")</f>
        <v/>
      </c>
      <c r="N90" s="50" t="str">
        <f>IF(AND('Mapa final'!$AB$110="Alta",'Mapa final'!$AD$110="Menor"),CONCATENATE("R35C",'Mapa final'!$R$110),"")</f>
        <v/>
      </c>
      <c r="O90" s="111" t="str">
        <f>IF(AND('Mapa final'!$AB$111="Alta",'Mapa final'!$AD$111="Menor"),CONCATENATE("R35C",'Mapa final'!$R$111),"")</f>
        <v/>
      </c>
      <c r="P90" s="105" t="str">
        <f>IF(AND('Mapa final'!$AB$109="Alta",'Mapa final'!$AD$109="Moderado"),CONCATENATE("R35C",'Mapa final'!$R$109),"")</f>
        <v/>
      </c>
      <c r="Q90" s="42" t="str">
        <f>IF(AND('Mapa final'!$AB$110="Alta",'Mapa final'!$AD$110="Moderado"),CONCATENATE("R35C",'Mapa final'!$R$110),"")</f>
        <v/>
      </c>
      <c r="R90" s="106" t="str">
        <f>IF(AND('Mapa final'!$AB$111="Alta",'Mapa final'!$AD$111="Moderado"),CONCATENATE("R35C",'Mapa final'!$R$111),"")</f>
        <v/>
      </c>
      <c r="S90" s="105" t="str">
        <f>IF(AND('Mapa final'!$AB$109="Alta",'Mapa final'!$AD$109="Mayor"),CONCATENATE("R35C",'Mapa final'!$R$109),"")</f>
        <v/>
      </c>
      <c r="T90" s="42" t="str">
        <f>IF(AND('Mapa final'!$AB$110="Alta",'Mapa final'!$AD$110="Mayor"),CONCATENATE("R35C",'Mapa final'!$R$110),"")</f>
        <v/>
      </c>
      <c r="U90" s="106" t="str">
        <f>IF(AND('Mapa final'!$AB$111="Alta",'Mapa final'!$AD$111="Mayor"),CONCATENATE("R35C",'Mapa final'!$R$111),"")</f>
        <v/>
      </c>
      <c r="V90" s="43" t="str">
        <f>IF(AND('Mapa final'!$AB$109="Alta",'Mapa final'!$AD$109="Catastrófico"),CONCATENATE("R35C",'Mapa final'!$R$109),"")</f>
        <v/>
      </c>
      <c r="W90" s="44" t="str">
        <f>IF(AND('Mapa final'!$AB$110="Alta",'Mapa final'!$AD$110="Catastrófico"),CONCATENATE("R35C",'Mapa final'!$R$110),"")</f>
        <v/>
      </c>
      <c r="X90" s="100" t="str">
        <f>IF(AND('Mapa final'!$AB$111="Alta",'Mapa final'!$AD$111="Catastrófico"),CONCATENATE("R35C",'Mapa final'!$R$111),"")</f>
        <v/>
      </c>
      <c r="Y90" s="56"/>
      <c r="Z90" s="296"/>
      <c r="AA90" s="297"/>
      <c r="AB90" s="297"/>
      <c r="AC90" s="297"/>
      <c r="AD90" s="297"/>
      <c r="AE90" s="298"/>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row>
    <row r="91" spans="1:61" ht="15" customHeight="1" x14ac:dyDescent="0.35">
      <c r="A91" s="56"/>
      <c r="B91" s="311"/>
      <c r="C91" s="311"/>
      <c r="D91" s="312"/>
      <c r="E91" s="288"/>
      <c r="F91" s="301"/>
      <c r="G91" s="301"/>
      <c r="H91" s="301"/>
      <c r="I91" s="283"/>
      <c r="J91" s="49" t="str">
        <f>IF(AND('Mapa final'!$AB$112="Alta",'Mapa final'!$AD$112="Leve"),CONCATENATE("R36C",'Mapa final'!$R$112),"")</f>
        <v/>
      </c>
      <c r="K91" s="50" t="str">
        <f>IF(AND('Mapa final'!$AB$113="Alta",'Mapa final'!$AD$113="Leve"),CONCATENATE("R36C",'Mapa final'!$R$113),"")</f>
        <v/>
      </c>
      <c r="L91" s="111" t="str">
        <f>IF(AND('Mapa final'!$AB$114="Alta",'Mapa final'!$AD$114="Leve"),CONCATENATE("R36C",'Mapa final'!$R$114),"")</f>
        <v/>
      </c>
      <c r="M91" s="49" t="str">
        <f>IF(AND('Mapa final'!$AB$112="Alta",'Mapa final'!$AD$112="Menor"),CONCATENATE("R36C",'Mapa final'!$R$112),"")</f>
        <v/>
      </c>
      <c r="N91" s="50" t="str">
        <f>IF(AND('Mapa final'!$AB$113="Alta",'Mapa final'!$AD$113="Menor"),CONCATENATE("R36C",'Mapa final'!$R$113),"")</f>
        <v/>
      </c>
      <c r="O91" s="111" t="str">
        <f>IF(AND('Mapa final'!$AB$114="Alta",'Mapa final'!$AD$114="Menor"),CONCATENATE("R36C",'Mapa final'!$R$114),"")</f>
        <v/>
      </c>
      <c r="P91" s="105" t="str">
        <f>IF(AND('Mapa final'!$AB$112="Alta",'Mapa final'!$AD$112="Moderado"),CONCATENATE("R36C",'Mapa final'!$R$112),"")</f>
        <v/>
      </c>
      <c r="Q91" s="42" t="str">
        <f>IF(AND('Mapa final'!$AB$113="Alta",'Mapa final'!$AD$113="Moderado"),CONCATENATE("R36C",'Mapa final'!$R$113),"")</f>
        <v/>
      </c>
      <c r="R91" s="106" t="str">
        <f>IF(AND('Mapa final'!$AB$114="Alta",'Mapa final'!$AD$114="Moderado"),CONCATENATE("R36C",'Mapa final'!$R$114),"")</f>
        <v/>
      </c>
      <c r="S91" s="105" t="str">
        <f>IF(AND('Mapa final'!$AB$112="Alta",'Mapa final'!$AD$112="Mayor"),CONCATENATE("R36C",'Mapa final'!$R$112),"")</f>
        <v/>
      </c>
      <c r="T91" s="42" t="str">
        <f>IF(AND('Mapa final'!$AB$113="Alta",'Mapa final'!$AD$113="Mayor"),CONCATENATE("R36C",'Mapa final'!$R$113),"")</f>
        <v/>
      </c>
      <c r="U91" s="106" t="str">
        <f>IF(AND('Mapa final'!$AB$114="Alta",'Mapa final'!$AD$114="Mayor"),CONCATENATE("R36C",'Mapa final'!$R$114),"")</f>
        <v/>
      </c>
      <c r="V91" s="43" t="str">
        <f>IF(AND('Mapa final'!$AB$112="Alta",'Mapa final'!$AD$112="Catastrófico"),CONCATENATE("R36C",'Mapa final'!$R$112),"")</f>
        <v/>
      </c>
      <c r="W91" s="44" t="str">
        <f>IF(AND('Mapa final'!$AB$113="Alta",'Mapa final'!$AD$113="Catastrófico"),CONCATENATE("R36C",'Mapa final'!$R$113),"")</f>
        <v/>
      </c>
      <c r="X91" s="100" t="str">
        <f>IF(AND('Mapa final'!$AB$114="Alta",'Mapa final'!$AD$114="Catastrófico"),CONCATENATE("R36C",'Mapa final'!$R$114),"")</f>
        <v/>
      </c>
      <c r="Y91" s="56"/>
      <c r="Z91" s="296"/>
      <c r="AA91" s="297"/>
      <c r="AB91" s="297"/>
      <c r="AC91" s="297"/>
      <c r="AD91" s="297"/>
      <c r="AE91" s="298"/>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row>
    <row r="92" spans="1:61" ht="15" customHeight="1" x14ac:dyDescent="0.35">
      <c r="A92" s="56"/>
      <c r="B92" s="311"/>
      <c r="C92" s="311"/>
      <c r="D92" s="312"/>
      <c r="E92" s="288"/>
      <c r="F92" s="301"/>
      <c r="G92" s="301"/>
      <c r="H92" s="301"/>
      <c r="I92" s="283"/>
      <c r="J92" s="49" t="str">
        <f>IF(AND('Mapa final'!$AB$115="Alta",'Mapa final'!$AD$115="Leve"),CONCATENATE("R37C",'Mapa final'!$R$115),"")</f>
        <v/>
      </c>
      <c r="K92" s="50" t="str">
        <f>IF(AND('Mapa final'!$AB$116="Alta",'Mapa final'!$AD$116="Leve"),CONCATENATE("R37C",'Mapa final'!$R$116),"")</f>
        <v/>
      </c>
      <c r="L92" s="111" t="str">
        <f>IF(AND('Mapa final'!$AB$117="Alta",'Mapa final'!$AD$117="Leve"),CONCATENATE("R37C",'Mapa final'!$R$117),"")</f>
        <v/>
      </c>
      <c r="M92" s="49" t="str">
        <f>IF(AND('Mapa final'!$AB$115="Alta",'Mapa final'!$AD$115="Menor"),CONCATENATE("R37C",'Mapa final'!$R$115),"")</f>
        <v/>
      </c>
      <c r="N92" s="50" t="str">
        <f>IF(AND('Mapa final'!$AB$116="Alta",'Mapa final'!$AD$116="Menor"),CONCATENATE("R37C",'Mapa final'!$R$116),"")</f>
        <v/>
      </c>
      <c r="O92" s="111" t="str">
        <f>IF(AND('Mapa final'!$AB$117="Alta",'Mapa final'!$AD$117="Menor"),CONCATENATE("R37C",'Mapa final'!$R$117),"")</f>
        <v/>
      </c>
      <c r="P92" s="105" t="str">
        <f>IF(AND('Mapa final'!$AB$115="Alta",'Mapa final'!$AD$115="Moderado"),CONCATENATE("R37C",'Mapa final'!$R$115),"")</f>
        <v/>
      </c>
      <c r="Q92" s="42" t="str">
        <f>IF(AND('Mapa final'!$AB$116="Alta",'Mapa final'!$AD$116="Moderado"),CONCATENATE("R37C",'Mapa final'!$R$116),"")</f>
        <v/>
      </c>
      <c r="R92" s="106" t="str">
        <f>IF(AND('Mapa final'!$AB$117="Alta",'Mapa final'!$AD$117="Moderado"),CONCATENATE("R37C",'Mapa final'!$R$117),"")</f>
        <v/>
      </c>
      <c r="S92" s="105" t="str">
        <f>IF(AND('Mapa final'!$AB$115="Alta",'Mapa final'!$AD$115="Mayor"),CONCATENATE("R37C",'Mapa final'!$R$115),"")</f>
        <v/>
      </c>
      <c r="T92" s="42" t="str">
        <f>IF(AND('Mapa final'!$AB$116="Alta",'Mapa final'!$AD$116="Mayor"),CONCATENATE("R37C",'Mapa final'!$R$116),"")</f>
        <v/>
      </c>
      <c r="U92" s="106" t="str">
        <f>IF(AND('Mapa final'!$AB$117="Alta",'Mapa final'!$AD$117="Mayor"),CONCATENATE("R37C",'Mapa final'!$R$117),"")</f>
        <v/>
      </c>
      <c r="V92" s="43" t="str">
        <f>IF(AND('Mapa final'!$AB$115="Alta",'Mapa final'!$AD$115="Catastrófico"),CONCATENATE("R37C",'Mapa final'!$R$115),"")</f>
        <v/>
      </c>
      <c r="W92" s="44" t="str">
        <f>IF(AND('Mapa final'!$AB$116="Alta",'Mapa final'!$AD$116="Catastrófico"),CONCATENATE("R37C",'Mapa final'!$R$116),"")</f>
        <v/>
      </c>
      <c r="X92" s="100" t="str">
        <f>IF(AND('Mapa final'!$AB$117="Alta",'Mapa final'!$AD$117="Catastrófico"),CONCATENATE("R37C",'Mapa final'!$R$117),"")</f>
        <v/>
      </c>
      <c r="Y92" s="56"/>
      <c r="Z92" s="296"/>
      <c r="AA92" s="297"/>
      <c r="AB92" s="297"/>
      <c r="AC92" s="297"/>
      <c r="AD92" s="297"/>
      <c r="AE92" s="298"/>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row>
    <row r="93" spans="1:61" ht="15" customHeight="1" x14ac:dyDescent="0.35">
      <c r="A93" s="56"/>
      <c r="B93" s="311"/>
      <c r="C93" s="311"/>
      <c r="D93" s="312"/>
      <c r="E93" s="288"/>
      <c r="F93" s="301"/>
      <c r="G93" s="301"/>
      <c r="H93" s="301"/>
      <c r="I93" s="283"/>
      <c r="J93" s="49" t="str">
        <f>IF(AND('Mapa final'!$AB$118="Alta",'Mapa final'!$AD$118="Leve"),CONCATENATE("R38C",'Mapa final'!$R$118),"")</f>
        <v/>
      </c>
      <c r="K93" s="50" t="str">
        <f>IF(AND('Mapa final'!$AB$119="Alta",'Mapa final'!$AD$119="Leve"),CONCATENATE("R38C",'Mapa final'!$R$119),"")</f>
        <v/>
      </c>
      <c r="L93" s="111" t="str">
        <f>IF(AND('Mapa final'!$AB$120="Alta",'Mapa final'!$AD$120="Leve"),CONCATENATE("R38C",'Mapa final'!$R$120),"")</f>
        <v/>
      </c>
      <c r="M93" s="49" t="str">
        <f>IF(AND('Mapa final'!$AB$118="Alta",'Mapa final'!$AD$118="Menor"),CONCATENATE("R38C",'Mapa final'!$R$118),"")</f>
        <v/>
      </c>
      <c r="N93" s="50" t="str">
        <f>IF(AND('Mapa final'!$AB$119="Alta",'Mapa final'!$AD$119="Menor"),CONCATENATE("R38C",'Mapa final'!$R$119),"")</f>
        <v/>
      </c>
      <c r="O93" s="111" t="str">
        <f>IF(AND('Mapa final'!$AB$120="Alta",'Mapa final'!$AD$120="Menor"),CONCATENATE("R38C",'Mapa final'!$R$120),"")</f>
        <v/>
      </c>
      <c r="P93" s="105" t="str">
        <f>IF(AND('Mapa final'!$AB$118="Alta",'Mapa final'!$AD$118="Moderado"),CONCATENATE("R38C",'Mapa final'!$R$118),"")</f>
        <v/>
      </c>
      <c r="Q93" s="42" t="str">
        <f>IF(AND('Mapa final'!$AB$119="Alta",'Mapa final'!$AD$119="Moderado"),CONCATENATE("R38C",'Mapa final'!$R$119),"")</f>
        <v/>
      </c>
      <c r="R93" s="106" t="str">
        <f>IF(AND('Mapa final'!$AB$120="Alta",'Mapa final'!$AD$120="Moderado"),CONCATENATE("R38C",'Mapa final'!$R$120),"")</f>
        <v/>
      </c>
      <c r="S93" s="105" t="str">
        <f>IF(AND('Mapa final'!$AB$118="Alta",'Mapa final'!$AD$118="Mayor"),CONCATENATE("R38C",'Mapa final'!$R$118),"")</f>
        <v/>
      </c>
      <c r="T93" s="42" t="str">
        <f>IF(AND('Mapa final'!$AB$119="Alta",'Mapa final'!$AD$119="Mayor"),CONCATENATE("R38C",'Mapa final'!$R$119),"")</f>
        <v/>
      </c>
      <c r="U93" s="106" t="str">
        <f>IF(AND('Mapa final'!$AB$120="Alta",'Mapa final'!$AD$120="Mayor"),CONCATENATE("R38C",'Mapa final'!$R$120),"")</f>
        <v/>
      </c>
      <c r="V93" s="43" t="str">
        <f>IF(AND('Mapa final'!$AB$118="Alta",'Mapa final'!$AD$118="Catastrófico"),CONCATENATE("R38C",'Mapa final'!$R$118),"")</f>
        <v/>
      </c>
      <c r="W93" s="44" t="str">
        <f>IF(AND('Mapa final'!$AB$119="Alta",'Mapa final'!$AD$119="Catastrófico"),CONCATENATE("R38C",'Mapa final'!$R$119),"")</f>
        <v/>
      </c>
      <c r="X93" s="100" t="str">
        <f>IF(AND('Mapa final'!$AB$120="Alta",'Mapa final'!$AD$120="Catastrófico"),CONCATENATE("R38C",'Mapa final'!$R$120),"")</f>
        <v/>
      </c>
      <c r="Y93" s="56"/>
      <c r="Z93" s="296"/>
      <c r="AA93" s="297"/>
      <c r="AB93" s="297"/>
      <c r="AC93" s="297"/>
      <c r="AD93" s="297"/>
      <c r="AE93" s="298"/>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row>
    <row r="94" spans="1:61" ht="15" customHeight="1" x14ac:dyDescent="0.35">
      <c r="A94" s="56"/>
      <c r="B94" s="311"/>
      <c r="C94" s="311"/>
      <c r="D94" s="312"/>
      <c r="E94" s="288"/>
      <c r="F94" s="301"/>
      <c r="G94" s="301"/>
      <c r="H94" s="301"/>
      <c r="I94" s="283"/>
      <c r="J94" s="49" t="str">
        <f>IF(AND('Mapa final'!$AB$121="Alta",'Mapa final'!$AD$121="Leve"),CONCATENATE("R39C",'Mapa final'!$R$121),"")</f>
        <v/>
      </c>
      <c r="K94" s="50" t="str">
        <f>IF(AND('Mapa final'!$AB$122="Alta",'Mapa final'!$AD$122="Leve"),CONCATENATE("R39C",'Mapa final'!$R$122),"")</f>
        <v/>
      </c>
      <c r="L94" s="111" t="str">
        <f>IF(AND('Mapa final'!$AB$123="Alta",'Mapa final'!$AD$123="Leve"),CONCATENATE("R39C",'Mapa final'!$R$123),"")</f>
        <v/>
      </c>
      <c r="M94" s="49" t="str">
        <f>IF(AND('Mapa final'!$AB$121="Alta",'Mapa final'!$AD$121="Menor"),CONCATENATE("R39C",'Mapa final'!$R$121),"")</f>
        <v/>
      </c>
      <c r="N94" s="50" t="str">
        <f>IF(AND('Mapa final'!$AB$122="Alta",'Mapa final'!$AD$122="Menor"),CONCATENATE("R39C",'Mapa final'!$R$122),"")</f>
        <v/>
      </c>
      <c r="O94" s="111" t="str">
        <f>IF(AND('Mapa final'!$AB$123="Alta",'Mapa final'!$AD$123="Menor"),CONCATENATE("R39C",'Mapa final'!$R$123),"")</f>
        <v/>
      </c>
      <c r="P94" s="105" t="str">
        <f>IF(AND('Mapa final'!$AB$121="Alta",'Mapa final'!$AD$121="Moderado"),CONCATENATE("R39C",'Mapa final'!$R$121),"")</f>
        <v/>
      </c>
      <c r="Q94" s="42" t="str">
        <f>IF(AND('Mapa final'!$AB$122="Alta",'Mapa final'!$AD$122="Moderado"),CONCATENATE("R39C",'Mapa final'!$R$122),"")</f>
        <v/>
      </c>
      <c r="R94" s="106" t="str">
        <f>IF(AND('Mapa final'!$AB$123="Alta",'Mapa final'!$AD$123="Moderado"),CONCATENATE("R39C",'Mapa final'!$R$123),"")</f>
        <v/>
      </c>
      <c r="S94" s="105" t="str">
        <f>IF(AND('Mapa final'!$AB$121="Alta",'Mapa final'!$AD$121="Mayor"),CONCATENATE("R39C",'Mapa final'!$R$121),"")</f>
        <v/>
      </c>
      <c r="T94" s="42" t="str">
        <f>IF(AND('Mapa final'!$AB$122="Alta",'Mapa final'!$AD$122="Mayor"),CONCATENATE("R39C",'Mapa final'!$R$122),"")</f>
        <v/>
      </c>
      <c r="U94" s="106" t="str">
        <f>IF(AND('Mapa final'!$AB$123="Alta",'Mapa final'!$AD$123="Mayor"),CONCATENATE("R39C",'Mapa final'!$R$123),"")</f>
        <v/>
      </c>
      <c r="V94" s="43" t="str">
        <f>IF(AND('Mapa final'!$AB$121="Alta",'Mapa final'!$AD$121="Catastrófico"),CONCATENATE("R39C",'Mapa final'!$R$121),"")</f>
        <v/>
      </c>
      <c r="W94" s="44" t="str">
        <f>IF(AND('Mapa final'!$AB$122="Alta",'Mapa final'!$AD$122="Catastrófico"),CONCATENATE("R39C",'Mapa final'!$R$122),"")</f>
        <v/>
      </c>
      <c r="X94" s="100" t="str">
        <f>IF(AND('Mapa final'!$AB$123="Alta",'Mapa final'!$AD$123="Catastrófico"),CONCATENATE("R39C",'Mapa final'!$R$123),"")</f>
        <v/>
      </c>
      <c r="Y94" s="56"/>
      <c r="Z94" s="296"/>
      <c r="AA94" s="297"/>
      <c r="AB94" s="297"/>
      <c r="AC94" s="297"/>
      <c r="AD94" s="297"/>
      <c r="AE94" s="298"/>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row>
    <row r="95" spans="1:61" ht="15" customHeight="1" x14ac:dyDescent="0.35">
      <c r="A95" s="56"/>
      <c r="B95" s="311"/>
      <c r="C95" s="311"/>
      <c r="D95" s="312"/>
      <c r="E95" s="288"/>
      <c r="F95" s="301"/>
      <c r="G95" s="301"/>
      <c r="H95" s="301"/>
      <c r="I95" s="283"/>
      <c r="J95" s="49" t="str">
        <f>IF(AND('Mapa final'!$AB$124="Alta",'Mapa final'!$AD$124="Leve"),CONCATENATE("R40C",'Mapa final'!$R$124),"")</f>
        <v/>
      </c>
      <c r="K95" s="50" t="str">
        <f>IF(AND('Mapa final'!$AB$125="Alta",'Mapa final'!$AD$125="Leve"),CONCATENATE("R40C",'Mapa final'!$R$125),"")</f>
        <v/>
      </c>
      <c r="L95" s="111" t="str">
        <f>IF(AND('Mapa final'!$AB$126="Alta",'Mapa final'!$AD$126="Leve"),CONCATENATE("R40C",'Mapa final'!$R$126),"")</f>
        <v/>
      </c>
      <c r="M95" s="49" t="str">
        <f>IF(AND('Mapa final'!$AB$124="Alta",'Mapa final'!$AD$124="Menor"),CONCATENATE("R40C",'Mapa final'!$R$124),"")</f>
        <v/>
      </c>
      <c r="N95" s="50" t="str">
        <f>IF(AND('Mapa final'!$AB$125="Alta",'Mapa final'!$AD$125="Menor"),CONCATENATE("R40C",'Mapa final'!$R$125),"")</f>
        <v/>
      </c>
      <c r="O95" s="111" t="str">
        <f>IF(AND('Mapa final'!$AB$126="Alta",'Mapa final'!$AD$126="Menor"),CONCATENATE("R40C",'Mapa final'!$R$126),"")</f>
        <v/>
      </c>
      <c r="P95" s="105" t="str">
        <f>IF(AND('Mapa final'!$AB$124="Alta",'Mapa final'!$AD$124="Moderado"),CONCATENATE("R40C",'Mapa final'!$R$124),"")</f>
        <v/>
      </c>
      <c r="Q95" s="42" t="str">
        <f>IF(AND('Mapa final'!$AB$125="Alta",'Mapa final'!$AD$125="Moderado"),CONCATENATE("R40C",'Mapa final'!$R$125),"")</f>
        <v/>
      </c>
      <c r="R95" s="106" t="str">
        <f>IF(AND('Mapa final'!$AB$126="Alta",'Mapa final'!$AD$126="Moderado"),CONCATENATE("R40C",'Mapa final'!$R$126),"")</f>
        <v/>
      </c>
      <c r="S95" s="105" t="str">
        <f>IF(AND('Mapa final'!$AB$124="Alta",'Mapa final'!$AD$124="Mayor"),CONCATENATE("R40C",'Mapa final'!$R$124),"")</f>
        <v/>
      </c>
      <c r="T95" s="42" t="str">
        <f>IF(AND('Mapa final'!$AB$125="Alta",'Mapa final'!$AD$125="Mayor"),CONCATENATE("R40C",'Mapa final'!$R$125),"")</f>
        <v/>
      </c>
      <c r="U95" s="106" t="str">
        <f>IF(AND('Mapa final'!$AB$126="Alta",'Mapa final'!$AD$126="Mayor"),CONCATENATE("R40C",'Mapa final'!$R$126),"")</f>
        <v/>
      </c>
      <c r="V95" s="43" t="str">
        <f>IF(AND('Mapa final'!$AB$124="Alta",'Mapa final'!$AD$124="Catastrófico"),CONCATENATE("R40C",'Mapa final'!$R$124),"")</f>
        <v/>
      </c>
      <c r="W95" s="44" t="str">
        <f>IF(AND('Mapa final'!$AB$125="Alta",'Mapa final'!$AD$125="Catastrófico"),CONCATENATE("R40C",'Mapa final'!$R$125),"")</f>
        <v/>
      </c>
      <c r="X95" s="100" t="str">
        <f>IF(AND('Mapa final'!$AB$126="Alta",'Mapa final'!$AD$126="Catastrófico"),CONCATENATE("R40C",'Mapa final'!$R$126),"")</f>
        <v/>
      </c>
      <c r="Y95" s="56"/>
      <c r="Z95" s="296"/>
      <c r="AA95" s="297"/>
      <c r="AB95" s="297"/>
      <c r="AC95" s="297"/>
      <c r="AD95" s="297"/>
      <c r="AE95" s="298"/>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row>
    <row r="96" spans="1:61" ht="15" customHeight="1" x14ac:dyDescent="0.35">
      <c r="A96" s="56"/>
      <c r="B96" s="311"/>
      <c r="C96" s="311"/>
      <c r="D96" s="312"/>
      <c r="E96" s="288"/>
      <c r="F96" s="301"/>
      <c r="G96" s="301"/>
      <c r="H96" s="301"/>
      <c r="I96" s="283"/>
      <c r="J96" s="49" t="str">
        <f>IF(AND('Mapa final'!$AB$127="Alta",'Mapa final'!$AD$127="Leve"),CONCATENATE("R41C",'Mapa final'!$R$127),"")</f>
        <v/>
      </c>
      <c r="K96" s="50" t="str">
        <f>IF(AND('Mapa final'!$AB$128="Alta",'Mapa final'!$AD$128="Leve"),CONCATENATE("R41C",'Mapa final'!$R$128),"")</f>
        <v/>
      </c>
      <c r="L96" s="111" t="str">
        <f>IF(AND('Mapa final'!$AB$129="Alta",'Mapa final'!$AD$129="Leve"),CONCATENATE("R41C",'Mapa final'!$R$129),"")</f>
        <v/>
      </c>
      <c r="M96" s="49" t="str">
        <f>IF(AND('Mapa final'!$AB$127="Alta",'Mapa final'!$AD$127="Menor"),CONCATENATE("R41C",'Mapa final'!$R$127),"")</f>
        <v/>
      </c>
      <c r="N96" s="50" t="str">
        <f>IF(AND('Mapa final'!$AB$128="Alta",'Mapa final'!$AD$128="Menor"),CONCATENATE("R41C",'Mapa final'!$R$128),"")</f>
        <v/>
      </c>
      <c r="O96" s="111" t="str">
        <f>IF(AND('Mapa final'!$AB$129="Alta",'Mapa final'!$AD$129="Menor"),CONCATENATE("R41C",'Mapa final'!$R$129),"")</f>
        <v/>
      </c>
      <c r="P96" s="105" t="str">
        <f>IF(AND('Mapa final'!$AB$127="Alta",'Mapa final'!$AD$127="Moderado"),CONCATENATE("R41C",'Mapa final'!$R$127),"")</f>
        <v/>
      </c>
      <c r="Q96" s="42" t="str">
        <f>IF(AND('Mapa final'!$AB$128="Alta",'Mapa final'!$AD$128="Moderado"),CONCATENATE("R41C",'Mapa final'!$R$128),"")</f>
        <v/>
      </c>
      <c r="R96" s="106" t="str">
        <f>IF(AND('Mapa final'!$AB$129="Alta",'Mapa final'!$AD$129="Moderado"),CONCATENATE("R41C",'Mapa final'!$R$129),"")</f>
        <v/>
      </c>
      <c r="S96" s="105" t="str">
        <f>IF(AND('Mapa final'!$AB$127="Alta",'Mapa final'!$AD$127="Mayor"),CONCATENATE("R41C",'Mapa final'!$R$127),"")</f>
        <v/>
      </c>
      <c r="T96" s="42" t="str">
        <f>IF(AND('Mapa final'!$AB$128="Alta",'Mapa final'!$AD$128="Mayor"),CONCATENATE("R41C",'Mapa final'!$R$128),"")</f>
        <v/>
      </c>
      <c r="U96" s="106" t="str">
        <f>IF(AND('Mapa final'!$AB$129="Alta",'Mapa final'!$AD$129="Mayor"),CONCATENATE("R41C",'Mapa final'!$R$129),"")</f>
        <v/>
      </c>
      <c r="V96" s="43" t="str">
        <f>IF(AND('Mapa final'!$AB$127="Alta",'Mapa final'!$AD$127="Catastrófico"),CONCATENATE("R41C",'Mapa final'!$R$127),"")</f>
        <v/>
      </c>
      <c r="W96" s="44" t="str">
        <f>IF(AND('Mapa final'!$AB$128="Alta",'Mapa final'!$AD$128="Catastrófico"),CONCATENATE("R41C",'Mapa final'!$R$128),"")</f>
        <v/>
      </c>
      <c r="X96" s="100" t="str">
        <f>IF(AND('Mapa final'!$AB$129="Alta",'Mapa final'!$AD$129="Catastrófico"),CONCATENATE("R41C",'Mapa final'!$R$129),"")</f>
        <v/>
      </c>
      <c r="Y96" s="56"/>
      <c r="Z96" s="296"/>
      <c r="AA96" s="297"/>
      <c r="AB96" s="297"/>
      <c r="AC96" s="297"/>
      <c r="AD96" s="297"/>
      <c r="AE96" s="298"/>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row>
    <row r="97" spans="1:61" ht="15" customHeight="1" x14ac:dyDescent="0.35">
      <c r="A97" s="56"/>
      <c r="B97" s="311"/>
      <c r="C97" s="311"/>
      <c r="D97" s="312"/>
      <c r="E97" s="288"/>
      <c r="F97" s="301"/>
      <c r="G97" s="301"/>
      <c r="H97" s="301"/>
      <c r="I97" s="283"/>
      <c r="J97" s="49" t="str">
        <f>IF(AND('Mapa final'!$AB$130="Alta",'Mapa final'!$AD$130="Leve"),CONCATENATE("R42C",'Mapa final'!$R$130),"")</f>
        <v/>
      </c>
      <c r="K97" s="50" t="str">
        <f>IF(AND('Mapa final'!$AB$131="Alta",'Mapa final'!$AD$131="Leve"),CONCATENATE("R42C",'Mapa final'!$R$131),"")</f>
        <v/>
      </c>
      <c r="L97" s="111" t="str">
        <f>IF(AND('Mapa final'!$AB$132="Alta",'Mapa final'!$AD$132="Leve"),CONCATENATE("R42C",'Mapa final'!$R$132),"")</f>
        <v/>
      </c>
      <c r="M97" s="49" t="str">
        <f>IF(AND('Mapa final'!$AB$130="Alta",'Mapa final'!$AD$130="Menor"),CONCATENATE("R42C",'Mapa final'!$R$130),"")</f>
        <v/>
      </c>
      <c r="N97" s="50" t="str">
        <f>IF(AND('Mapa final'!$AB$131="Alta",'Mapa final'!$AD$131="Menor"),CONCATENATE("R42C",'Mapa final'!$R$131),"")</f>
        <v/>
      </c>
      <c r="O97" s="111" t="str">
        <f>IF(AND('Mapa final'!$AB$132="Alta",'Mapa final'!$AD$132="Menor"),CONCATENATE("R42C",'Mapa final'!$R$132),"")</f>
        <v/>
      </c>
      <c r="P97" s="105" t="str">
        <f>IF(AND('Mapa final'!$AB$130="Alta",'Mapa final'!$AD$130="Moderado"),CONCATENATE("R42C",'Mapa final'!$R$130),"")</f>
        <v/>
      </c>
      <c r="Q97" s="42" t="str">
        <f>IF(AND('Mapa final'!$AB$131="Alta",'Mapa final'!$AD$131="Moderado"),CONCATENATE("R42C",'Mapa final'!$R$131),"")</f>
        <v/>
      </c>
      <c r="R97" s="106" t="str">
        <f>IF(AND('Mapa final'!$AB$132="Alta",'Mapa final'!$AD$132="Moderado"),CONCATENATE("R42C",'Mapa final'!$R$132),"")</f>
        <v/>
      </c>
      <c r="S97" s="105" t="str">
        <f>IF(AND('Mapa final'!$AB$130="Alta",'Mapa final'!$AD$130="Mayor"),CONCATENATE("R42C",'Mapa final'!$R$130),"")</f>
        <v/>
      </c>
      <c r="T97" s="42" t="str">
        <f>IF(AND('Mapa final'!$AB$131="Alta",'Mapa final'!$AD$131="Mayor"),CONCATENATE("R42C",'Mapa final'!$R$131),"")</f>
        <v/>
      </c>
      <c r="U97" s="106" t="str">
        <f>IF(AND('Mapa final'!$AB$132="Alta",'Mapa final'!$AD$132="Mayor"),CONCATENATE("R42C",'Mapa final'!$R$132),"")</f>
        <v/>
      </c>
      <c r="V97" s="43" t="str">
        <f>IF(AND('Mapa final'!$AB$130="Alta",'Mapa final'!$AD$130="Catastrófico"),CONCATENATE("R42C",'Mapa final'!$R$130),"")</f>
        <v/>
      </c>
      <c r="W97" s="44" t="str">
        <f>IF(AND('Mapa final'!$AB$131="Alta",'Mapa final'!$AD$131="Catastrófico"),CONCATENATE("R42C",'Mapa final'!$R$131),"")</f>
        <v/>
      </c>
      <c r="X97" s="100" t="str">
        <f>IF(AND('Mapa final'!$AB$132="Alta",'Mapa final'!$AD$132="Catastrófico"),CONCATENATE("R42C",'Mapa final'!$R$132),"")</f>
        <v/>
      </c>
      <c r="Y97" s="56"/>
      <c r="Z97" s="296"/>
      <c r="AA97" s="297"/>
      <c r="AB97" s="297"/>
      <c r="AC97" s="297"/>
      <c r="AD97" s="297"/>
      <c r="AE97" s="298"/>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row>
    <row r="98" spans="1:61" ht="15" customHeight="1" x14ac:dyDescent="0.35">
      <c r="A98" s="56"/>
      <c r="B98" s="311"/>
      <c r="C98" s="311"/>
      <c r="D98" s="312"/>
      <c r="E98" s="288"/>
      <c r="F98" s="301"/>
      <c r="G98" s="301"/>
      <c r="H98" s="301"/>
      <c r="I98" s="283"/>
      <c r="J98" s="49" t="str">
        <f>IF(AND('Mapa final'!$AB$133="Alta",'Mapa final'!$AD$133="Leve"),CONCATENATE("R43C",'Mapa final'!$R$133),"")</f>
        <v/>
      </c>
      <c r="K98" s="50" t="str">
        <f>IF(AND('Mapa final'!$AB$134="Alta",'Mapa final'!$AD$134="Leve"),CONCATENATE("R43C",'Mapa final'!$R$134),"")</f>
        <v/>
      </c>
      <c r="L98" s="111" t="str">
        <f>IF(AND('Mapa final'!$AB$135="Alta",'Mapa final'!$AD$135="Leve"),CONCATENATE("R43C",'Mapa final'!$R$135),"")</f>
        <v/>
      </c>
      <c r="M98" s="49" t="str">
        <f>IF(AND('Mapa final'!$AB$133="Alta",'Mapa final'!$AD$133="Menor"),CONCATENATE("R43C",'Mapa final'!$R$133),"")</f>
        <v/>
      </c>
      <c r="N98" s="50" t="str">
        <f>IF(AND('Mapa final'!$AB$134="Alta",'Mapa final'!$AD$134="Menor"),CONCATENATE("R43C",'Mapa final'!$R$134),"")</f>
        <v/>
      </c>
      <c r="O98" s="111" t="str">
        <f>IF(AND('Mapa final'!$AB$135="Alta",'Mapa final'!$AD$135="Menor"),CONCATENATE("R43C",'Mapa final'!$R$135),"")</f>
        <v/>
      </c>
      <c r="P98" s="105" t="str">
        <f>IF(AND('Mapa final'!$AB$133="Alta",'Mapa final'!$AD$133="Moderado"),CONCATENATE("R43C",'Mapa final'!$R$133),"")</f>
        <v/>
      </c>
      <c r="Q98" s="42" t="str">
        <f>IF(AND('Mapa final'!$AB$134="Alta",'Mapa final'!$AD$134="Moderado"),CONCATENATE("R43C",'Mapa final'!$R$134),"")</f>
        <v/>
      </c>
      <c r="R98" s="106" t="str">
        <f>IF(AND('Mapa final'!$AB$135="Alta",'Mapa final'!$AD$135="Moderado"),CONCATENATE("R43C",'Mapa final'!$R$135),"")</f>
        <v/>
      </c>
      <c r="S98" s="105" t="str">
        <f>IF(AND('Mapa final'!$AB$133="Alta",'Mapa final'!$AD$133="Mayor"),CONCATENATE("R43C",'Mapa final'!$R$133),"")</f>
        <v/>
      </c>
      <c r="T98" s="42" t="str">
        <f>IF(AND('Mapa final'!$AB$134="Alta",'Mapa final'!$AD$134="Mayor"),CONCATENATE("R43C",'Mapa final'!$R$134),"")</f>
        <v/>
      </c>
      <c r="U98" s="106" t="str">
        <f>IF(AND('Mapa final'!$AB$135="Alta",'Mapa final'!$AD$135="Mayor"),CONCATENATE("R43C",'Mapa final'!$R$135),"")</f>
        <v/>
      </c>
      <c r="V98" s="43" t="str">
        <f>IF(AND('Mapa final'!$AB$133="Alta",'Mapa final'!$AD$133="Catastrófico"),CONCATENATE("R43C",'Mapa final'!$R$133),"")</f>
        <v/>
      </c>
      <c r="W98" s="44" t="str">
        <f>IF(AND('Mapa final'!$AB$134="Alta",'Mapa final'!$AD$134="Catastrófico"),CONCATENATE("R43C",'Mapa final'!$R$134),"")</f>
        <v/>
      </c>
      <c r="X98" s="100" t="str">
        <f>IF(AND('Mapa final'!$AB$135="Alta",'Mapa final'!$AD$135="Catastrófico"),CONCATENATE("R43C",'Mapa final'!$R$135),"")</f>
        <v/>
      </c>
      <c r="Y98" s="56"/>
      <c r="Z98" s="296"/>
      <c r="AA98" s="297"/>
      <c r="AB98" s="297"/>
      <c r="AC98" s="297"/>
      <c r="AD98" s="297"/>
      <c r="AE98" s="298"/>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row>
    <row r="99" spans="1:61" ht="15" customHeight="1" x14ac:dyDescent="0.35">
      <c r="A99" s="56"/>
      <c r="B99" s="311"/>
      <c r="C99" s="311"/>
      <c r="D99" s="312"/>
      <c r="E99" s="288"/>
      <c r="F99" s="301"/>
      <c r="G99" s="301"/>
      <c r="H99" s="301"/>
      <c r="I99" s="283"/>
      <c r="J99" s="49" t="str">
        <f>IF(AND('Mapa final'!$AB$136="Alta",'Mapa final'!$AD$136="Leve"),CONCATENATE("R44C",'Mapa final'!$R$136),"")</f>
        <v/>
      </c>
      <c r="K99" s="50" t="str">
        <f>IF(AND('Mapa final'!$AB$137="Alta",'Mapa final'!$AD$137="Leve"),CONCATENATE("R44C",'Mapa final'!$R$137),"")</f>
        <v/>
      </c>
      <c r="L99" s="111" t="str">
        <f>IF(AND('Mapa final'!$AB$138="Alta",'Mapa final'!$AD$138="Leve"),CONCATENATE("R44C",'Mapa final'!$R$138),"")</f>
        <v/>
      </c>
      <c r="M99" s="49" t="str">
        <f>IF(AND('Mapa final'!$AB$136="Alta",'Mapa final'!$AD$136="Menor"),CONCATENATE("R44C",'Mapa final'!$R$136),"")</f>
        <v/>
      </c>
      <c r="N99" s="50" t="str">
        <f>IF(AND('Mapa final'!$AB$137="Alta",'Mapa final'!$AD$137="Menor"),CONCATENATE("R44C",'Mapa final'!$R$137),"")</f>
        <v/>
      </c>
      <c r="O99" s="111" t="str">
        <f>IF(AND('Mapa final'!$AB$138="Alta",'Mapa final'!$AD$138="Menor"),CONCATENATE("R44C",'Mapa final'!$R$138),"")</f>
        <v/>
      </c>
      <c r="P99" s="105" t="str">
        <f>IF(AND('Mapa final'!$AB$136="Alta",'Mapa final'!$AD$136="Moderado"),CONCATENATE("R44C",'Mapa final'!$R$136),"")</f>
        <v/>
      </c>
      <c r="Q99" s="42" t="str">
        <f>IF(AND('Mapa final'!$AB$137="Alta",'Mapa final'!$AD$137="Moderado"),CONCATENATE("R44C",'Mapa final'!$R$137),"")</f>
        <v/>
      </c>
      <c r="R99" s="106" t="str">
        <f>IF(AND('Mapa final'!$AB$138="Alta",'Mapa final'!$AD$138="Moderado"),CONCATENATE("R44C",'Mapa final'!$R$138),"")</f>
        <v/>
      </c>
      <c r="S99" s="105" t="str">
        <f>IF(AND('Mapa final'!$AB$136="Alta",'Mapa final'!$AD$136="Mayor"),CONCATENATE("R44C",'Mapa final'!$R$136),"")</f>
        <v/>
      </c>
      <c r="T99" s="42" t="str">
        <f>IF(AND('Mapa final'!$AB$137="Alta",'Mapa final'!$AD$137="Mayor"),CONCATENATE("R44C",'Mapa final'!$R$137),"")</f>
        <v/>
      </c>
      <c r="U99" s="106" t="str">
        <f>IF(AND('Mapa final'!$AB$138="Alta",'Mapa final'!$AD$138="Mayor"),CONCATENATE("R44C",'Mapa final'!$R$138),"")</f>
        <v/>
      </c>
      <c r="V99" s="43" t="str">
        <f>IF(AND('Mapa final'!$AB$136="Alta",'Mapa final'!$AD$136="Catastrófico"),CONCATENATE("R44C",'Mapa final'!$R$136),"")</f>
        <v/>
      </c>
      <c r="W99" s="44" t="str">
        <f>IF(AND('Mapa final'!$AB$137="Alta",'Mapa final'!$AD$137="Catastrófico"),CONCATENATE("R44C",'Mapa final'!$R$137),"")</f>
        <v/>
      </c>
      <c r="X99" s="100" t="str">
        <f>IF(AND('Mapa final'!$AB$138="Alta",'Mapa final'!$AD$138="Catastrófico"),CONCATENATE("R44C",'Mapa final'!$R$138),"")</f>
        <v/>
      </c>
      <c r="Y99" s="56"/>
      <c r="Z99" s="296"/>
      <c r="AA99" s="297"/>
      <c r="AB99" s="297"/>
      <c r="AC99" s="297"/>
      <c r="AD99" s="297"/>
      <c r="AE99" s="298"/>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row>
    <row r="100" spans="1:61" ht="15" customHeight="1" x14ac:dyDescent="0.35">
      <c r="A100" s="56"/>
      <c r="B100" s="311"/>
      <c r="C100" s="311"/>
      <c r="D100" s="312"/>
      <c r="E100" s="288"/>
      <c r="F100" s="301"/>
      <c r="G100" s="301"/>
      <c r="H100" s="301"/>
      <c r="I100" s="283"/>
      <c r="J100" s="49" t="str">
        <f>IF(AND('Mapa final'!$AB$139="Alta",'Mapa final'!$AD$139="Leve"),CONCATENATE("R45C",'Mapa final'!$R$139),"")</f>
        <v/>
      </c>
      <c r="K100" s="50" t="str">
        <f>IF(AND('Mapa final'!$AB$140="Alta",'Mapa final'!$AD$140="Leve"),CONCATENATE("R45C",'Mapa final'!$R$140),"")</f>
        <v/>
      </c>
      <c r="L100" s="111" t="str">
        <f>IF(AND('Mapa final'!$AB$141="Alta",'Mapa final'!$AD$141="Leve"),CONCATENATE("R45C",'Mapa final'!$R$141),"")</f>
        <v/>
      </c>
      <c r="M100" s="49" t="str">
        <f>IF(AND('Mapa final'!$AB$139="Alta",'Mapa final'!$AD$139="Menor"),CONCATENATE("R45C",'Mapa final'!$R$139),"")</f>
        <v/>
      </c>
      <c r="N100" s="50" t="str">
        <f>IF(AND('Mapa final'!$AB$140="Alta",'Mapa final'!$AD$140="Menor"),CONCATENATE("R45C",'Mapa final'!$R$140),"")</f>
        <v/>
      </c>
      <c r="O100" s="111" t="str">
        <f>IF(AND('Mapa final'!$AB$141="Alta",'Mapa final'!$AD$141="Menor"),CONCATENATE("R45C",'Mapa final'!$R$141),"")</f>
        <v/>
      </c>
      <c r="P100" s="105" t="str">
        <f>IF(AND('Mapa final'!$AB$139="Alta",'Mapa final'!$AD$139="Moderado"),CONCATENATE("R45C",'Mapa final'!$R$139),"")</f>
        <v/>
      </c>
      <c r="Q100" s="42" t="str">
        <f>IF(AND('Mapa final'!$AB$140="Alta",'Mapa final'!$AD$140="Moderado"),CONCATENATE("R45C",'Mapa final'!$R$140),"")</f>
        <v/>
      </c>
      <c r="R100" s="106" t="str">
        <f>IF(AND('Mapa final'!$AB$141="Alta",'Mapa final'!$AD$141="Moderado"),CONCATENATE("R45C",'Mapa final'!$R$141),"")</f>
        <v/>
      </c>
      <c r="S100" s="105" t="str">
        <f>IF(AND('Mapa final'!$AB$139="Alta",'Mapa final'!$AD$139="Mayor"),CONCATENATE("R45C",'Mapa final'!$R$139),"")</f>
        <v/>
      </c>
      <c r="T100" s="42" t="str">
        <f>IF(AND('Mapa final'!$AB$140="Alta",'Mapa final'!$AD$140="Mayor"),CONCATENATE("R45C",'Mapa final'!$R$140),"")</f>
        <v/>
      </c>
      <c r="U100" s="106" t="str">
        <f>IF(AND('Mapa final'!$AB$141="Alta",'Mapa final'!$AD$141="Mayor"),CONCATENATE("R45C",'Mapa final'!$R$141),"")</f>
        <v/>
      </c>
      <c r="V100" s="43" t="str">
        <f>IF(AND('Mapa final'!$AB$139="Alta",'Mapa final'!$AD$139="Catastrófico"),CONCATENATE("R45C",'Mapa final'!$R$139),"")</f>
        <v/>
      </c>
      <c r="W100" s="44" t="str">
        <f>IF(AND('Mapa final'!$AB$140="Alta",'Mapa final'!$AD$140="Catastrófico"),CONCATENATE("R45C",'Mapa final'!$R$140),"")</f>
        <v/>
      </c>
      <c r="X100" s="100" t="str">
        <f>IF(AND('Mapa final'!$AB$141="Alta",'Mapa final'!$AD$141="Catastrófico"),CONCATENATE("R45C",'Mapa final'!$R$141),"")</f>
        <v/>
      </c>
      <c r="Y100" s="56"/>
      <c r="Z100" s="296"/>
      <c r="AA100" s="297"/>
      <c r="AB100" s="297"/>
      <c r="AC100" s="297"/>
      <c r="AD100" s="297"/>
      <c r="AE100" s="298"/>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row>
    <row r="101" spans="1:61" ht="15" customHeight="1" x14ac:dyDescent="0.35">
      <c r="A101" s="56"/>
      <c r="B101" s="311"/>
      <c r="C101" s="311"/>
      <c r="D101" s="312"/>
      <c r="E101" s="288"/>
      <c r="F101" s="301"/>
      <c r="G101" s="301"/>
      <c r="H101" s="301"/>
      <c r="I101" s="283"/>
      <c r="J101" s="49" t="str">
        <f>IF(AND('Mapa final'!$AB$142="Alta",'Mapa final'!$AD$142="Leve"),CONCATENATE("R46C",'Mapa final'!$R$142),"")</f>
        <v/>
      </c>
      <c r="K101" s="50" t="str">
        <f>IF(AND('Mapa final'!$AB$143="Alta",'Mapa final'!$AD$143="Leve"),CONCATENATE("R46C",'Mapa final'!$R$143),"")</f>
        <v/>
      </c>
      <c r="L101" s="111" t="str">
        <f>IF(AND('Mapa final'!$AB$144="Alta",'Mapa final'!$AD$144="Leve"),CONCATENATE("R46C",'Mapa final'!$R$144),"")</f>
        <v/>
      </c>
      <c r="M101" s="49" t="str">
        <f>IF(AND('Mapa final'!$AB$142="Alta",'Mapa final'!$AD$142="Menor"),CONCATENATE("R46C",'Mapa final'!$R$142),"")</f>
        <v/>
      </c>
      <c r="N101" s="50" t="str">
        <f>IF(AND('Mapa final'!$AB$143="Alta",'Mapa final'!$AD$143="Menor"),CONCATENATE("R46C",'Mapa final'!$R$143),"")</f>
        <v/>
      </c>
      <c r="O101" s="111" t="str">
        <f>IF(AND('Mapa final'!$AB$144="Alta",'Mapa final'!$AD$144="Menor"),CONCATENATE("R46C",'Mapa final'!$R$144),"")</f>
        <v/>
      </c>
      <c r="P101" s="105" t="str">
        <f>IF(AND('Mapa final'!$AB$142="Alta",'Mapa final'!$AD$142="Moderado"),CONCATENATE("R46C",'Mapa final'!$R$142),"")</f>
        <v/>
      </c>
      <c r="Q101" s="42" t="str">
        <f>IF(AND('Mapa final'!$AB$143="Alta",'Mapa final'!$AD$143="Moderado"),CONCATENATE("R46C",'Mapa final'!$R$143),"")</f>
        <v/>
      </c>
      <c r="R101" s="106" t="str">
        <f>IF(AND('Mapa final'!$AB$144="Alta",'Mapa final'!$AD$144="Moderado"),CONCATENATE("R46C",'Mapa final'!$R$144),"")</f>
        <v/>
      </c>
      <c r="S101" s="105" t="str">
        <f>IF(AND('Mapa final'!$AB$142="Alta",'Mapa final'!$AD$142="Mayor"),CONCATENATE("R46C",'Mapa final'!$R$142),"")</f>
        <v/>
      </c>
      <c r="T101" s="42" t="str">
        <f>IF(AND('Mapa final'!$AB$143="Alta",'Mapa final'!$AD$143="Mayor"),CONCATENATE("R46C",'Mapa final'!$R$143),"")</f>
        <v/>
      </c>
      <c r="U101" s="106" t="str">
        <f>IF(AND('Mapa final'!$AB$144="Alta",'Mapa final'!$AD$144="Mayor"),CONCATENATE("R46C",'Mapa final'!$R$144),"")</f>
        <v/>
      </c>
      <c r="V101" s="43" t="str">
        <f>IF(AND('Mapa final'!$AB$142="Alta",'Mapa final'!$AD$142="Catastrófico"),CONCATENATE("R46C",'Mapa final'!$R$142),"")</f>
        <v/>
      </c>
      <c r="W101" s="44" t="str">
        <f>IF(AND('Mapa final'!$AB$143="Alta",'Mapa final'!$AD$143="Catastrófico"),CONCATENATE("R46C",'Mapa final'!$R$143),"")</f>
        <v/>
      </c>
      <c r="X101" s="100" t="str">
        <f>IF(AND('Mapa final'!$AB$144="Alta",'Mapa final'!$AD$144="Catastrófico"),CONCATENATE("R46C",'Mapa final'!$R$144),"")</f>
        <v/>
      </c>
      <c r="Y101" s="56"/>
      <c r="Z101" s="296"/>
      <c r="AA101" s="297"/>
      <c r="AB101" s="297"/>
      <c r="AC101" s="297"/>
      <c r="AD101" s="297"/>
      <c r="AE101" s="298"/>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1:61" ht="15" customHeight="1" x14ac:dyDescent="0.35">
      <c r="A102" s="56"/>
      <c r="B102" s="311"/>
      <c r="C102" s="311"/>
      <c r="D102" s="312"/>
      <c r="E102" s="288"/>
      <c r="F102" s="301"/>
      <c r="G102" s="301"/>
      <c r="H102" s="301"/>
      <c r="I102" s="283"/>
      <c r="J102" s="49" t="str">
        <f>IF(AND('Mapa final'!$AB$145="Alta",'Mapa final'!$AD$145="Leve"),CONCATENATE("R47C",'Mapa final'!$R$145),"")</f>
        <v/>
      </c>
      <c r="K102" s="50" t="str">
        <f>IF(AND('Mapa final'!$AB$146="Alta",'Mapa final'!$AD$146="Leve"),CONCATENATE("R47C",'Mapa final'!$R$146),"")</f>
        <v/>
      </c>
      <c r="L102" s="111" t="str">
        <f>IF(AND('Mapa final'!$AB$147="Alta",'Mapa final'!$AD$147="Leve"),CONCATENATE("R47C",'Mapa final'!$R$147),"")</f>
        <v/>
      </c>
      <c r="M102" s="49" t="str">
        <f>IF(AND('Mapa final'!$AB$145="Alta",'Mapa final'!$AD$145="Menor"),CONCATENATE("R47C",'Mapa final'!$R$145),"")</f>
        <v/>
      </c>
      <c r="N102" s="50" t="str">
        <f>IF(AND('Mapa final'!$AB$146="Alta",'Mapa final'!$AD$146="Menor"),CONCATENATE("R47C",'Mapa final'!$R$146),"")</f>
        <v/>
      </c>
      <c r="O102" s="111" t="str">
        <f>IF(AND('Mapa final'!$AB$147="Alta",'Mapa final'!$AD$147="Menor"),CONCATENATE("R47C",'Mapa final'!$R$147),"")</f>
        <v/>
      </c>
      <c r="P102" s="105" t="str">
        <f>IF(AND('Mapa final'!$AB$145="Alta",'Mapa final'!$AD$145="Moderado"),CONCATENATE("R47C",'Mapa final'!$R$145),"")</f>
        <v/>
      </c>
      <c r="Q102" s="42" t="str">
        <f>IF(AND('Mapa final'!$AB$146="Alta",'Mapa final'!$AD$146="Moderado"),CONCATENATE("R47C",'Mapa final'!$R$146),"")</f>
        <v/>
      </c>
      <c r="R102" s="106" t="str">
        <f>IF(AND('Mapa final'!$AB$147="Alta",'Mapa final'!$AD$147="Moderado"),CONCATENATE("R47C",'Mapa final'!$R$147),"")</f>
        <v/>
      </c>
      <c r="S102" s="105" t="str">
        <f>IF(AND('Mapa final'!$AB$145="Alta",'Mapa final'!$AD$145="Mayor"),CONCATENATE("R47C",'Mapa final'!$R$145),"")</f>
        <v/>
      </c>
      <c r="T102" s="42" t="str">
        <f>IF(AND('Mapa final'!$AB$146="Alta",'Mapa final'!$AD$146="Mayor"),CONCATENATE("R47C",'Mapa final'!$R$146),"")</f>
        <v/>
      </c>
      <c r="U102" s="106" t="str">
        <f>IF(AND('Mapa final'!$AB$147="Alta",'Mapa final'!$AD$147="Mayor"),CONCATENATE("R47C",'Mapa final'!$R$147),"")</f>
        <v/>
      </c>
      <c r="V102" s="43" t="str">
        <f>IF(AND('Mapa final'!$AB$145="Alta",'Mapa final'!$AD$145="Catastrófico"),CONCATENATE("R47C",'Mapa final'!$R$145),"")</f>
        <v/>
      </c>
      <c r="W102" s="44" t="str">
        <f>IF(AND('Mapa final'!$AB$146="Alta",'Mapa final'!$AD$146="Catastrófico"),CONCATENATE("R47C",'Mapa final'!$R$146),"")</f>
        <v/>
      </c>
      <c r="X102" s="100" t="str">
        <f>IF(AND('Mapa final'!$AB$147="Alta",'Mapa final'!$AD$147="Catastrófico"),CONCATENATE("R47C",'Mapa final'!$R$147),"")</f>
        <v/>
      </c>
      <c r="Y102" s="56"/>
      <c r="Z102" s="296"/>
      <c r="AA102" s="297"/>
      <c r="AB102" s="297"/>
      <c r="AC102" s="297"/>
      <c r="AD102" s="297"/>
      <c r="AE102" s="298"/>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1:61" ht="15" customHeight="1" x14ac:dyDescent="0.35">
      <c r="A103" s="56"/>
      <c r="B103" s="311"/>
      <c r="C103" s="311"/>
      <c r="D103" s="312"/>
      <c r="E103" s="288"/>
      <c r="F103" s="301"/>
      <c r="G103" s="301"/>
      <c r="H103" s="301"/>
      <c r="I103" s="283"/>
      <c r="J103" s="49" t="str">
        <f>IF(AND('Mapa final'!$AB$148="Alta",'Mapa final'!$AD$148="Leve"),CONCATENATE("R48C",'Mapa final'!$R$148),"")</f>
        <v/>
      </c>
      <c r="K103" s="50" t="str">
        <f>IF(AND('Mapa final'!$AB$149="Alta",'Mapa final'!$AD$149="Leve"),CONCATENATE("R48C",'Mapa final'!$R$149),"")</f>
        <v/>
      </c>
      <c r="L103" s="111" t="str">
        <f>IF(AND('Mapa final'!$AB$150="Alta",'Mapa final'!$AD$150="Leve"),CONCATENATE("R48C",'Mapa final'!$R$150),"")</f>
        <v/>
      </c>
      <c r="M103" s="49" t="str">
        <f>IF(AND('Mapa final'!$AB$148="Alta",'Mapa final'!$AD$148="Menor"),CONCATENATE("R48C",'Mapa final'!$R$148),"")</f>
        <v/>
      </c>
      <c r="N103" s="50" t="str">
        <f>IF(AND('Mapa final'!$AB$149="Alta",'Mapa final'!$AD$149="Menor"),CONCATENATE("R48C",'Mapa final'!$R$149),"")</f>
        <v/>
      </c>
      <c r="O103" s="111" t="str">
        <f>IF(AND('Mapa final'!$AB$150="Alta",'Mapa final'!$AD$150="Menor"),CONCATENATE("R48C",'Mapa final'!$R$150),"")</f>
        <v/>
      </c>
      <c r="P103" s="105" t="str">
        <f>IF(AND('Mapa final'!$AB$148="Alta",'Mapa final'!$AD$148="Moderado"),CONCATENATE("R48C",'Mapa final'!$R$148),"")</f>
        <v/>
      </c>
      <c r="Q103" s="42" t="str">
        <f>IF(AND('Mapa final'!$AB$149="Alta",'Mapa final'!$AD$149="Moderado"),CONCATENATE("R48C",'Mapa final'!$R$149),"")</f>
        <v/>
      </c>
      <c r="R103" s="106" t="str">
        <f>IF(AND('Mapa final'!$AB$150="Alta",'Mapa final'!$AD$150="Moderado"),CONCATENATE("R48C",'Mapa final'!$R$150),"")</f>
        <v/>
      </c>
      <c r="S103" s="105" t="str">
        <f>IF(AND('Mapa final'!$AB$148="Alta",'Mapa final'!$AD$148="Mayor"),CONCATENATE("R48C",'Mapa final'!$R$148),"")</f>
        <v/>
      </c>
      <c r="T103" s="42" t="str">
        <f>IF(AND('Mapa final'!$AB$149="Alta",'Mapa final'!$AD$149="Mayor"),CONCATENATE("R48C",'Mapa final'!$R$149),"")</f>
        <v/>
      </c>
      <c r="U103" s="106" t="str">
        <f>IF(AND('Mapa final'!$AB$150="Alta",'Mapa final'!$AD$150="Mayor"),CONCATENATE("R48C",'Mapa final'!$R$150),"")</f>
        <v/>
      </c>
      <c r="V103" s="43" t="str">
        <f>IF(AND('Mapa final'!$AB$148="Alta",'Mapa final'!$AD$148="Catastrófico"),CONCATENATE("R48C",'Mapa final'!$R$148),"")</f>
        <v/>
      </c>
      <c r="W103" s="44" t="str">
        <f>IF(AND('Mapa final'!$AB$149="Alta",'Mapa final'!$AD$149="Catastrófico"),CONCATENATE("R48C",'Mapa final'!$R$149),"")</f>
        <v/>
      </c>
      <c r="X103" s="100" t="str">
        <f>IF(AND('Mapa final'!$AB$150="Alta",'Mapa final'!$AD$150="Catastrófico"),CONCATENATE("R48C",'Mapa final'!$R$150),"")</f>
        <v/>
      </c>
      <c r="Y103" s="56"/>
      <c r="Z103" s="296"/>
      <c r="AA103" s="297"/>
      <c r="AB103" s="297"/>
      <c r="AC103" s="297"/>
      <c r="AD103" s="297"/>
      <c r="AE103" s="298"/>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1:61" ht="15" customHeight="1" x14ac:dyDescent="0.35">
      <c r="A104" s="56"/>
      <c r="B104" s="311"/>
      <c r="C104" s="311"/>
      <c r="D104" s="312"/>
      <c r="E104" s="288"/>
      <c r="F104" s="301"/>
      <c r="G104" s="301"/>
      <c r="H104" s="301"/>
      <c r="I104" s="283"/>
      <c r="J104" s="49" t="str">
        <f>IF(AND('Mapa final'!$AB$151="Alta",'Mapa final'!$AD$151="Leve"),CONCATENATE("R49C",'Mapa final'!$R$151),"")</f>
        <v/>
      </c>
      <c r="K104" s="50" t="str">
        <f>IF(AND('Mapa final'!$AB$152="Alta",'Mapa final'!$AD$152="Leve"),CONCATENATE("R49C",'Mapa final'!$R$152),"")</f>
        <v/>
      </c>
      <c r="L104" s="111" t="str">
        <f>IF(AND('Mapa final'!$AB$153="Alta",'Mapa final'!$AD$153="Leve"),CONCATENATE("R49C",'Mapa final'!$R$153),"")</f>
        <v/>
      </c>
      <c r="M104" s="49" t="str">
        <f>IF(AND('Mapa final'!$AB$151="Alta",'Mapa final'!$AD$151="Menor"),CONCATENATE("R49C",'Mapa final'!$R$151),"")</f>
        <v/>
      </c>
      <c r="N104" s="50" t="str">
        <f>IF(AND('Mapa final'!$AB$152="Alta",'Mapa final'!$AD$152="Menor"),CONCATENATE("R49C",'Mapa final'!$R$152),"")</f>
        <v/>
      </c>
      <c r="O104" s="111" t="str">
        <f>IF(AND('Mapa final'!$AB$153="Alta",'Mapa final'!$AD$153="Menor"),CONCATENATE("R49C",'Mapa final'!$R$153),"")</f>
        <v/>
      </c>
      <c r="P104" s="105" t="str">
        <f>IF(AND('Mapa final'!$AB$151="Alta",'Mapa final'!$AD$151="Moderado"),CONCATENATE("R49C",'Mapa final'!$R$151),"")</f>
        <v/>
      </c>
      <c r="Q104" s="42" t="str">
        <f>IF(AND('Mapa final'!$AB$152="Alta",'Mapa final'!$AD$152="Moderado"),CONCATENATE("R49C",'Mapa final'!$R$152),"")</f>
        <v/>
      </c>
      <c r="R104" s="106" t="str">
        <f>IF(AND('Mapa final'!$AB$153="Alta",'Mapa final'!$AD$153="Moderado"),CONCATENATE("R49C",'Mapa final'!$R$153),"")</f>
        <v/>
      </c>
      <c r="S104" s="105" t="str">
        <f>IF(AND('Mapa final'!$AB$151="Alta",'Mapa final'!$AD$151="Mayor"),CONCATENATE("R49C",'Mapa final'!$R$151),"")</f>
        <v/>
      </c>
      <c r="T104" s="42" t="str">
        <f>IF(AND('Mapa final'!$AB$152="Alta",'Mapa final'!$AD$152="Mayor"),CONCATENATE("R49C",'Mapa final'!$R$152),"")</f>
        <v/>
      </c>
      <c r="U104" s="106" t="str">
        <f>IF(AND('Mapa final'!$AB$153="Alta",'Mapa final'!$AD$153="Mayor"),CONCATENATE("R49C",'Mapa final'!$R$153),"")</f>
        <v/>
      </c>
      <c r="V104" s="43" t="str">
        <f>IF(AND('Mapa final'!$AB$151="Alta",'Mapa final'!$AD$151="Catastrófico"),CONCATENATE("R49C",'Mapa final'!$R$151),"")</f>
        <v/>
      </c>
      <c r="W104" s="44" t="str">
        <f>IF(AND('Mapa final'!$AB$152="Alta",'Mapa final'!$AD$152="Catastrófico"),CONCATENATE("R49C",'Mapa final'!$R$152),"")</f>
        <v/>
      </c>
      <c r="X104" s="100" t="str">
        <f>IF(AND('Mapa final'!$AB$153="Alta",'Mapa final'!$AD$153="Catastrófico"),CONCATENATE("R49C",'Mapa final'!$R$153),"")</f>
        <v/>
      </c>
      <c r="Y104" s="56"/>
      <c r="Z104" s="296"/>
      <c r="AA104" s="297"/>
      <c r="AB104" s="297"/>
      <c r="AC104" s="297"/>
      <c r="AD104" s="297"/>
      <c r="AE104" s="298"/>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1:61" ht="15" customHeight="1" thickBot="1" x14ac:dyDescent="0.4">
      <c r="A105" s="56"/>
      <c r="B105" s="311"/>
      <c r="C105" s="311"/>
      <c r="D105" s="312"/>
      <c r="E105" s="288"/>
      <c r="F105" s="301"/>
      <c r="G105" s="301"/>
      <c r="H105" s="301"/>
      <c r="I105" s="283"/>
      <c r="J105" s="51" t="str">
        <f>IF(AND('Mapa final'!$AB$154="Alta",'Mapa final'!$AD$154="Leve"),CONCATENATE("R50C",'Mapa final'!$R$154),"")</f>
        <v/>
      </c>
      <c r="K105" s="52" t="str">
        <f>IF(AND('Mapa final'!$AB$155="Alta",'Mapa final'!$AD$155="Leve"),CONCATENATE("R50C",'Mapa final'!$R$155),"")</f>
        <v/>
      </c>
      <c r="L105" s="112" t="str">
        <f>IF(AND('Mapa final'!$AB$156="Alta",'Mapa final'!$AD$156="Leve"),CONCATENATE("R50C",'Mapa final'!$R$156),"")</f>
        <v/>
      </c>
      <c r="M105" s="51" t="str">
        <f>IF(AND('Mapa final'!$AB$154="Alta",'Mapa final'!$AD$154="Menor"),CONCATENATE("R50C",'Mapa final'!$R$154),"")</f>
        <v/>
      </c>
      <c r="N105" s="52" t="str">
        <f>IF(AND('Mapa final'!$AB$155="Alta",'Mapa final'!$AD$155="Menor"),CONCATENATE("R50C",'Mapa final'!$R$155),"")</f>
        <v/>
      </c>
      <c r="O105" s="112" t="str">
        <f>IF(AND('Mapa final'!$AB$156="Alta",'Mapa final'!$AD$156="Menor"),CONCATENATE("R50C",'Mapa final'!$R$156),"")</f>
        <v/>
      </c>
      <c r="P105" s="105" t="str">
        <f>IF(AND('Mapa final'!$AB$154="Alta",'Mapa final'!$AD$154="Moderado"),CONCATENATE("R50C",'Mapa final'!$R$154),"")</f>
        <v/>
      </c>
      <c r="Q105" s="42" t="str">
        <f>IF(AND('Mapa final'!$AB$155="Alta",'Mapa final'!$AD$155="Moderado"),CONCATENATE("R50C",'Mapa final'!$R$155),"")</f>
        <v/>
      </c>
      <c r="R105" s="106" t="str">
        <f>IF(AND('Mapa final'!$AB$156="Alta",'Mapa final'!$AD$156="Moderado"),CONCATENATE("R50C",'Mapa final'!$R$156),"")</f>
        <v/>
      </c>
      <c r="S105" s="107" t="str">
        <f>IF(AND('Mapa final'!$AB$154="Alta",'Mapa final'!$AD$154="Mayor"),CONCATENATE("R50C",'Mapa final'!$R$154),"")</f>
        <v/>
      </c>
      <c r="T105" s="108" t="str">
        <f>IF(AND('Mapa final'!$AB$155="Alta",'Mapa final'!$AD$155="Mayor"),CONCATENATE("R50C",'Mapa final'!$R$155),"")</f>
        <v/>
      </c>
      <c r="U105" s="109" t="str">
        <f>IF(AND('Mapa final'!$AB$156="Alta",'Mapa final'!$AD$156="Mayor"),CONCATENATE("R50C",'Mapa final'!$R$156),"")</f>
        <v/>
      </c>
      <c r="V105" s="45" t="str">
        <f>IF(AND('Mapa final'!$AB$154="Alta",'Mapa final'!$AD$154="Catastrófico"),CONCATENATE("R50C",'Mapa final'!$R$154),"")</f>
        <v/>
      </c>
      <c r="W105" s="46" t="str">
        <f>IF(AND('Mapa final'!$AB$155="Alta",'Mapa final'!$AD$155="Catastrófico"),CONCATENATE("R50C",'Mapa final'!$R$155),"")</f>
        <v/>
      </c>
      <c r="X105" s="101" t="str">
        <f>IF(AND('Mapa final'!$AB$156="Alta",'Mapa final'!$AD$156="Catastrófico"),CONCATENATE("R50C",'Mapa final'!$R$156),"")</f>
        <v/>
      </c>
      <c r="Y105" s="56"/>
      <c r="Z105" s="296"/>
      <c r="AA105" s="297"/>
      <c r="AB105" s="297"/>
      <c r="AC105" s="297"/>
      <c r="AD105" s="297"/>
      <c r="AE105" s="298"/>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row>
    <row r="106" spans="1:61" ht="15" customHeight="1" x14ac:dyDescent="0.35">
      <c r="A106" s="56"/>
      <c r="B106" s="311"/>
      <c r="C106" s="311"/>
      <c r="D106" s="312"/>
      <c r="E106" s="299" t="s">
        <v>108</v>
      </c>
      <c r="F106" s="300"/>
      <c r="G106" s="300"/>
      <c r="H106" s="300"/>
      <c r="I106" s="300"/>
      <c r="J106" s="47" t="str">
        <f>IF(AND('Mapa final'!$AB$7="Media",'Mapa final'!$AD$7="Leve"),CONCATENATE("R1C",'Mapa final'!$R$7),"")</f>
        <v/>
      </c>
      <c r="K106" s="48" t="str">
        <f>IF(AND('Mapa final'!$AB$8="Media",'Mapa final'!$AD$8="Leve"),CONCATENATE("R1C",'Mapa final'!$R$8),"")</f>
        <v/>
      </c>
      <c r="L106" s="110" t="str">
        <f>IF(AND('Mapa final'!$AB$9="Media",'Mapa final'!$AD$9="Leve"),CONCATENATE("R1C",'Mapa final'!$R$9),"")</f>
        <v/>
      </c>
      <c r="M106" s="47" t="str">
        <f>IF(AND('Mapa final'!$AB$7="Media",'Mapa final'!$AD$7="Menor"),CONCATENATE("R1C",'Mapa final'!$R$7),"")</f>
        <v/>
      </c>
      <c r="N106" s="48" t="str">
        <f>IF(AND('Mapa final'!$AB$8="Media",'Mapa final'!$AD$8="Menor"),CONCATENATE("R1C",'Mapa final'!$R$8),"")</f>
        <v/>
      </c>
      <c r="O106" s="110" t="str">
        <f>IF(AND('Mapa final'!$AB$9="Media",'Mapa final'!$AD$9="Menor"),CONCATENATE("R1C",'Mapa final'!$R$9),"")</f>
        <v/>
      </c>
      <c r="P106" s="47" t="str">
        <f>IF(AND('Mapa final'!$AB$7="Media",'Mapa final'!$AD$7="Moderado"),CONCATENATE("R1C",'Mapa final'!$R$7),"")</f>
        <v/>
      </c>
      <c r="Q106" s="48" t="str">
        <f>IF(AND('Mapa final'!$AB$8="Media",'Mapa final'!$AD$8="Moderado"),CONCATENATE("R1C",'Mapa final'!$R$8),"")</f>
        <v/>
      </c>
      <c r="R106" s="110" t="str">
        <f>IF(AND('Mapa final'!$AB$9="Media",'Mapa final'!$AD$9="Moderado"),CONCATENATE("R1C",'Mapa final'!$R$9),"")</f>
        <v/>
      </c>
      <c r="S106" s="102" t="str">
        <f>IF(AND('Mapa final'!$AB$7="Media",'Mapa final'!$AD$7="Mayor"),CONCATENATE("R1C",'Mapa final'!$R$7),"")</f>
        <v/>
      </c>
      <c r="T106" s="103" t="str">
        <f>IF(AND('Mapa final'!$AB$8="Media",'Mapa final'!$AD$8="Mayor"),CONCATENATE("R1C",'Mapa final'!$R$8),"")</f>
        <v/>
      </c>
      <c r="U106" s="104" t="str">
        <f>IF(AND('Mapa final'!$AB$9="Media",'Mapa final'!$AD$9="Mayor"),CONCATENATE("R1C",'Mapa final'!$R$9),"")</f>
        <v/>
      </c>
      <c r="V106" s="40" t="str">
        <f>IF(AND('Mapa final'!$AB$7="Media",'Mapa final'!$AD$7="Catastrófico"),CONCATENATE("R1C",'Mapa final'!$R$7),"")</f>
        <v/>
      </c>
      <c r="W106" s="41" t="str">
        <f>IF(AND('Mapa final'!$AB$8="Media",'Mapa final'!$AD$8="Catastrófico"),CONCATENATE("R1C",'Mapa final'!$R$8),"")</f>
        <v/>
      </c>
      <c r="X106" s="99" t="str">
        <f>IF(AND('Mapa final'!$AB$9="Media",'Mapa final'!$AD$9="Catastrófico"),CONCATENATE("R1C",'Mapa final'!$R$9),"")</f>
        <v/>
      </c>
      <c r="Y106" s="56"/>
      <c r="Z106" s="319" t="s">
        <v>75</v>
      </c>
      <c r="AA106" s="320"/>
      <c r="AB106" s="320"/>
      <c r="AC106" s="320"/>
      <c r="AD106" s="320"/>
      <c r="AE106" s="321"/>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row>
    <row r="107" spans="1:61" ht="15" customHeight="1" x14ac:dyDescent="0.35">
      <c r="A107" s="56"/>
      <c r="B107" s="311"/>
      <c r="C107" s="311"/>
      <c r="D107" s="312"/>
      <c r="E107" s="287"/>
      <c r="F107" s="283"/>
      <c r="G107" s="283"/>
      <c r="H107" s="283"/>
      <c r="I107" s="283"/>
      <c r="J107" s="49" t="str">
        <f>IF(AND('Mapa final'!$AB$10="Media",'Mapa final'!$AD$10="Leve"),CONCATENATE("R2C",'Mapa final'!$R$10),"")</f>
        <v/>
      </c>
      <c r="K107" s="50" t="str">
        <f>IF(AND('Mapa final'!$AB$11="Media",'Mapa final'!$AD$11="Leve"),CONCATENATE("R2C",'Mapa final'!$R$11),"")</f>
        <v/>
      </c>
      <c r="L107" s="111" t="str">
        <f>IF(AND('Mapa final'!$AB$12="Media",'Mapa final'!$AD$12="Leve"),CONCATENATE("R2C",'Mapa final'!$R$12),"")</f>
        <v/>
      </c>
      <c r="M107" s="49" t="str">
        <f>IF(AND('Mapa final'!$AB$10="Media",'Mapa final'!$AD$10="Menor"),CONCATENATE("R2C",'Mapa final'!$R$10),"")</f>
        <v/>
      </c>
      <c r="N107" s="50" t="str">
        <f>IF(AND('Mapa final'!$AB$11="Media",'Mapa final'!$AD$11="Menor"),CONCATENATE("R2C",'Mapa final'!$R$11),"")</f>
        <v/>
      </c>
      <c r="O107" s="111" t="str">
        <f>IF(AND('Mapa final'!$AB$12="Media",'Mapa final'!$AD$12="Menor"),CONCATENATE("R2C",'Mapa final'!$R$12),"")</f>
        <v/>
      </c>
      <c r="P107" s="49" t="str">
        <f>IF(AND('Mapa final'!$AB$10="Media",'Mapa final'!$AD$10="Moderado"),CONCATENATE("R2C",'Mapa final'!$R$10),"")</f>
        <v/>
      </c>
      <c r="Q107" s="50" t="str">
        <f>IF(AND('Mapa final'!$AB$11="Media",'Mapa final'!$AD$11="Moderado"),CONCATENATE("R2C",'Mapa final'!$R$11),"")</f>
        <v/>
      </c>
      <c r="R107" s="111" t="str">
        <f>IF(AND('Mapa final'!$AB$12="Media",'Mapa final'!$AD$12="Moderado"),CONCATENATE("R2C",'Mapa final'!$R$12),"")</f>
        <v/>
      </c>
      <c r="S107" s="105" t="str">
        <f>IF(AND('Mapa final'!$AB$10="Media",'Mapa final'!$AD$10="Mayor"),CONCATENATE("R2C",'Mapa final'!$R$10),"")</f>
        <v/>
      </c>
      <c r="T107" s="42" t="str">
        <f>IF(AND('Mapa final'!$AB$11="Media",'Mapa final'!$AD$11="Mayor"),CONCATENATE("R2C",'Mapa final'!$R$11),"")</f>
        <v/>
      </c>
      <c r="U107" s="106" t="str">
        <f>IF(AND('Mapa final'!$AB$12="Media",'Mapa final'!$AD$12="Mayor"),CONCATENATE("R2C",'Mapa final'!$R$12),"")</f>
        <v/>
      </c>
      <c r="V107" s="43" t="str">
        <f>IF(AND('Mapa final'!$AB$10="Media",'Mapa final'!$AD$10="Catastrófico"),CONCATENATE("R2C",'Mapa final'!$R$10),"")</f>
        <v/>
      </c>
      <c r="W107" s="44" t="str">
        <f>IF(AND('Mapa final'!$AB$11="Media",'Mapa final'!$AD$11="Catastrófico"),CONCATENATE("R2C",'Mapa final'!$R$11),"")</f>
        <v/>
      </c>
      <c r="X107" s="100" t="str">
        <f>IF(AND('Mapa final'!$AB$12="Media",'Mapa final'!$AD$12="Catastrófico"),CONCATENATE("R2C",'Mapa final'!$R$12),"")</f>
        <v/>
      </c>
      <c r="Y107" s="56"/>
      <c r="Z107" s="322"/>
      <c r="AA107" s="323"/>
      <c r="AB107" s="323"/>
      <c r="AC107" s="323"/>
      <c r="AD107" s="323"/>
      <c r="AE107" s="324"/>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row>
    <row r="108" spans="1:61" ht="15" customHeight="1" x14ac:dyDescent="0.35">
      <c r="A108" s="56"/>
      <c r="B108" s="311"/>
      <c r="C108" s="311"/>
      <c r="D108" s="312"/>
      <c r="E108" s="288"/>
      <c r="F108" s="301"/>
      <c r="G108" s="301"/>
      <c r="H108" s="301"/>
      <c r="I108" s="283"/>
      <c r="J108" s="49" t="str">
        <f>IF(AND('Mapa final'!$AB$13="Media",'Mapa final'!$AD$13="Leve"),CONCATENATE("R3C",'Mapa final'!$R$13),"")</f>
        <v/>
      </c>
      <c r="K108" s="50" t="str">
        <f>IF(AND('Mapa final'!$AB$14="Media",'Mapa final'!$AD$14="Leve"),CONCATENATE("R3C",'Mapa final'!$R$14),"")</f>
        <v/>
      </c>
      <c r="L108" s="111" t="str">
        <f>IF(AND('Mapa final'!$AB$15="Media",'Mapa final'!$AD$15="Leve"),CONCATENATE("R3C",'Mapa final'!$R$15),"")</f>
        <v/>
      </c>
      <c r="M108" s="49" t="str">
        <f>IF(AND('Mapa final'!$AB$13="Media",'Mapa final'!$AD$13="Menor"),CONCATENATE("R3C",'Mapa final'!$R$13),"")</f>
        <v/>
      </c>
      <c r="N108" s="50" t="str">
        <f>IF(AND('Mapa final'!$AB$14="Media",'Mapa final'!$AD$14="Menor"),CONCATENATE("R3C",'Mapa final'!$R$14),"")</f>
        <v/>
      </c>
      <c r="O108" s="111" t="str">
        <f>IF(AND('Mapa final'!$AB$15="Media",'Mapa final'!$AD$15="Menor"),CONCATENATE("R3C",'Mapa final'!$R$15),"")</f>
        <v/>
      </c>
      <c r="P108" s="49" t="str">
        <f>IF(AND('Mapa final'!$AB$13="Media",'Mapa final'!$AD$13="Moderado"),CONCATENATE("R3C",'Mapa final'!$R$13),"")</f>
        <v>R3C1</v>
      </c>
      <c r="Q108" s="50" t="str">
        <f>IF(AND('Mapa final'!$AB$14="Media",'Mapa final'!$AD$14="Moderado"),CONCATENATE("R3C",'Mapa final'!$R$14),"")</f>
        <v/>
      </c>
      <c r="R108" s="111" t="str">
        <f>IF(AND('Mapa final'!$AB$15="Media",'Mapa final'!$AD$15="Moderado"),CONCATENATE("R3C",'Mapa final'!$R$15),"")</f>
        <v/>
      </c>
      <c r="S108" s="105" t="str">
        <f>IF(AND('Mapa final'!$AB$13="Media",'Mapa final'!$AD$13="Mayor"),CONCATENATE("R3C",'Mapa final'!$R$13),"")</f>
        <v/>
      </c>
      <c r="T108" s="42" t="str">
        <f>IF(AND('Mapa final'!$AB$14="Media",'Mapa final'!$AD$14="Mayor"),CONCATENATE("R3C",'Mapa final'!$R$14),"")</f>
        <v/>
      </c>
      <c r="U108" s="106" t="str">
        <f>IF(AND('Mapa final'!$AB$15="Media",'Mapa final'!$AD$15="Mayor"),CONCATENATE("R3C",'Mapa final'!$R$15),"")</f>
        <v/>
      </c>
      <c r="V108" s="43" t="str">
        <f>IF(AND('Mapa final'!$AB$13="Media",'Mapa final'!$AD$13="Catastrófico"),CONCATENATE("R3C",'Mapa final'!$R$13),"")</f>
        <v/>
      </c>
      <c r="W108" s="44" t="str">
        <f>IF(AND('Mapa final'!$AB$14="Media",'Mapa final'!$AD$14="Catastrófico"),CONCATENATE("R3C",'Mapa final'!$R$14),"")</f>
        <v/>
      </c>
      <c r="X108" s="100" t="str">
        <f>IF(AND('Mapa final'!$AB$15="Media",'Mapa final'!$AD$15="Catastrófico"),CONCATENATE("R3C",'Mapa final'!$R$15),"")</f>
        <v/>
      </c>
      <c r="Y108" s="56"/>
      <c r="Z108" s="322"/>
      <c r="AA108" s="323"/>
      <c r="AB108" s="323"/>
      <c r="AC108" s="323"/>
      <c r="AD108" s="323"/>
      <c r="AE108" s="324"/>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row>
    <row r="109" spans="1:61" ht="15" customHeight="1" x14ac:dyDescent="0.35">
      <c r="A109" s="56"/>
      <c r="B109" s="311"/>
      <c r="C109" s="311"/>
      <c r="D109" s="312"/>
      <c r="E109" s="288"/>
      <c r="F109" s="301"/>
      <c r="G109" s="301"/>
      <c r="H109" s="301"/>
      <c r="I109" s="283"/>
      <c r="J109" s="49" t="e">
        <f>IF(AND('Mapa final'!#REF!="Media",'Mapa final'!#REF!="Leve"),CONCATENATE("R4C",'Mapa final'!#REF!),"")</f>
        <v>#REF!</v>
      </c>
      <c r="K109" s="50" t="e">
        <f>IF(AND('Mapa final'!#REF!="Media",'Mapa final'!#REF!="Leve"),CONCATENATE("R4C",'Mapa final'!#REF!),"")</f>
        <v>#REF!</v>
      </c>
      <c r="L109" s="111" t="e">
        <f>IF(AND('Mapa final'!#REF!="Media",'Mapa final'!#REF!="Leve"),CONCATENATE("R4C",'Mapa final'!#REF!),"")</f>
        <v>#REF!</v>
      </c>
      <c r="M109" s="49" t="e">
        <f>IF(AND('Mapa final'!#REF!="Media",'Mapa final'!#REF!="Menor"),CONCATENATE("R4C",'Mapa final'!#REF!),"")</f>
        <v>#REF!</v>
      </c>
      <c r="N109" s="50" t="e">
        <f>IF(AND('Mapa final'!#REF!="Media",'Mapa final'!#REF!="Menor"),CONCATENATE("R4C",'Mapa final'!#REF!),"")</f>
        <v>#REF!</v>
      </c>
      <c r="O109" s="111" t="e">
        <f>IF(AND('Mapa final'!#REF!="Media",'Mapa final'!#REF!="Menor"),CONCATENATE("R4C",'Mapa final'!#REF!),"")</f>
        <v>#REF!</v>
      </c>
      <c r="P109" s="49" t="e">
        <f>IF(AND('Mapa final'!#REF!="Media",'Mapa final'!#REF!="Moderado"),CONCATENATE("R4C",'Mapa final'!#REF!),"")</f>
        <v>#REF!</v>
      </c>
      <c r="Q109" s="50" t="e">
        <f>IF(AND('Mapa final'!#REF!="Media",'Mapa final'!#REF!="Moderado"),CONCATENATE("R4C",'Mapa final'!#REF!),"")</f>
        <v>#REF!</v>
      </c>
      <c r="R109" s="111" t="e">
        <f>IF(AND('Mapa final'!#REF!="Media",'Mapa final'!#REF!="Moderado"),CONCATENATE("R4C",'Mapa final'!#REF!),"")</f>
        <v>#REF!</v>
      </c>
      <c r="S109" s="105" t="e">
        <f>IF(AND('Mapa final'!#REF!="Media",'Mapa final'!#REF!="Mayor"),CONCATENATE("R4C",'Mapa final'!#REF!),"")</f>
        <v>#REF!</v>
      </c>
      <c r="T109" s="42" t="e">
        <f>IF(AND('Mapa final'!#REF!="Media",'Mapa final'!#REF!="Mayor"),CONCATENATE("R4C",'Mapa final'!#REF!),"")</f>
        <v>#REF!</v>
      </c>
      <c r="U109" s="106" t="e">
        <f>IF(AND('Mapa final'!#REF!="Media",'Mapa final'!#REF!="Mayor"),CONCATENATE("R4C",'Mapa final'!#REF!),"")</f>
        <v>#REF!</v>
      </c>
      <c r="V109" s="43" t="e">
        <f>IF(AND('Mapa final'!#REF!="Media",'Mapa final'!#REF!="Catastrófico"),CONCATENATE("R4C",'Mapa final'!#REF!),"")</f>
        <v>#REF!</v>
      </c>
      <c r="W109" s="44" t="e">
        <f>IF(AND('Mapa final'!#REF!="Media",'Mapa final'!#REF!="Catastrófico"),CONCATENATE("R4C",'Mapa final'!#REF!),"")</f>
        <v>#REF!</v>
      </c>
      <c r="X109" s="100" t="e">
        <f>IF(AND('Mapa final'!#REF!="Media",'Mapa final'!#REF!="Catastrófico"),CONCATENATE("R4C",'Mapa final'!#REF!),"")</f>
        <v>#REF!</v>
      </c>
      <c r="Y109" s="56"/>
      <c r="Z109" s="322"/>
      <c r="AA109" s="323"/>
      <c r="AB109" s="323"/>
      <c r="AC109" s="323"/>
      <c r="AD109" s="323"/>
      <c r="AE109" s="324"/>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row>
    <row r="110" spans="1:61" ht="15" customHeight="1" x14ac:dyDescent="0.35">
      <c r="A110" s="56"/>
      <c r="B110" s="311"/>
      <c r="C110" s="311"/>
      <c r="D110" s="312"/>
      <c r="E110" s="288"/>
      <c r="F110" s="301"/>
      <c r="G110" s="301"/>
      <c r="H110" s="301"/>
      <c r="I110" s="283"/>
      <c r="J110" s="49" t="str">
        <f>IF(AND('Mapa final'!$AB$16="Media",'Mapa final'!$AD$16="Leve"),CONCATENATE("R5C",'Mapa final'!$R$16),"")</f>
        <v/>
      </c>
      <c r="K110" s="50" t="str">
        <f>IF(AND('Mapa final'!$AB$17="Media",'Mapa final'!$AD$17="Leve"),CONCATENATE("R5C",'Mapa final'!$R$17),"")</f>
        <v/>
      </c>
      <c r="L110" s="111" t="str">
        <f>IF(AND('Mapa final'!$AB$18="Media",'Mapa final'!$AD$18="Leve"),CONCATENATE("R5C",'Mapa final'!$R$18),"")</f>
        <v/>
      </c>
      <c r="M110" s="49" t="str">
        <f>IF(AND('Mapa final'!$AB$16="Media",'Mapa final'!$AD$16="Menor"),CONCATENATE("R5C",'Mapa final'!$R$16),"")</f>
        <v/>
      </c>
      <c r="N110" s="50" t="str">
        <f>IF(AND('Mapa final'!$AB$17="Media",'Mapa final'!$AD$17="Menor"),CONCATENATE("R5C",'Mapa final'!$R$17),"")</f>
        <v/>
      </c>
      <c r="O110" s="111" t="str">
        <f>IF(AND('Mapa final'!$AB$18="Media",'Mapa final'!$AD$18="Menor"),CONCATENATE("R5C",'Mapa final'!$R$18),"")</f>
        <v/>
      </c>
      <c r="P110" s="49" t="str">
        <f>IF(AND('Mapa final'!$AB$16="Media",'Mapa final'!$AD$16="Moderado"),CONCATENATE("R5C",'Mapa final'!$R$16),"")</f>
        <v>R5C1</v>
      </c>
      <c r="Q110" s="50" t="str">
        <f>IF(AND('Mapa final'!$AB$17="Media",'Mapa final'!$AD$17="Moderado"),CONCATENATE("R5C",'Mapa final'!$R$17),"")</f>
        <v/>
      </c>
      <c r="R110" s="111" t="str">
        <f>IF(AND('Mapa final'!$AB$18="Media",'Mapa final'!$AD$18="Moderado"),CONCATENATE("R5C",'Mapa final'!$R$18),"")</f>
        <v/>
      </c>
      <c r="S110" s="105" t="str">
        <f>IF(AND('Mapa final'!$AB$16="Media",'Mapa final'!$AD$16="Mayor"),CONCATENATE("R5C",'Mapa final'!$R$16),"")</f>
        <v/>
      </c>
      <c r="T110" s="42" t="str">
        <f>IF(AND('Mapa final'!$AB$17="Media",'Mapa final'!$AD$17="Mayor"),CONCATENATE("R5C",'Mapa final'!$R$17),"")</f>
        <v/>
      </c>
      <c r="U110" s="106" t="str">
        <f>IF(AND('Mapa final'!$AB$18="Media",'Mapa final'!$AD$18="Mayor"),CONCATENATE("R5C",'Mapa final'!$R$18),"")</f>
        <v/>
      </c>
      <c r="V110" s="43" t="str">
        <f>IF(AND('Mapa final'!$AB$16="Media",'Mapa final'!$AD$16="Catastrófico"),CONCATENATE("R5C",'Mapa final'!$R$16),"")</f>
        <v/>
      </c>
      <c r="W110" s="44" t="str">
        <f>IF(AND('Mapa final'!$AB$17="Media",'Mapa final'!$AD$17="Catastrófico"),CONCATENATE("R5C",'Mapa final'!$R$17),"")</f>
        <v/>
      </c>
      <c r="X110" s="100" t="str">
        <f>IF(AND('Mapa final'!$AB$18="Media",'Mapa final'!$AD$18="Catastrófico"),CONCATENATE("R5C",'Mapa final'!$R$18),"")</f>
        <v/>
      </c>
      <c r="Y110" s="56"/>
      <c r="Z110" s="322"/>
      <c r="AA110" s="323"/>
      <c r="AB110" s="323"/>
      <c r="AC110" s="323"/>
      <c r="AD110" s="323"/>
      <c r="AE110" s="324"/>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row>
    <row r="111" spans="1:61" ht="15" customHeight="1" x14ac:dyDescent="0.35">
      <c r="A111" s="56"/>
      <c r="B111" s="311"/>
      <c r="C111" s="311"/>
      <c r="D111" s="312"/>
      <c r="E111" s="288"/>
      <c r="F111" s="301"/>
      <c r="G111" s="301"/>
      <c r="H111" s="301"/>
      <c r="I111" s="283"/>
      <c r="J111" s="49" t="str">
        <f>IF(AND('Mapa final'!$AB$19="Media",'Mapa final'!$AD$19="Leve"),CONCATENATE("R6C",'Mapa final'!$R$19),"")</f>
        <v/>
      </c>
      <c r="K111" s="50" t="str">
        <f>IF(AND('Mapa final'!$AB$20="Media",'Mapa final'!$AD$20="Leve"),CONCATENATE("R6C",'Mapa final'!$R$20),"")</f>
        <v/>
      </c>
      <c r="L111" s="111" t="str">
        <f>IF(AND('Mapa final'!$AB$21="Media",'Mapa final'!$AD$21="Leve"),CONCATENATE("R6C",'Mapa final'!$R$21),"")</f>
        <v/>
      </c>
      <c r="M111" s="49" t="str">
        <f>IF(AND('Mapa final'!$AB$19="Media",'Mapa final'!$AD$19="Menor"),CONCATENATE("R6C",'Mapa final'!$R$19),"")</f>
        <v/>
      </c>
      <c r="N111" s="50" t="str">
        <f>IF(AND('Mapa final'!$AB$20="Media",'Mapa final'!$AD$20="Menor"),CONCATENATE("R6C",'Mapa final'!$R$20),"")</f>
        <v/>
      </c>
      <c r="O111" s="111" t="str">
        <f>IF(AND('Mapa final'!$AB$21="Media",'Mapa final'!$AD$21="Menor"),CONCATENATE("R6C",'Mapa final'!$R$21),"")</f>
        <v/>
      </c>
      <c r="P111" s="49" t="str">
        <f>IF(AND('Mapa final'!$AB$19="Media",'Mapa final'!$AD$19="Moderado"),CONCATENATE("R6C",'Mapa final'!$R$19),"")</f>
        <v/>
      </c>
      <c r="Q111" s="50" t="str">
        <f>IF(AND('Mapa final'!$AB$20="Media",'Mapa final'!$AD$20="Moderado"),CONCATENATE("R6C",'Mapa final'!$R$20),"")</f>
        <v/>
      </c>
      <c r="R111" s="111" t="str">
        <f>IF(AND('Mapa final'!$AB$21="Media",'Mapa final'!$AD$21="Moderado"),CONCATENATE("R6C",'Mapa final'!$R$21),"")</f>
        <v/>
      </c>
      <c r="S111" s="105" t="str">
        <f>IF(AND('Mapa final'!$AB$19="Media",'Mapa final'!$AD$19="Mayor"),CONCATENATE("R6C",'Mapa final'!$R$19),"")</f>
        <v/>
      </c>
      <c r="T111" s="42" t="str">
        <f>IF(AND('Mapa final'!$AB$20="Media",'Mapa final'!$AD$20="Mayor"),CONCATENATE("R6C",'Mapa final'!$R$20),"")</f>
        <v/>
      </c>
      <c r="U111" s="106" t="str">
        <f>IF(AND('Mapa final'!$AB$21="Media",'Mapa final'!$AD$21="Mayor"),CONCATENATE("R6C",'Mapa final'!$R$21),"")</f>
        <v/>
      </c>
      <c r="V111" s="43" t="str">
        <f>IF(AND('Mapa final'!$AB$19="Media",'Mapa final'!$AD$19="Catastrófico"),CONCATENATE("R6C",'Mapa final'!$R$19),"")</f>
        <v/>
      </c>
      <c r="W111" s="44" t="str">
        <f>IF(AND('Mapa final'!$AB$20="Media",'Mapa final'!$AD$20="Catastrófico"),CONCATENATE("R6C",'Mapa final'!$R$20),"")</f>
        <v/>
      </c>
      <c r="X111" s="100" t="str">
        <f>IF(AND('Mapa final'!$AB$21="Media",'Mapa final'!$AD$21="Catastrófico"),CONCATENATE("R6C",'Mapa final'!$R$21),"")</f>
        <v/>
      </c>
      <c r="Y111" s="56"/>
      <c r="Z111" s="322"/>
      <c r="AA111" s="323"/>
      <c r="AB111" s="323"/>
      <c r="AC111" s="323"/>
      <c r="AD111" s="323"/>
      <c r="AE111" s="324"/>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row>
    <row r="112" spans="1:61" ht="15" customHeight="1" x14ac:dyDescent="0.35">
      <c r="A112" s="56"/>
      <c r="B112" s="311"/>
      <c r="C112" s="311"/>
      <c r="D112" s="312"/>
      <c r="E112" s="288"/>
      <c r="F112" s="301"/>
      <c r="G112" s="301"/>
      <c r="H112" s="301"/>
      <c r="I112" s="283"/>
      <c r="J112" s="49" t="str">
        <f>IF(AND('Mapa final'!$AB$22="Media",'Mapa final'!$AD$22="Leve"),CONCATENATE("R7C",'Mapa final'!$R$22),"")</f>
        <v/>
      </c>
      <c r="K112" s="50" t="str">
        <f>IF(AND('Mapa final'!$AB$23="Media",'Mapa final'!$AD$23="Leve"),CONCATENATE("R7C",'Mapa final'!$R$23),"")</f>
        <v/>
      </c>
      <c r="L112" s="111" t="str">
        <f>IF(AND('Mapa final'!$AB$24="Media",'Mapa final'!$AD$24="Leve"),CONCATENATE("R7C",'Mapa final'!$R$24),"")</f>
        <v/>
      </c>
      <c r="M112" s="49" t="str">
        <f>IF(AND('Mapa final'!$AB$22="Media",'Mapa final'!$AD$22="Menor"),CONCATENATE("R7C",'Mapa final'!$R$22),"")</f>
        <v/>
      </c>
      <c r="N112" s="50" t="str">
        <f>IF(AND('Mapa final'!$AB$23="Media",'Mapa final'!$AD$23="Menor"),CONCATENATE("R7C",'Mapa final'!$R$23),"")</f>
        <v/>
      </c>
      <c r="O112" s="111" t="str">
        <f>IF(AND('Mapa final'!$AB$24="Media",'Mapa final'!$AD$24="Menor"),CONCATENATE("R7C",'Mapa final'!$R$24),"")</f>
        <v/>
      </c>
      <c r="P112" s="49" t="str">
        <f>IF(AND('Mapa final'!$AB$22="Media",'Mapa final'!$AD$22="Moderado"),CONCATENATE("R7C",'Mapa final'!$R$22),"")</f>
        <v/>
      </c>
      <c r="Q112" s="50" t="str">
        <f>IF(AND('Mapa final'!$AB$23="Media",'Mapa final'!$AD$23="Moderado"),CONCATENATE("R7C",'Mapa final'!$R$23),"")</f>
        <v/>
      </c>
      <c r="R112" s="111" t="str">
        <f>IF(AND('Mapa final'!$AB$24="Media",'Mapa final'!$AD$24="Moderado"),CONCATENATE("R7C",'Mapa final'!$R$24),"")</f>
        <v/>
      </c>
      <c r="S112" s="105" t="str">
        <f>IF(AND('Mapa final'!$AB$22="Media",'Mapa final'!$AD$22="Mayor"),CONCATENATE("R7C",'Mapa final'!$R$22),"")</f>
        <v/>
      </c>
      <c r="T112" s="42" t="str">
        <f>IF(AND('Mapa final'!$AB$23="Media",'Mapa final'!$AD$23="Mayor"),CONCATENATE("R7C",'Mapa final'!$R$23),"")</f>
        <v/>
      </c>
      <c r="U112" s="106" t="str">
        <f>IF(AND('Mapa final'!$AB$24="Media",'Mapa final'!$AD$24="Mayor"),CONCATENATE("R7C",'Mapa final'!$R$24),"")</f>
        <v/>
      </c>
      <c r="V112" s="43" t="str">
        <f>IF(AND('Mapa final'!$AB$22="Media",'Mapa final'!$AD$22="Catastrófico"),CONCATENATE("R7C",'Mapa final'!$R$22),"")</f>
        <v/>
      </c>
      <c r="W112" s="44" t="str">
        <f>IF(AND('Mapa final'!$AB$23="Media",'Mapa final'!$AD$23="Catastrófico"),CONCATENATE("R7C",'Mapa final'!$R$23),"")</f>
        <v/>
      </c>
      <c r="X112" s="100" t="str">
        <f>IF(AND('Mapa final'!$AB$24="Media",'Mapa final'!$AD$24="Catastrófico"),CONCATENATE("R7C",'Mapa final'!$R$24),"")</f>
        <v/>
      </c>
      <c r="Y112" s="56"/>
      <c r="Z112" s="322"/>
      <c r="AA112" s="323"/>
      <c r="AB112" s="323"/>
      <c r="AC112" s="323"/>
      <c r="AD112" s="323"/>
      <c r="AE112" s="324"/>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row>
    <row r="113" spans="1:61" ht="15" customHeight="1" x14ac:dyDescent="0.35">
      <c r="A113" s="56"/>
      <c r="B113" s="311"/>
      <c r="C113" s="311"/>
      <c r="D113" s="312"/>
      <c r="E113" s="288"/>
      <c r="F113" s="301"/>
      <c r="G113" s="301"/>
      <c r="H113" s="301"/>
      <c r="I113" s="283"/>
      <c r="J113" s="49" t="str">
        <f>IF(AND('Mapa final'!$AB$25="Media",'Mapa final'!$AD$25="Leve"),CONCATENATE("R8C",'Mapa final'!$R$25),"")</f>
        <v/>
      </c>
      <c r="K113" s="50" t="str">
        <f>IF(AND('Mapa final'!$AB$26="Media",'Mapa final'!$AD$26="Leve"),CONCATENATE("R8C",'Mapa final'!$R$26),"")</f>
        <v/>
      </c>
      <c r="L113" s="111" t="str">
        <f>IF(AND('Mapa final'!$AB$27="Media",'Mapa final'!$AD$27="Leve"),CONCATENATE("R8C",'Mapa final'!$R$27),"")</f>
        <v/>
      </c>
      <c r="M113" s="49" t="str">
        <f>IF(AND('Mapa final'!$AB$25="Media",'Mapa final'!$AD$25="Menor"),CONCATENATE("R8C",'Mapa final'!$R$25),"")</f>
        <v/>
      </c>
      <c r="N113" s="50" t="str">
        <f>IF(AND('Mapa final'!$AB$26="Media",'Mapa final'!$AD$26="Menor"),CONCATENATE("R8C",'Mapa final'!$R$26),"")</f>
        <v/>
      </c>
      <c r="O113" s="111" t="str">
        <f>IF(AND('Mapa final'!$AB$27="Media",'Mapa final'!$AD$27="Menor"),CONCATENATE("R8C",'Mapa final'!$R$27),"")</f>
        <v/>
      </c>
      <c r="P113" s="49" t="str">
        <f>IF(AND('Mapa final'!$AB$25="Media",'Mapa final'!$AD$25="Moderado"),CONCATENATE("R8C",'Mapa final'!$R$25),"")</f>
        <v>R8C1</v>
      </c>
      <c r="Q113" s="50" t="str">
        <f>IF(AND('Mapa final'!$AB$26="Media",'Mapa final'!$AD$26="Moderado"),CONCATENATE("R8C",'Mapa final'!$R$26),"")</f>
        <v/>
      </c>
      <c r="R113" s="111" t="str">
        <f>IF(AND('Mapa final'!$AB$27="Media",'Mapa final'!$AD$27="Moderado"),CONCATENATE("R8C",'Mapa final'!$R$27),"")</f>
        <v/>
      </c>
      <c r="S113" s="105" t="str">
        <f>IF(AND('Mapa final'!$AB$25="Media",'Mapa final'!$AD$25="Mayor"),CONCATENATE("R8C",'Mapa final'!$R$25),"")</f>
        <v/>
      </c>
      <c r="T113" s="42" t="str">
        <f>IF(AND('Mapa final'!$AB$26="Media",'Mapa final'!$AD$26="Mayor"),CONCATENATE("R8C",'Mapa final'!$R$26),"")</f>
        <v/>
      </c>
      <c r="U113" s="106" t="str">
        <f>IF(AND('Mapa final'!$AB$27="Media",'Mapa final'!$AD$27="Mayor"),CONCATENATE("R8C",'Mapa final'!$R$27),"")</f>
        <v/>
      </c>
      <c r="V113" s="43" t="str">
        <f>IF(AND('Mapa final'!$AB$25="Media",'Mapa final'!$AD$25="Catastrófico"),CONCATENATE("R8C",'Mapa final'!$R$25),"")</f>
        <v/>
      </c>
      <c r="W113" s="44" t="str">
        <f>IF(AND('Mapa final'!$AB$26="Media",'Mapa final'!$AD$26="Catastrófico"),CONCATENATE("R8C",'Mapa final'!$R$26),"")</f>
        <v/>
      </c>
      <c r="X113" s="100" t="str">
        <f>IF(AND('Mapa final'!$AB$27="Media",'Mapa final'!$AD$27="Catastrófico"),CONCATENATE("R8C",'Mapa final'!$R$27),"")</f>
        <v/>
      </c>
      <c r="Y113" s="56"/>
      <c r="Z113" s="322"/>
      <c r="AA113" s="323"/>
      <c r="AB113" s="323"/>
      <c r="AC113" s="323"/>
      <c r="AD113" s="323"/>
      <c r="AE113" s="324"/>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row>
    <row r="114" spans="1:61" ht="15" customHeight="1" x14ac:dyDescent="0.35">
      <c r="A114" s="56"/>
      <c r="B114" s="311"/>
      <c r="C114" s="311"/>
      <c r="D114" s="312"/>
      <c r="E114" s="288"/>
      <c r="F114" s="301"/>
      <c r="G114" s="301"/>
      <c r="H114" s="301"/>
      <c r="I114" s="283"/>
      <c r="J114" s="49" t="str">
        <f>IF(AND('Mapa final'!$AB$28="Media",'Mapa final'!$AD$28="Leve"),CONCATENATE("R9C",'Mapa final'!$R$28),"")</f>
        <v/>
      </c>
      <c r="K114" s="50" t="str">
        <f>IF(AND('Mapa final'!$AB$29="Media",'Mapa final'!$AD$29="Leve"),CONCATENATE("R9C",'Mapa final'!$R$29),"")</f>
        <v/>
      </c>
      <c r="L114" s="111" t="str">
        <f>IF(AND('Mapa final'!$AB$30="Media",'Mapa final'!$AD$30="Leve"),CONCATENATE("R9C",'Mapa final'!$R$30),"")</f>
        <v/>
      </c>
      <c r="M114" s="49" t="str">
        <f>IF(AND('Mapa final'!$AB$28="Media",'Mapa final'!$AD$28="Menor"),CONCATENATE("R9C",'Mapa final'!$R$28),"")</f>
        <v/>
      </c>
      <c r="N114" s="50" t="str">
        <f>IF(AND('Mapa final'!$AB$29="Media",'Mapa final'!$AD$29="Menor"),CONCATENATE("R9C",'Mapa final'!$R$29),"")</f>
        <v/>
      </c>
      <c r="O114" s="111" t="str">
        <f>IF(AND('Mapa final'!$AB$30="Media",'Mapa final'!$AD$30="Menor"),CONCATENATE("R9C",'Mapa final'!$R$30),"")</f>
        <v/>
      </c>
      <c r="P114" s="49" t="str">
        <f>IF(AND('Mapa final'!$AB$28="Media",'Mapa final'!$AD$28="Moderado"),CONCATENATE("R9C",'Mapa final'!$R$28),"")</f>
        <v/>
      </c>
      <c r="Q114" s="50" t="str">
        <f>IF(AND('Mapa final'!$AB$29="Media",'Mapa final'!$AD$29="Moderado"),CONCATENATE("R9C",'Mapa final'!$R$29),"")</f>
        <v/>
      </c>
      <c r="R114" s="111" t="str">
        <f>IF(AND('Mapa final'!$AB$30="Media",'Mapa final'!$AD$30="Moderado"),CONCATENATE("R9C",'Mapa final'!$R$30),"")</f>
        <v/>
      </c>
      <c r="S114" s="105" t="str">
        <f>IF(AND('Mapa final'!$AB$28="Media",'Mapa final'!$AD$28="Mayor"),CONCATENATE("R9C",'Mapa final'!$R$28),"")</f>
        <v>R9C1</v>
      </c>
      <c r="T114" s="42" t="str">
        <f>IF(AND('Mapa final'!$AB$29="Media",'Mapa final'!$AD$29="Mayor"),CONCATENATE("R9C",'Mapa final'!$R$29),"")</f>
        <v/>
      </c>
      <c r="U114" s="106" t="str">
        <f>IF(AND('Mapa final'!$AB$30="Media",'Mapa final'!$AD$30="Mayor"),CONCATENATE("R9C",'Mapa final'!$R$30),"")</f>
        <v/>
      </c>
      <c r="V114" s="43" t="str">
        <f>IF(AND('Mapa final'!$AB$28="Media",'Mapa final'!$AD$28="Catastrófico"),CONCATENATE("R9C",'Mapa final'!$R$28),"")</f>
        <v/>
      </c>
      <c r="W114" s="44" t="str">
        <f>IF(AND('Mapa final'!$AB$29="Media",'Mapa final'!$AD$29="Catastrófico"),CONCATENATE("R9C",'Mapa final'!$R$29),"")</f>
        <v/>
      </c>
      <c r="X114" s="100" t="str">
        <f>IF(AND('Mapa final'!$AB$30="Media",'Mapa final'!$AD$30="Catastrófico"),CONCATENATE("R9C",'Mapa final'!$R$30),"")</f>
        <v/>
      </c>
      <c r="Y114" s="56"/>
      <c r="Z114" s="322"/>
      <c r="AA114" s="323"/>
      <c r="AB114" s="323"/>
      <c r="AC114" s="323"/>
      <c r="AD114" s="323"/>
      <c r="AE114" s="324"/>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1:61" ht="15" customHeight="1" x14ac:dyDescent="0.35">
      <c r="A115" s="56"/>
      <c r="B115" s="311"/>
      <c r="C115" s="311"/>
      <c r="D115" s="312"/>
      <c r="E115" s="288"/>
      <c r="F115" s="301"/>
      <c r="G115" s="301"/>
      <c r="H115" s="301"/>
      <c r="I115" s="283"/>
      <c r="J115" s="49" t="str">
        <f>IF(AND('Mapa final'!$AB$31="Media",'Mapa final'!$AD$31="Leve"),CONCATENATE("R10C",'Mapa final'!$R$31),"")</f>
        <v/>
      </c>
      <c r="K115" s="50" t="str">
        <f>IF(AND('Mapa final'!$AB$32="Media",'Mapa final'!$AD$32="Leve"),CONCATENATE("R10C",'Mapa final'!$R$32),"")</f>
        <v/>
      </c>
      <c r="L115" s="111" t="str">
        <f>IF(AND('Mapa final'!$AB$33="Media",'Mapa final'!$AD$33="Leve"),CONCATENATE("R10C",'Mapa final'!$R$33),"")</f>
        <v/>
      </c>
      <c r="M115" s="49" t="str">
        <f>IF(AND('Mapa final'!$AB$31="Media",'Mapa final'!$AD$31="Menor"),CONCATENATE("R10C",'Mapa final'!$R$31),"")</f>
        <v/>
      </c>
      <c r="N115" s="50" t="str">
        <f>IF(AND('Mapa final'!$AB$32="Media",'Mapa final'!$AD$32="Menor"),CONCATENATE("R10C",'Mapa final'!$R$32),"")</f>
        <v/>
      </c>
      <c r="O115" s="111" t="str">
        <f>IF(AND('Mapa final'!$AB$33="Media",'Mapa final'!$AD$33="Menor"),CONCATENATE("R10C",'Mapa final'!$R$33),"")</f>
        <v/>
      </c>
      <c r="P115" s="49" t="str">
        <f>IF(AND('Mapa final'!$AB$31="Media",'Mapa final'!$AD$31="Moderado"),CONCATENATE("R10C",'Mapa final'!$R$31),"")</f>
        <v>R10C1</v>
      </c>
      <c r="Q115" s="50" t="str">
        <f>IF(AND('Mapa final'!$AB$32="Media",'Mapa final'!$AD$32="Moderado"),CONCATENATE("R10C",'Mapa final'!$R$32),"")</f>
        <v/>
      </c>
      <c r="R115" s="111" t="str">
        <f>IF(AND('Mapa final'!$AB$33="Media",'Mapa final'!$AD$33="Moderado"),CONCATENATE("R10C",'Mapa final'!$R$33),"")</f>
        <v/>
      </c>
      <c r="S115" s="105" t="str">
        <f>IF(AND('Mapa final'!$AB$31="Media",'Mapa final'!$AD$31="Mayor"),CONCATENATE("R10C",'Mapa final'!$R$31),"")</f>
        <v/>
      </c>
      <c r="T115" s="42" t="str">
        <f>IF(AND('Mapa final'!$AB$32="Media",'Mapa final'!$AD$32="Mayor"),CONCATENATE("R10C",'Mapa final'!$R$32),"")</f>
        <v/>
      </c>
      <c r="U115" s="106" t="str">
        <f>IF(AND('Mapa final'!$AB$33="Media",'Mapa final'!$AD$33="Mayor"),CONCATENATE("R10C",'Mapa final'!$R$33),"")</f>
        <v/>
      </c>
      <c r="V115" s="43" t="str">
        <f>IF(AND('Mapa final'!$AB$31="Media",'Mapa final'!$AD$31="Catastrófico"),CONCATENATE("R10C",'Mapa final'!$R$31),"")</f>
        <v/>
      </c>
      <c r="W115" s="44" t="str">
        <f>IF(AND('Mapa final'!$AB$32="Media",'Mapa final'!$AD$32="Catastrófico"),CONCATENATE("R10C",'Mapa final'!$R$32),"")</f>
        <v/>
      </c>
      <c r="X115" s="100" t="str">
        <f>IF(AND('Mapa final'!$AB$33="Media",'Mapa final'!$AD$33="Catastrófico"),CONCATENATE("R10C",'Mapa final'!$R$33),"")</f>
        <v/>
      </c>
      <c r="Y115" s="56"/>
      <c r="Z115" s="322"/>
      <c r="AA115" s="323"/>
      <c r="AB115" s="323"/>
      <c r="AC115" s="323"/>
      <c r="AD115" s="323"/>
      <c r="AE115" s="324"/>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1:61" ht="15" customHeight="1" x14ac:dyDescent="0.35">
      <c r="A116" s="56"/>
      <c r="B116" s="311"/>
      <c r="C116" s="311"/>
      <c r="D116" s="312"/>
      <c r="E116" s="288"/>
      <c r="F116" s="301"/>
      <c r="G116" s="301"/>
      <c r="H116" s="301"/>
      <c r="I116" s="283"/>
      <c r="J116" s="49" t="str">
        <f>IF(AND('Mapa final'!$AB$34="Media",'Mapa final'!$AD$34="Leve"),CONCATENATE("R11C",'Mapa final'!$R$34),"")</f>
        <v/>
      </c>
      <c r="K116" s="50" t="str">
        <f>IF(AND('Mapa final'!$AB$35="Media",'Mapa final'!$AD$35="Leve"),CONCATENATE("R11C",'Mapa final'!$R$35),"")</f>
        <v/>
      </c>
      <c r="L116" s="111" t="str">
        <f>IF(AND('Mapa final'!$AB$36="Media",'Mapa final'!$AD$36="Leve"),CONCATENATE("R11C",'Mapa final'!$R$36),"")</f>
        <v/>
      </c>
      <c r="M116" s="49" t="str">
        <f>IF(AND('Mapa final'!$AB$34="Media",'Mapa final'!$AD$34="Menor"),CONCATENATE("R11C",'Mapa final'!$R$34),"")</f>
        <v/>
      </c>
      <c r="N116" s="50" t="str">
        <f>IF(AND('Mapa final'!$AB$35="Media",'Mapa final'!$AD$35="Menor"),CONCATENATE("R11C",'Mapa final'!$R$35),"")</f>
        <v/>
      </c>
      <c r="O116" s="111" t="str">
        <f>IF(AND('Mapa final'!$AB$36="Media",'Mapa final'!$AD$36="Menor"),CONCATENATE("R11C",'Mapa final'!$R$36),"")</f>
        <v/>
      </c>
      <c r="P116" s="49" t="str">
        <f>IF(AND('Mapa final'!$AB$34="Media",'Mapa final'!$AD$34="Moderado"),CONCATENATE("R11C",'Mapa final'!$R$34),"")</f>
        <v/>
      </c>
      <c r="Q116" s="50" t="str">
        <f>IF(AND('Mapa final'!$AB$35="Media",'Mapa final'!$AD$35="Moderado"),CONCATENATE("R11C",'Mapa final'!$R$35),"")</f>
        <v/>
      </c>
      <c r="R116" s="111" t="str">
        <f>IF(AND('Mapa final'!$AB$36="Media",'Mapa final'!$AD$36="Moderado"),CONCATENATE("R11C",'Mapa final'!$R$36),"")</f>
        <v/>
      </c>
      <c r="S116" s="105" t="str">
        <f>IF(AND('Mapa final'!$AB$34="Media",'Mapa final'!$AD$34="Mayor"),CONCATENATE("R11C",'Mapa final'!$R$34),"")</f>
        <v/>
      </c>
      <c r="T116" s="42" t="str">
        <f>IF(AND('Mapa final'!$AB$35="Media",'Mapa final'!$AD$35="Mayor"),CONCATENATE("R11C",'Mapa final'!$R$35),"")</f>
        <v/>
      </c>
      <c r="U116" s="106" t="str">
        <f>IF(AND('Mapa final'!$AB$36="Media",'Mapa final'!$AD$36="Mayor"),CONCATENATE("R11C",'Mapa final'!$R$36),"")</f>
        <v/>
      </c>
      <c r="V116" s="43" t="str">
        <f>IF(AND('Mapa final'!$AB$34="Media",'Mapa final'!$AD$34="Catastrófico"),CONCATENATE("R11C",'Mapa final'!$R$34),"")</f>
        <v/>
      </c>
      <c r="W116" s="44" t="str">
        <f>IF(AND('Mapa final'!$AB$35="Media",'Mapa final'!$AD$35="Catastrófico"),CONCATENATE("R11C",'Mapa final'!$R$35),"")</f>
        <v/>
      </c>
      <c r="X116" s="100" t="str">
        <f>IF(AND('Mapa final'!$AB$36="Media",'Mapa final'!$AD$36="Catastrófico"),CONCATENATE("R11C",'Mapa final'!$R$36),"")</f>
        <v/>
      </c>
      <c r="Y116" s="56"/>
      <c r="Z116" s="322"/>
      <c r="AA116" s="323"/>
      <c r="AB116" s="323"/>
      <c r="AC116" s="323"/>
      <c r="AD116" s="323"/>
      <c r="AE116" s="324"/>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1:61" ht="15" customHeight="1" x14ac:dyDescent="0.35">
      <c r="A117" s="56"/>
      <c r="B117" s="311"/>
      <c r="C117" s="311"/>
      <c r="D117" s="312"/>
      <c r="E117" s="288"/>
      <c r="F117" s="301"/>
      <c r="G117" s="301"/>
      <c r="H117" s="301"/>
      <c r="I117" s="283"/>
      <c r="J117" s="49" t="str">
        <f>IF(AND('Mapa final'!$AB$37="Media",'Mapa final'!$AD$37="Leve"),CONCATENATE("R12C",'Mapa final'!$R$37),"")</f>
        <v/>
      </c>
      <c r="K117" s="50" t="str">
        <f>IF(AND('Mapa final'!$AB$38="Media",'Mapa final'!$AD$38="Leve"),CONCATENATE("R12C",'Mapa final'!$R$38),"")</f>
        <v/>
      </c>
      <c r="L117" s="111" t="str">
        <f>IF(AND('Mapa final'!$AB$39="Media",'Mapa final'!$AD$39="Leve"),CONCATENATE("R12C",'Mapa final'!$R$39),"")</f>
        <v/>
      </c>
      <c r="M117" s="49" t="str">
        <f>IF(AND('Mapa final'!$AB$37="Media",'Mapa final'!$AD$37="Menor"),CONCATENATE("R12C",'Mapa final'!$R$37),"")</f>
        <v/>
      </c>
      <c r="N117" s="50" t="str">
        <f>IF(AND('Mapa final'!$AB$38="Media",'Mapa final'!$AD$38="Menor"),CONCATENATE("R12C",'Mapa final'!$R$38),"")</f>
        <v/>
      </c>
      <c r="O117" s="111" t="str">
        <f>IF(AND('Mapa final'!$AB$39="Media",'Mapa final'!$AD$39="Menor"),CONCATENATE("R12C",'Mapa final'!$R$39),"")</f>
        <v/>
      </c>
      <c r="P117" s="49" t="str">
        <f>IF(AND('Mapa final'!$AB$37="Media",'Mapa final'!$AD$37="Moderado"),CONCATENATE("R12C",'Mapa final'!$R$37),"")</f>
        <v/>
      </c>
      <c r="Q117" s="50" t="str">
        <f>IF(AND('Mapa final'!$AB$38="Media",'Mapa final'!$AD$38="Moderado"),CONCATENATE("R12C",'Mapa final'!$R$38),"")</f>
        <v/>
      </c>
      <c r="R117" s="111" t="str">
        <f>IF(AND('Mapa final'!$AB$39="Media",'Mapa final'!$AD$39="Moderado"),CONCATENATE("R12C",'Mapa final'!$R$39),"")</f>
        <v/>
      </c>
      <c r="S117" s="105" t="str">
        <f>IF(AND('Mapa final'!$AB$37="Media",'Mapa final'!$AD$37="Mayor"),CONCATENATE("R12C",'Mapa final'!$R$37),"")</f>
        <v/>
      </c>
      <c r="T117" s="42" t="str">
        <f>IF(AND('Mapa final'!$AB$38="Media",'Mapa final'!$AD$38="Mayor"),CONCATENATE("R12C",'Mapa final'!$R$38),"")</f>
        <v/>
      </c>
      <c r="U117" s="106" t="str">
        <f>IF(AND('Mapa final'!$AB$39="Media",'Mapa final'!$AD$39="Mayor"),CONCATENATE("R12C",'Mapa final'!$R$39),"")</f>
        <v/>
      </c>
      <c r="V117" s="43" t="str">
        <f>IF(AND('Mapa final'!$AB$37="Media",'Mapa final'!$AD$37="Catastrófico"),CONCATENATE("R12C",'Mapa final'!$R$37),"")</f>
        <v/>
      </c>
      <c r="W117" s="44" t="str">
        <f>IF(AND('Mapa final'!$AB$38="Media",'Mapa final'!$AD$38="Catastrófico"),CONCATENATE("R12C",'Mapa final'!$R$38),"")</f>
        <v/>
      </c>
      <c r="X117" s="100" t="str">
        <f>IF(AND('Mapa final'!$AB$39="Media",'Mapa final'!$AD$39="Catastrófico"),CONCATENATE("R12C",'Mapa final'!$R$39),"")</f>
        <v/>
      </c>
      <c r="Y117" s="56"/>
      <c r="Z117" s="322"/>
      <c r="AA117" s="323"/>
      <c r="AB117" s="323"/>
      <c r="AC117" s="323"/>
      <c r="AD117" s="323"/>
      <c r="AE117" s="324"/>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1:61" ht="15" customHeight="1" x14ac:dyDescent="0.35">
      <c r="A118" s="56"/>
      <c r="B118" s="311"/>
      <c r="C118" s="311"/>
      <c r="D118" s="312"/>
      <c r="E118" s="288"/>
      <c r="F118" s="301"/>
      <c r="G118" s="301"/>
      <c r="H118" s="301"/>
      <c r="I118" s="283"/>
      <c r="J118" s="49" t="str">
        <f>IF(AND('Mapa final'!$AB$40="Media",'Mapa final'!$AD$40="Leve"),CONCATENATE("R13C",'Mapa final'!$R$40),"")</f>
        <v/>
      </c>
      <c r="K118" s="50" t="str">
        <f>IF(AND('Mapa final'!$AB$41="Media",'Mapa final'!$AD$41="Leve"),CONCATENATE("R13C",'Mapa final'!$R$41),"")</f>
        <v/>
      </c>
      <c r="L118" s="111" t="str">
        <f>IF(AND('Mapa final'!$AB$42="Media",'Mapa final'!$AD$42="Leve"),CONCATENATE("R13C",'Mapa final'!$R$42),"")</f>
        <v/>
      </c>
      <c r="M118" s="49" t="str">
        <f>IF(AND('Mapa final'!$AB$40="Media",'Mapa final'!$AD$40="Menor"),CONCATENATE("R13C",'Mapa final'!$R$40),"")</f>
        <v/>
      </c>
      <c r="N118" s="50" t="str">
        <f>IF(AND('Mapa final'!$AB$41="Media",'Mapa final'!$AD$41="Menor"),CONCATENATE("R13C",'Mapa final'!$R$41),"")</f>
        <v/>
      </c>
      <c r="O118" s="111" t="str">
        <f>IF(AND('Mapa final'!$AB$42="Media",'Mapa final'!$AD$42="Menor"),CONCATENATE("R13C",'Mapa final'!$R$42),"")</f>
        <v/>
      </c>
      <c r="P118" s="49" t="str">
        <f>IF(AND('Mapa final'!$AB$40="Media",'Mapa final'!$AD$40="Moderado"),CONCATENATE("R13C",'Mapa final'!$R$40),"")</f>
        <v/>
      </c>
      <c r="Q118" s="50" t="str">
        <f>IF(AND('Mapa final'!$AB$41="Media",'Mapa final'!$AD$41="Moderado"),CONCATENATE("R13C",'Mapa final'!$R$41),"")</f>
        <v/>
      </c>
      <c r="R118" s="111" t="str">
        <f>IF(AND('Mapa final'!$AB$42="Media",'Mapa final'!$AD$42="Moderado"),CONCATENATE("R13C",'Mapa final'!$R$42),"")</f>
        <v/>
      </c>
      <c r="S118" s="105" t="str">
        <f>IF(AND('Mapa final'!$AB$40="Media",'Mapa final'!$AD$40="Mayor"),CONCATENATE("R13C",'Mapa final'!$R$40),"")</f>
        <v/>
      </c>
      <c r="T118" s="42" t="str">
        <f>IF(AND('Mapa final'!$AB$41="Media",'Mapa final'!$AD$41="Mayor"),CONCATENATE("R13C",'Mapa final'!$R$41),"")</f>
        <v/>
      </c>
      <c r="U118" s="106" t="str">
        <f>IF(AND('Mapa final'!$AB$42="Media",'Mapa final'!$AD$42="Mayor"),CONCATENATE("R13C",'Mapa final'!$R$42),"")</f>
        <v/>
      </c>
      <c r="V118" s="43" t="str">
        <f>IF(AND('Mapa final'!$AB$40="Media",'Mapa final'!$AD$40="Catastrófico"),CONCATENATE("R13C",'Mapa final'!$R$40),"")</f>
        <v/>
      </c>
      <c r="W118" s="44" t="str">
        <f>IF(AND('Mapa final'!$AB$41="Media",'Mapa final'!$AD$41="Catastrófico"),CONCATENATE("R13C",'Mapa final'!$R$41),"")</f>
        <v/>
      </c>
      <c r="X118" s="100" t="str">
        <f>IF(AND('Mapa final'!$AB$42="Media",'Mapa final'!$AD$42="Catastrófico"),CONCATENATE("R13C",'Mapa final'!$R$42),"")</f>
        <v/>
      </c>
      <c r="Y118" s="56"/>
      <c r="Z118" s="322"/>
      <c r="AA118" s="323"/>
      <c r="AB118" s="323"/>
      <c r="AC118" s="323"/>
      <c r="AD118" s="323"/>
      <c r="AE118" s="324"/>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row>
    <row r="119" spans="1:61" ht="15" customHeight="1" x14ac:dyDescent="0.35">
      <c r="A119" s="56"/>
      <c r="B119" s="311"/>
      <c r="C119" s="311"/>
      <c r="D119" s="312"/>
      <c r="E119" s="288"/>
      <c r="F119" s="301"/>
      <c r="G119" s="301"/>
      <c r="H119" s="301"/>
      <c r="I119" s="283"/>
      <c r="J119" s="49" t="str">
        <f>IF(AND('Mapa final'!$AB$43="Media",'Mapa final'!$AD$43="Leve"),CONCATENATE("R14C",'Mapa final'!$R$43),"")</f>
        <v/>
      </c>
      <c r="K119" s="50" t="str">
        <f>IF(AND('Mapa final'!$AB$44="Media",'Mapa final'!$AD$44="Leve"),CONCATENATE("R14C",'Mapa final'!$R$44),"")</f>
        <v/>
      </c>
      <c r="L119" s="111" t="str">
        <f>IF(AND('Mapa final'!$AB$45="Media",'Mapa final'!$AD$45="Leve"),CONCATENATE("R14C",'Mapa final'!$R$45),"")</f>
        <v/>
      </c>
      <c r="M119" s="49" t="str">
        <f>IF(AND('Mapa final'!$AB$43="Media",'Mapa final'!$AD$43="Menor"),CONCATENATE("R14C",'Mapa final'!$R$43),"")</f>
        <v/>
      </c>
      <c r="N119" s="50" t="str">
        <f>IF(AND('Mapa final'!$AB$44="Media",'Mapa final'!$AD$44="Menor"),CONCATENATE("R14C",'Mapa final'!$R$44),"")</f>
        <v/>
      </c>
      <c r="O119" s="111" t="str">
        <f>IF(AND('Mapa final'!$AB$45="Media",'Mapa final'!$AD$45="Menor"),CONCATENATE("R14C",'Mapa final'!$R$45),"")</f>
        <v/>
      </c>
      <c r="P119" s="49" t="str">
        <f>IF(AND('Mapa final'!$AB$43="Media",'Mapa final'!$AD$43="Moderado"),CONCATENATE("R14C",'Mapa final'!$R$43),"")</f>
        <v/>
      </c>
      <c r="Q119" s="50" t="str">
        <f>IF(AND('Mapa final'!$AB$44="Media",'Mapa final'!$AD$44="Moderado"),CONCATENATE("R14C",'Mapa final'!$R$44),"")</f>
        <v/>
      </c>
      <c r="R119" s="111" t="str">
        <f>IF(AND('Mapa final'!$AB$45="Media",'Mapa final'!$AD$45="Moderado"),CONCATENATE("R14C",'Mapa final'!$R$45),"")</f>
        <v/>
      </c>
      <c r="S119" s="105" t="str">
        <f>IF(AND('Mapa final'!$AB$43="Media",'Mapa final'!$AD$43="Mayor"),CONCATENATE("R14C",'Mapa final'!$R$43),"")</f>
        <v/>
      </c>
      <c r="T119" s="42" t="str">
        <f>IF(AND('Mapa final'!$AB$44="Media",'Mapa final'!$AD$44="Mayor"),CONCATENATE("R14C",'Mapa final'!$R$44),"")</f>
        <v/>
      </c>
      <c r="U119" s="106" t="str">
        <f>IF(AND('Mapa final'!$AB$45="Media",'Mapa final'!$AD$45="Mayor"),CONCATENATE("R14C",'Mapa final'!$R$45),"")</f>
        <v/>
      </c>
      <c r="V119" s="43" t="str">
        <f>IF(AND('Mapa final'!$AB$43="Media",'Mapa final'!$AD$43="Catastrófico"),CONCATENATE("R14C",'Mapa final'!$R$43),"")</f>
        <v/>
      </c>
      <c r="W119" s="44" t="str">
        <f>IF(AND('Mapa final'!$AB$44="Media",'Mapa final'!$AD$44="Catastrófico"),CONCATENATE("R14C",'Mapa final'!$R$44),"")</f>
        <v/>
      </c>
      <c r="X119" s="100" t="str">
        <f>IF(AND('Mapa final'!$AB$45="Media",'Mapa final'!$AD$45="Catastrófico"),CONCATENATE("R14C",'Mapa final'!$R$45),"")</f>
        <v/>
      </c>
      <c r="Y119" s="56"/>
      <c r="Z119" s="322"/>
      <c r="AA119" s="323"/>
      <c r="AB119" s="323"/>
      <c r="AC119" s="323"/>
      <c r="AD119" s="323"/>
      <c r="AE119" s="324"/>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row>
    <row r="120" spans="1:61" ht="15" customHeight="1" x14ac:dyDescent="0.35">
      <c r="A120" s="56"/>
      <c r="B120" s="311"/>
      <c r="C120" s="311"/>
      <c r="D120" s="312"/>
      <c r="E120" s="288"/>
      <c r="F120" s="301"/>
      <c r="G120" s="301"/>
      <c r="H120" s="301"/>
      <c r="I120" s="283"/>
      <c r="J120" s="49" t="str">
        <f>IF(AND('Mapa final'!$AB$46="Media",'Mapa final'!$AD$46="Leve"),CONCATENATE("R15C",'Mapa final'!$R$46),"")</f>
        <v/>
      </c>
      <c r="K120" s="50" t="str">
        <f>IF(AND('Mapa final'!$AB$47="Media",'Mapa final'!$AD$47="Leve"),CONCATENATE("R15C",'Mapa final'!$R$47),"")</f>
        <v/>
      </c>
      <c r="L120" s="111" t="str">
        <f>IF(AND('Mapa final'!$AB$48="Media",'Mapa final'!$AD$48="Leve"),CONCATENATE("R15C",'Mapa final'!$R$48),"")</f>
        <v/>
      </c>
      <c r="M120" s="49" t="str">
        <f>IF(AND('Mapa final'!$AB$46="Media",'Mapa final'!$AD$46="Menor"),CONCATENATE("R15C",'Mapa final'!$R$46),"")</f>
        <v/>
      </c>
      <c r="N120" s="50" t="str">
        <f>IF(AND('Mapa final'!$AB$47="Media",'Mapa final'!$AD$47="Menor"),CONCATENATE("R15C",'Mapa final'!$R$47),"")</f>
        <v/>
      </c>
      <c r="O120" s="111" t="str">
        <f>IF(AND('Mapa final'!$AB$48="Media",'Mapa final'!$AD$48="Menor"),CONCATENATE("R15C",'Mapa final'!$R$48),"")</f>
        <v/>
      </c>
      <c r="P120" s="49" t="str">
        <f>IF(AND('Mapa final'!$AB$46="Media",'Mapa final'!$AD$46="Moderado"),CONCATENATE("R15C",'Mapa final'!$R$46),"")</f>
        <v>R15C1</v>
      </c>
      <c r="Q120" s="50" t="str">
        <f>IF(AND('Mapa final'!$AB$47="Media",'Mapa final'!$AD$47="Moderado"),CONCATENATE("R15C",'Mapa final'!$R$47),"")</f>
        <v/>
      </c>
      <c r="R120" s="111" t="str">
        <f>IF(AND('Mapa final'!$AB$48="Media",'Mapa final'!$AD$48="Moderado"),CONCATENATE("R15C",'Mapa final'!$R$48),"")</f>
        <v/>
      </c>
      <c r="S120" s="105" t="str">
        <f>IF(AND('Mapa final'!$AB$46="Media",'Mapa final'!$AD$46="Mayor"),CONCATENATE("R15C",'Mapa final'!$R$46),"")</f>
        <v/>
      </c>
      <c r="T120" s="42" t="str">
        <f>IF(AND('Mapa final'!$AB$47="Media",'Mapa final'!$AD$47="Mayor"),CONCATENATE("R15C",'Mapa final'!$R$47),"")</f>
        <v/>
      </c>
      <c r="U120" s="106" t="str">
        <f>IF(AND('Mapa final'!$AB$48="Media",'Mapa final'!$AD$48="Mayor"),CONCATENATE("R15C",'Mapa final'!$R$48),"")</f>
        <v/>
      </c>
      <c r="V120" s="43" t="str">
        <f>IF(AND('Mapa final'!$AB$46="Media",'Mapa final'!$AD$46="Catastrófico"),CONCATENATE("R15C",'Mapa final'!$R$46),"")</f>
        <v/>
      </c>
      <c r="W120" s="44" t="str">
        <f>IF(AND('Mapa final'!$AB$47="Media",'Mapa final'!$AD$47="Catastrófico"),CONCATENATE("R15C",'Mapa final'!$R$47),"")</f>
        <v/>
      </c>
      <c r="X120" s="100" t="str">
        <f>IF(AND('Mapa final'!$AB$48="Media",'Mapa final'!$AD$48="Catastrófico"),CONCATENATE("R15C",'Mapa final'!$R$48),"")</f>
        <v/>
      </c>
      <c r="Y120" s="56"/>
      <c r="Z120" s="322"/>
      <c r="AA120" s="323"/>
      <c r="AB120" s="323"/>
      <c r="AC120" s="323"/>
      <c r="AD120" s="323"/>
      <c r="AE120" s="324"/>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row>
    <row r="121" spans="1:61" ht="15" customHeight="1" x14ac:dyDescent="0.35">
      <c r="A121" s="56"/>
      <c r="B121" s="311"/>
      <c r="C121" s="311"/>
      <c r="D121" s="312"/>
      <c r="E121" s="288"/>
      <c r="F121" s="301"/>
      <c r="G121" s="301"/>
      <c r="H121" s="301"/>
      <c r="I121" s="283"/>
      <c r="J121" s="49" t="str">
        <f>IF(AND('Mapa final'!$AB$49="Media",'Mapa final'!$AD$49="Leve"),CONCATENATE("R16C",'Mapa final'!$R$49),"")</f>
        <v/>
      </c>
      <c r="K121" s="50" t="str">
        <f>IF(AND('Mapa final'!$AB$50="Media",'Mapa final'!$AD$50="Leve"),CONCATENATE("R16C",'Mapa final'!$R$50),"")</f>
        <v/>
      </c>
      <c r="L121" s="111" t="str">
        <f>IF(AND('Mapa final'!$AB$51="Media",'Mapa final'!$AD$51="Leve"),CONCATENATE("R16C",'Mapa final'!$R$51),"")</f>
        <v/>
      </c>
      <c r="M121" s="49" t="str">
        <f>IF(AND('Mapa final'!$AB$49="Media",'Mapa final'!$AD$49="Menor"),CONCATENATE("R16C",'Mapa final'!$R$49),"")</f>
        <v/>
      </c>
      <c r="N121" s="50" t="str">
        <f>IF(AND('Mapa final'!$AB$50="Media",'Mapa final'!$AD$50="Menor"),CONCATENATE("R16C",'Mapa final'!$R$50),"")</f>
        <v/>
      </c>
      <c r="O121" s="111" t="str">
        <f>IF(AND('Mapa final'!$AB$51="Media",'Mapa final'!$AD$51="Menor"),CONCATENATE("R16C",'Mapa final'!$R$51),"")</f>
        <v/>
      </c>
      <c r="P121" s="49" t="str">
        <f>IF(AND('Mapa final'!$AB$49="Media",'Mapa final'!$AD$49="Moderado"),CONCATENATE("R16C",'Mapa final'!$R$49),"")</f>
        <v/>
      </c>
      <c r="Q121" s="50" t="str">
        <f>IF(AND('Mapa final'!$AB$50="Media",'Mapa final'!$AD$50="Moderado"),CONCATENATE("R16C",'Mapa final'!$R$50),"")</f>
        <v/>
      </c>
      <c r="R121" s="111" t="str">
        <f>IF(AND('Mapa final'!$AB$51="Media",'Mapa final'!$AD$51="Moderado"),CONCATENATE("R16C",'Mapa final'!$R$51),"")</f>
        <v/>
      </c>
      <c r="S121" s="105" t="str">
        <f>IF(AND('Mapa final'!$AB$49="Media",'Mapa final'!$AD$49="Mayor"),CONCATENATE("R16C",'Mapa final'!$R$49),"")</f>
        <v/>
      </c>
      <c r="T121" s="42" t="str">
        <f>IF(AND('Mapa final'!$AB$50="Media",'Mapa final'!$AD$50="Mayor"),CONCATENATE("R16C",'Mapa final'!$R$50),"")</f>
        <v/>
      </c>
      <c r="U121" s="106" t="str">
        <f>IF(AND('Mapa final'!$AB$51="Media",'Mapa final'!$AD$51="Mayor"),CONCATENATE("R16C",'Mapa final'!$R$51),"")</f>
        <v/>
      </c>
      <c r="V121" s="43" t="str">
        <f>IF(AND('Mapa final'!$AB$49="Media",'Mapa final'!$AD$49="Catastrófico"),CONCATENATE("R16C",'Mapa final'!$R$49),"")</f>
        <v/>
      </c>
      <c r="W121" s="44" t="str">
        <f>IF(AND('Mapa final'!$AB$50="Media",'Mapa final'!$AD$50="Catastrófico"),CONCATENATE("R16C",'Mapa final'!$R$50),"")</f>
        <v/>
      </c>
      <c r="X121" s="100" t="str">
        <f>IF(AND('Mapa final'!$AB$51="Media",'Mapa final'!$AD$51="Catastrófico"),CONCATENATE("R16C",'Mapa final'!$R$51),"")</f>
        <v/>
      </c>
      <c r="Y121" s="56"/>
      <c r="Z121" s="322"/>
      <c r="AA121" s="323"/>
      <c r="AB121" s="323"/>
      <c r="AC121" s="323"/>
      <c r="AD121" s="323"/>
      <c r="AE121" s="324"/>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row>
    <row r="122" spans="1:61" ht="15" customHeight="1" x14ac:dyDescent="0.35">
      <c r="A122" s="56"/>
      <c r="B122" s="311"/>
      <c r="C122" s="311"/>
      <c r="D122" s="312"/>
      <c r="E122" s="288"/>
      <c r="F122" s="301"/>
      <c r="G122" s="301"/>
      <c r="H122" s="301"/>
      <c r="I122" s="283"/>
      <c r="J122" s="49" t="str">
        <f>IF(AND('Mapa final'!$AB$52="Media",'Mapa final'!$AD$52="Leve"),CONCATENATE("R17C",'Mapa final'!$R$52),"")</f>
        <v/>
      </c>
      <c r="K122" s="50" t="str">
        <f>IF(AND('Mapa final'!$AB$53="Media",'Mapa final'!$AD$53="Leve"),CONCATENATE("R17C",'Mapa final'!$R$53),"")</f>
        <v/>
      </c>
      <c r="L122" s="111" t="str">
        <f>IF(AND('Mapa final'!$AB$54="Media",'Mapa final'!$AD$54="Leve"),CONCATENATE("R17C",'Mapa final'!$R$54),"")</f>
        <v/>
      </c>
      <c r="M122" s="49" t="str">
        <f>IF(AND('Mapa final'!$AB$52="Media",'Mapa final'!$AD$52="Menor"),CONCATENATE("R17C",'Mapa final'!$R$52),"")</f>
        <v/>
      </c>
      <c r="N122" s="50" t="str">
        <f>IF(AND('Mapa final'!$AB$53="Media",'Mapa final'!$AD$53="Menor"),CONCATENATE("R17C",'Mapa final'!$R$53),"")</f>
        <v/>
      </c>
      <c r="O122" s="111" t="str">
        <f>IF(AND('Mapa final'!$AB$54="Media",'Mapa final'!$AD$54="Menor"),CONCATENATE("R17C",'Mapa final'!$R$54),"")</f>
        <v/>
      </c>
      <c r="P122" s="49" t="str">
        <f>IF(AND('Mapa final'!$AB$52="Media",'Mapa final'!$AD$52="Moderado"),CONCATENATE("R17C",'Mapa final'!$R$52),"")</f>
        <v/>
      </c>
      <c r="Q122" s="50" t="str">
        <f>IF(AND('Mapa final'!$AB$53="Media",'Mapa final'!$AD$53="Moderado"),CONCATENATE("R17C",'Mapa final'!$R$53),"")</f>
        <v/>
      </c>
      <c r="R122" s="111" t="str">
        <f>IF(AND('Mapa final'!$AB$54="Media",'Mapa final'!$AD$54="Moderado"),CONCATENATE("R17C",'Mapa final'!$R$54),"")</f>
        <v/>
      </c>
      <c r="S122" s="105" t="str">
        <f>IF(AND('Mapa final'!$AB$52="Media",'Mapa final'!$AD$52="Mayor"),CONCATENATE("R17C",'Mapa final'!$R$52),"")</f>
        <v>R17C1</v>
      </c>
      <c r="T122" s="42" t="str">
        <f>IF(AND('Mapa final'!$AB$53="Media",'Mapa final'!$AD$53="Mayor"),CONCATENATE("R17C",'Mapa final'!$R$53),"")</f>
        <v/>
      </c>
      <c r="U122" s="106" t="str">
        <f>IF(AND('Mapa final'!$AB$54="Media",'Mapa final'!$AD$54="Mayor"),CONCATENATE("R17C",'Mapa final'!$R$54),"")</f>
        <v/>
      </c>
      <c r="V122" s="43" t="str">
        <f>IF(AND('Mapa final'!$AB$52="Media",'Mapa final'!$AD$52="Catastrófico"),CONCATENATE("R17C",'Mapa final'!$R$52),"")</f>
        <v/>
      </c>
      <c r="W122" s="44" t="str">
        <f>IF(AND('Mapa final'!$AB$53="Media",'Mapa final'!$AD$53="Catastrófico"),CONCATENATE("R17C",'Mapa final'!$R$53),"")</f>
        <v/>
      </c>
      <c r="X122" s="100" t="str">
        <f>IF(AND('Mapa final'!$AB$54="Media",'Mapa final'!$AD$54="Catastrófico"),CONCATENATE("R17C",'Mapa final'!$R$54),"")</f>
        <v/>
      </c>
      <c r="Y122" s="56"/>
      <c r="Z122" s="322"/>
      <c r="AA122" s="323"/>
      <c r="AB122" s="323"/>
      <c r="AC122" s="323"/>
      <c r="AD122" s="323"/>
      <c r="AE122" s="324"/>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row>
    <row r="123" spans="1:61" ht="15" customHeight="1" x14ac:dyDescent="0.35">
      <c r="A123" s="56"/>
      <c r="B123" s="311"/>
      <c r="C123" s="311"/>
      <c r="D123" s="312"/>
      <c r="E123" s="288"/>
      <c r="F123" s="301"/>
      <c r="G123" s="301"/>
      <c r="H123" s="301"/>
      <c r="I123" s="283"/>
      <c r="J123" s="49" t="str">
        <f>IF(AND('Mapa final'!$AB$55="Media",'Mapa final'!$AD$55="Leve"),CONCATENATE("R18C",'Mapa final'!$R$55),"")</f>
        <v/>
      </c>
      <c r="K123" s="50" t="str">
        <f>IF(AND('Mapa final'!$AB$56="Media",'Mapa final'!$AD$56="Leve"),CONCATENATE("R18C",'Mapa final'!$R$56),"")</f>
        <v/>
      </c>
      <c r="L123" s="111" t="str">
        <f>IF(AND('Mapa final'!$AB$57="Media",'Mapa final'!$AD$57="Leve"),CONCATENATE("R18C",'Mapa final'!$R$57),"")</f>
        <v/>
      </c>
      <c r="M123" s="49" t="str">
        <f>IF(AND('Mapa final'!$AB$55="Media",'Mapa final'!$AD$55="Menor"),CONCATENATE("R18C",'Mapa final'!$R$55),"")</f>
        <v/>
      </c>
      <c r="N123" s="50" t="str">
        <f>IF(AND('Mapa final'!$AB$56="Media",'Mapa final'!$AD$56="Menor"),CONCATENATE("R18C",'Mapa final'!$R$56),"")</f>
        <v/>
      </c>
      <c r="O123" s="111" t="str">
        <f>IF(AND('Mapa final'!$AB$57="Media",'Mapa final'!$AD$57="Menor"),CONCATENATE("R18C",'Mapa final'!$R$57),"")</f>
        <v/>
      </c>
      <c r="P123" s="49" t="str">
        <f>IF(AND('Mapa final'!$AB$55="Media",'Mapa final'!$AD$55="Moderado"),CONCATENATE("R18C",'Mapa final'!$R$55),"")</f>
        <v>R18C1</v>
      </c>
      <c r="Q123" s="50" t="str">
        <f>IF(AND('Mapa final'!$AB$56="Media",'Mapa final'!$AD$56="Moderado"),CONCATENATE("R18C",'Mapa final'!$R$56),"")</f>
        <v/>
      </c>
      <c r="R123" s="111" t="str">
        <f>IF(AND('Mapa final'!$AB$57="Media",'Mapa final'!$AD$57="Moderado"),CONCATENATE("R18C",'Mapa final'!$R$57),"")</f>
        <v/>
      </c>
      <c r="S123" s="105" t="str">
        <f>IF(AND('Mapa final'!$AB$55="Media",'Mapa final'!$AD$55="Mayor"),CONCATENATE("R18C",'Mapa final'!$R$55),"")</f>
        <v/>
      </c>
      <c r="T123" s="42" t="str">
        <f>IF(AND('Mapa final'!$AB$56="Media",'Mapa final'!$AD$56="Mayor"),CONCATENATE("R18C",'Mapa final'!$R$56),"")</f>
        <v/>
      </c>
      <c r="U123" s="106" t="str">
        <f>IF(AND('Mapa final'!$AB$57="Media",'Mapa final'!$AD$57="Mayor"),CONCATENATE("R18C",'Mapa final'!$R$57),"")</f>
        <v/>
      </c>
      <c r="V123" s="43" t="str">
        <f>IF(AND('Mapa final'!$AB$55="Media",'Mapa final'!$AD$55="Catastrófico"),CONCATENATE("R18C",'Mapa final'!$R$55),"")</f>
        <v/>
      </c>
      <c r="W123" s="44" t="str">
        <f>IF(AND('Mapa final'!$AB$56="Media",'Mapa final'!$AD$56="Catastrófico"),CONCATENATE("R18C",'Mapa final'!$R$56),"")</f>
        <v/>
      </c>
      <c r="X123" s="100" t="str">
        <f>IF(AND('Mapa final'!$AB$57="Media",'Mapa final'!$AD$57="Catastrófico"),CONCATENATE("R18C",'Mapa final'!$R$57),"")</f>
        <v/>
      </c>
      <c r="Y123" s="56"/>
      <c r="Z123" s="322"/>
      <c r="AA123" s="323"/>
      <c r="AB123" s="323"/>
      <c r="AC123" s="323"/>
      <c r="AD123" s="323"/>
      <c r="AE123" s="324"/>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row>
    <row r="124" spans="1:61" ht="15" customHeight="1" x14ac:dyDescent="0.35">
      <c r="A124" s="56"/>
      <c r="B124" s="311"/>
      <c r="C124" s="311"/>
      <c r="D124" s="312"/>
      <c r="E124" s="288"/>
      <c r="F124" s="301"/>
      <c r="G124" s="301"/>
      <c r="H124" s="301"/>
      <c r="I124" s="283"/>
      <c r="J124" s="49" t="str">
        <f>IF(AND('Mapa final'!$AB$58="Media",'Mapa final'!$AD$58="Leve"),CONCATENATE("R19C",'Mapa final'!$R$58),"")</f>
        <v/>
      </c>
      <c r="K124" s="50" t="str">
        <f>IF(AND('Mapa final'!$AB$59="Media",'Mapa final'!$AD$59="Leve"),CONCATENATE("R19C",'Mapa final'!$R$59),"")</f>
        <v/>
      </c>
      <c r="L124" s="111" t="str">
        <f>IF(AND('Mapa final'!$AB$60="Media",'Mapa final'!$AD$60="Leve"),CONCATENATE("R19C",'Mapa final'!$R$60),"")</f>
        <v/>
      </c>
      <c r="M124" s="49" t="str">
        <f>IF(AND('Mapa final'!$AB$58="Media",'Mapa final'!$AD$58="Menor"),CONCATENATE("R19C",'Mapa final'!$R$58),"")</f>
        <v/>
      </c>
      <c r="N124" s="50" t="str">
        <f>IF(AND('Mapa final'!$AB$59="Media",'Mapa final'!$AD$59="Menor"),CONCATENATE("R19C",'Mapa final'!$R$59),"")</f>
        <v/>
      </c>
      <c r="O124" s="111" t="str">
        <f>IF(AND('Mapa final'!$AB$60="Media",'Mapa final'!$AD$60="Menor"),CONCATENATE("R19C",'Mapa final'!$R$60),"")</f>
        <v/>
      </c>
      <c r="P124" s="49" t="str">
        <f>IF(AND('Mapa final'!$AB$58="Media",'Mapa final'!$AD$58="Moderado"),CONCATENATE("R19C",'Mapa final'!$R$58),"")</f>
        <v>R19C1</v>
      </c>
      <c r="Q124" s="50" t="str">
        <f>IF(AND('Mapa final'!$AB$59="Media",'Mapa final'!$AD$59="Moderado"),CONCATENATE("R19C",'Mapa final'!$R$59),"")</f>
        <v/>
      </c>
      <c r="R124" s="111" t="str">
        <f>IF(AND('Mapa final'!$AB$60="Media",'Mapa final'!$AD$60="Moderado"),CONCATENATE("R19C",'Mapa final'!$R$60),"")</f>
        <v/>
      </c>
      <c r="S124" s="105" t="str">
        <f>IF(AND('Mapa final'!$AB$58="Media",'Mapa final'!$AD$58="Mayor"),CONCATENATE("R19C",'Mapa final'!$R$58),"")</f>
        <v/>
      </c>
      <c r="T124" s="42" t="str">
        <f>IF(AND('Mapa final'!$AB$59="Media",'Mapa final'!$AD$59="Mayor"),CONCATENATE("R19C",'Mapa final'!$R$59),"")</f>
        <v/>
      </c>
      <c r="U124" s="106" t="str">
        <f>IF(AND('Mapa final'!$AB$60="Media",'Mapa final'!$AD$60="Mayor"),CONCATENATE("R19C",'Mapa final'!$R$60),"")</f>
        <v/>
      </c>
      <c r="V124" s="43" t="str">
        <f>IF(AND('Mapa final'!$AB$58="Media",'Mapa final'!$AD$58="Catastrófico"),CONCATENATE("R19C",'Mapa final'!$R$58),"")</f>
        <v/>
      </c>
      <c r="W124" s="44" t="str">
        <f>IF(AND('Mapa final'!$AB$59="Media",'Mapa final'!$AD$59="Catastrófico"),CONCATENATE("R19C",'Mapa final'!$R$59),"")</f>
        <v/>
      </c>
      <c r="X124" s="100" t="str">
        <f>IF(AND('Mapa final'!$AB$60="Media",'Mapa final'!$AD$60="Catastrófico"),CONCATENATE("R19C",'Mapa final'!$R$60),"")</f>
        <v/>
      </c>
      <c r="Y124" s="56"/>
      <c r="Z124" s="322"/>
      <c r="AA124" s="323"/>
      <c r="AB124" s="323"/>
      <c r="AC124" s="323"/>
      <c r="AD124" s="323"/>
      <c r="AE124" s="324"/>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row>
    <row r="125" spans="1:61" ht="15" customHeight="1" x14ac:dyDescent="0.35">
      <c r="A125" s="56"/>
      <c r="B125" s="311"/>
      <c r="C125" s="311"/>
      <c r="D125" s="312"/>
      <c r="E125" s="288"/>
      <c r="F125" s="301"/>
      <c r="G125" s="301"/>
      <c r="H125" s="301"/>
      <c r="I125" s="283"/>
      <c r="J125" s="49" t="str">
        <f>IF(AND('Mapa final'!$AB$61="Media",'Mapa final'!$AD$61="Leve"),CONCATENATE("R20C",'Mapa final'!$R$61),"")</f>
        <v/>
      </c>
      <c r="K125" s="50" t="str">
        <f>IF(AND('Mapa final'!$AB$62="Media",'Mapa final'!$AD$62="Leve"),CONCATENATE("R20C",'Mapa final'!$R$62),"")</f>
        <v/>
      </c>
      <c r="L125" s="111" t="str">
        <f>IF(AND('Mapa final'!$AB$63="Media",'Mapa final'!$AD$63="Leve"),CONCATENATE("R20C",'Mapa final'!$R$63),"")</f>
        <v/>
      </c>
      <c r="M125" s="49" t="str">
        <f>IF(AND('Mapa final'!$AB$61="Media",'Mapa final'!$AD$61="Menor"),CONCATENATE("R20C",'Mapa final'!$R$61),"")</f>
        <v/>
      </c>
      <c r="N125" s="50" t="str">
        <f>IF(AND('Mapa final'!$AB$62="Media",'Mapa final'!$AD$62="Menor"),CONCATENATE("R20C",'Mapa final'!$R$62),"")</f>
        <v/>
      </c>
      <c r="O125" s="111" t="str">
        <f>IF(AND('Mapa final'!$AB$63="Media",'Mapa final'!$AD$63="Menor"),CONCATENATE("R20C",'Mapa final'!$R$63),"")</f>
        <v/>
      </c>
      <c r="P125" s="49" t="str">
        <f>IF(AND('Mapa final'!$AB$61="Media",'Mapa final'!$AD$61="Moderado"),CONCATENATE("R20C",'Mapa final'!$R$61),"")</f>
        <v/>
      </c>
      <c r="Q125" s="50" t="str">
        <f>IF(AND('Mapa final'!$AB$62="Media",'Mapa final'!$AD$62="Moderado"),CONCATENATE("R20C",'Mapa final'!$R$62),"")</f>
        <v/>
      </c>
      <c r="R125" s="111" t="str">
        <f>IF(AND('Mapa final'!$AB$63="Media",'Mapa final'!$AD$63="Moderado"),CONCATENATE("R20C",'Mapa final'!$R$63),"")</f>
        <v/>
      </c>
      <c r="S125" s="105" t="str">
        <f>IF(AND('Mapa final'!$AB$61="Media",'Mapa final'!$AD$61="Mayor"),CONCATENATE("R20C",'Mapa final'!$R$61),"")</f>
        <v/>
      </c>
      <c r="T125" s="42" t="str">
        <f>IF(AND('Mapa final'!$AB$62="Media",'Mapa final'!$AD$62="Mayor"),CONCATENATE("R20C",'Mapa final'!$R$62),"")</f>
        <v/>
      </c>
      <c r="U125" s="106" t="str">
        <f>IF(AND('Mapa final'!$AB$63="Media",'Mapa final'!$AD$63="Mayor"),CONCATENATE("R20C",'Mapa final'!$R$63),"")</f>
        <v/>
      </c>
      <c r="V125" s="43" t="str">
        <f>IF(AND('Mapa final'!$AB$61="Media",'Mapa final'!$AD$61="Catastrófico"),CONCATENATE("R20C",'Mapa final'!$R$61),"")</f>
        <v/>
      </c>
      <c r="W125" s="44" t="str">
        <f>IF(AND('Mapa final'!$AB$62="Media",'Mapa final'!$AD$62="Catastrófico"),CONCATENATE("R20C",'Mapa final'!$R$62),"")</f>
        <v/>
      </c>
      <c r="X125" s="100" t="str">
        <f>IF(AND('Mapa final'!$AB$63="Media",'Mapa final'!$AD$63="Catastrófico"),CONCATENATE("R20C",'Mapa final'!$R$63),"")</f>
        <v/>
      </c>
      <c r="Y125" s="56"/>
      <c r="Z125" s="322"/>
      <c r="AA125" s="323"/>
      <c r="AB125" s="323"/>
      <c r="AC125" s="323"/>
      <c r="AD125" s="323"/>
      <c r="AE125" s="324"/>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row>
    <row r="126" spans="1:61" ht="15" customHeight="1" x14ac:dyDescent="0.35">
      <c r="A126" s="56"/>
      <c r="B126" s="311"/>
      <c r="C126" s="311"/>
      <c r="D126" s="312"/>
      <c r="E126" s="288"/>
      <c r="F126" s="301"/>
      <c r="G126" s="301"/>
      <c r="H126" s="301"/>
      <c r="I126" s="283"/>
      <c r="J126" s="49" t="str">
        <f>IF(AND('Mapa final'!$AB$64="Media",'Mapa final'!$AD$64="Leve"),CONCATENATE("R21C",'Mapa final'!$R$64),"")</f>
        <v/>
      </c>
      <c r="K126" s="50" t="str">
        <f>IF(AND('Mapa final'!$AB$65="Media",'Mapa final'!$AD$65="Leve"),CONCATENATE("R21C",'Mapa final'!$R$65),"")</f>
        <v/>
      </c>
      <c r="L126" s="111" t="str">
        <f>IF(AND('Mapa final'!$AB$66="Media",'Mapa final'!$AD$66="Leve"),CONCATENATE("R21C",'Mapa final'!$R$66),"")</f>
        <v/>
      </c>
      <c r="M126" s="49" t="str">
        <f>IF(AND('Mapa final'!$AB$64="Media",'Mapa final'!$AD$64="Menor"),CONCATENATE("R21C",'Mapa final'!$R$64),"")</f>
        <v/>
      </c>
      <c r="N126" s="50" t="str">
        <f>IF(AND('Mapa final'!$AB$65="Media",'Mapa final'!$AD$65="Menor"),CONCATENATE("R21C",'Mapa final'!$R$65),"")</f>
        <v/>
      </c>
      <c r="O126" s="111" t="str">
        <f>IF(AND('Mapa final'!$AB$66="Media",'Mapa final'!$AD$66="Menor"),CONCATENATE("R21C",'Mapa final'!$R$66),"")</f>
        <v/>
      </c>
      <c r="P126" s="49" t="str">
        <f>IF(AND('Mapa final'!$AB$64="Media",'Mapa final'!$AD$64="Moderado"),CONCATENATE("R21C",'Mapa final'!$R$64),"")</f>
        <v/>
      </c>
      <c r="Q126" s="50" t="str">
        <f>IF(AND('Mapa final'!$AB$65="Media",'Mapa final'!$AD$65="Moderado"),CONCATENATE("R21C",'Mapa final'!$R$65),"")</f>
        <v/>
      </c>
      <c r="R126" s="111" t="str">
        <f>IF(AND('Mapa final'!$AB$66="Media",'Mapa final'!$AD$66="Moderado"),CONCATENATE("R21C",'Mapa final'!$R$66),"")</f>
        <v/>
      </c>
      <c r="S126" s="105" t="str">
        <f>IF(AND('Mapa final'!$AB$64="Media",'Mapa final'!$AD$64="Mayor"),CONCATENATE("R21C",'Mapa final'!$R$64),"")</f>
        <v/>
      </c>
      <c r="T126" s="42" t="str">
        <f>IF(AND('Mapa final'!$AB$65="Media",'Mapa final'!$AD$65="Mayor"),CONCATENATE("R21C",'Mapa final'!$R$65),"")</f>
        <v/>
      </c>
      <c r="U126" s="106" t="str">
        <f>IF(AND('Mapa final'!$AB$66="Media",'Mapa final'!$AD$66="Mayor"),CONCATENATE("R21C",'Mapa final'!$R$66),"")</f>
        <v/>
      </c>
      <c r="V126" s="43" t="str">
        <f>IF(AND('Mapa final'!$AB$64="Media",'Mapa final'!$AD$64="Catastrófico"),CONCATENATE("R21C",'Mapa final'!$R$64),"")</f>
        <v/>
      </c>
      <c r="W126" s="44" t="str">
        <f>IF(AND('Mapa final'!$AB$65="Media",'Mapa final'!$AD$65="Catastrófico"),CONCATENATE("R21C",'Mapa final'!$R$65),"")</f>
        <v/>
      </c>
      <c r="X126" s="100" t="str">
        <f>IF(AND('Mapa final'!$AB$66="Media",'Mapa final'!$AD$66="Catastrófico"),CONCATENATE("R21C",'Mapa final'!$R$66),"")</f>
        <v/>
      </c>
      <c r="Y126" s="56"/>
      <c r="Z126" s="322"/>
      <c r="AA126" s="323"/>
      <c r="AB126" s="323"/>
      <c r="AC126" s="323"/>
      <c r="AD126" s="323"/>
      <c r="AE126" s="324"/>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row>
    <row r="127" spans="1:61" ht="15" customHeight="1" x14ac:dyDescent="0.35">
      <c r="A127" s="56"/>
      <c r="B127" s="311"/>
      <c r="C127" s="311"/>
      <c r="D127" s="312"/>
      <c r="E127" s="288"/>
      <c r="F127" s="301"/>
      <c r="G127" s="301"/>
      <c r="H127" s="301"/>
      <c r="I127" s="283"/>
      <c r="J127" s="49" t="str">
        <f>IF(AND('Mapa final'!$AB$67="Media",'Mapa final'!$AD$67="Leve"),CONCATENATE("R22C",'Mapa final'!$R$67),"")</f>
        <v/>
      </c>
      <c r="K127" s="50" t="str">
        <f>IF(AND('Mapa final'!$AB$68="Media",'Mapa final'!$AD$68="Leve"),CONCATENATE("R22C",'Mapa final'!$R$68),"")</f>
        <v/>
      </c>
      <c r="L127" s="111" t="str">
        <f>IF(AND('Mapa final'!$AB$69="Media",'Mapa final'!$AD$69="Leve"),CONCATENATE("R22C",'Mapa final'!$R$69),"")</f>
        <v/>
      </c>
      <c r="M127" s="49" t="str">
        <f>IF(AND('Mapa final'!$AB$67="Media",'Mapa final'!$AD$67="Menor"),CONCATENATE("R22C",'Mapa final'!$R$67),"")</f>
        <v/>
      </c>
      <c r="N127" s="50" t="str">
        <f>IF(AND('Mapa final'!$AB$68="Media",'Mapa final'!$AD$68="Menor"),CONCATENATE("R22C",'Mapa final'!$R$68),"")</f>
        <v/>
      </c>
      <c r="O127" s="111" t="str">
        <f>IF(AND('Mapa final'!$AB$69="Media",'Mapa final'!$AD$69="Menor"),CONCATENATE("R22C",'Mapa final'!$R$69),"")</f>
        <v/>
      </c>
      <c r="P127" s="49" t="str">
        <f>IF(AND('Mapa final'!$AB$67="Media",'Mapa final'!$AD$67="Moderado"),CONCATENATE("R22C",'Mapa final'!$R$67),"")</f>
        <v/>
      </c>
      <c r="Q127" s="50" t="str">
        <f>IF(AND('Mapa final'!$AB$68="Media",'Mapa final'!$AD$68="Moderado"),CONCATENATE("R22C",'Mapa final'!$R$68),"")</f>
        <v/>
      </c>
      <c r="R127" s="111" t="str">
        <f>IF(AND('Mapa final'!$AB$69="Media",'Mapa final'!$AD$69="Moderado"),CONCATENATE("R22C",'Mapa final'!$R$69),"")</f>
        <v/>
      </c>
      <c r="S127" s="105" t="str">
        <f>IF(AND('Mapa final'!$AB$67="Media",'Mapa final'!$AD$67="Mayor"),CONCATENATE("R22C",'Mapa final'!$R$67),"")</f>
        <v/>
      </c>
      <c r="T127" s="42" t="str">
        <f>IF(AND('Mapa final'!$AB$68="Media",'Mapa final'!$AD$68="Mayor"),CONCATENATE("R22C",'Mapa final'!$R$68),"")</f>
        <v/>
      </c>
      <c r="U127" s="106" t="str">
        <f>IF(AND('Mapa final'!$AB$69="Media",'Mapa final'!$AD$69="Mayor"),CONCATENATE("R22C",'Mapa final'!$R$69),"")</f>
        <v/>
      </c>
      <c r="V127" s="43" t="str">
        <f>IF(AND('Mapa final'!$AB$67="Media",'Mapa final'!$AD$67="Catastrófico"),CONCATENATE("R22C",'Mapa final'!$R$67),"")</f>
        <v/>
      </c>
      <c r="W127" s="44" t="str">
        <f>IF(AND('Mapa final'!$AB$68="Media",'Mapa final'!$AD$68="Catastrófico"),CONCATENATE("R22C",'Mapa final'!$R$68),"")</f>
        <v/>
      </c>
      <c r="X127" s="100" t="str">
        <f>IF(AND('Mapa final'!$AB$69="Media",'Mapa final'!$AD$69="Catastrófico"),CONCATENATE("R22C",'Mapa final'!$R$69),"")</f>
        <v/>
      </c>
      <c r="Y127" s="56"/>
      <c r="Z127" s="322"/>
      <c r="AA127" s="323"/>
      <c r="AB127" s="323"/>
      <c r="AC127" s="323"/>
      <c r="AD127" s="323"/>
      <c r="AE127" s="324"/>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row>
    <row r="128" spans="1:61" ht="15" customHeight="1" x14ac:dyDescent="0.35">
      <c r="A128" s="56"/>
      <c r="B128" s="311"/>
      <c r="C128" s="311"/>
      <c r="D128" s="312"/>
      <c r="E128" s="288"/>
      <c r="F128" s="301"/>
      <c r="G128" s="301"/>
      <c r="H128" s="301"/>
      <c r="I128" s="283"/>
      <c r="J128" s="49" t="str">
        <f>IF(AND('Mapa final'!$AB$73="Media",'Mapa final'!$AD$73="Leve"),CONCATENATE("R23C",'Mapa final'!$R$73),"")</f>
        <v/>
      </c>
      <c r="K128" s="50" t="str">
        <f>IF(AND('Mapa final'!$AB$74="Media",'Mapa final'!$AD$74="Leve"),CONCATENATE("R23C",'Mapa final'!$R$74),"")</f>
        <v/>
      </c>
      <c r="L128" s="111" t="str">
        <f>IF(AND('Mapa final'!$AB$75="Media",'Mapa final'!$AD$75="Leve"),CONCATENATE("R23C",'Mapa final'!$R$75),"")</f>
        <v/>
      </c>
      <c r="M128" s="49" t="str">
        <f>IF(AND('Mapa final'!$AB$73="Media",'Mapa final'!$AD$73="Menor"),CONCATENATE("R23C",'Mapa final'!$R$73),"")</f>
        <v/>
      </c>
      <c r="N128" s="50" t="str">
        <f>IF(AND('Mapa final'!$AB$74="Media",'Mapa final'!$AD$74="Menor"),CONCATENATE("R23C",'Mapa final'!$R$74),"")</f>
        <v/>
      </c>
      <c r="O128" s="111" t="str">
        <f>IF(AND('Mapa final'!$AB$75="Media",'Mapa final'!$AD$75="Menor"),CONCATENATE("R23C",'Mapa final'!$R$75),"")</f>
        <v/>
      </c>
      <c r="P128" s="49" t="str">
        <f>IF(AND('Mapa final'!$AB$73="Media",'Mapa final'!$AD$73="Moderado"),CONCATENATE("R23C",'Mapa final'!$R$73),"")</f>
        <v/>
      </c>
      <c r="Q128" s="50" t="str">
        <f>IF(AND('Mapa final'!$AB$74="Media",'Mapa final'!$AD$74="Moderado"),CONCATENATE("R23C",'Mapa final'!$R$74),"")</f>
        <v/>
      </c>
      <c r="R128" s="111" t="str">
        <f>IF(AND('Mapa final'!$AB$75="Media",'Mapa final'!$AD$75="Moderado"),CONCATENATE("R23C",'Mapa final'!$R$75),"")</f>
        <v/>
      </c>
      <c r="S128" s="105" t="str">
        <f>IF(AND('Mapa final'!$AB$73="Media",'Mapa final'!$AD$73="Mayor"),CONCATENATE("R23C",'Mapa final'!$R$73),"")</f>
        <v/>
      </c>
      <c r="T128" s="42" t="str">
        <f>IF(AND('Mapa final'!$AB$74="Media",'Mapa final'!$AD$74="Mayor"),CONCATENATE("R23C",'Mapa final'!$R$74),"")</f>
        <v/>
      </c>
      <c r="U128" s="106" t="str">
        <f>IF(AND('Mapa final'!$AB$75="Media",'Mapa final'!$AD$75="Mayor"),CONCATENATE("R23C",'Mapa final'!$R$75),"")</f>
        <v/>
      </c>
      <c r="V128" s="43" t="str">
        <f>IF(AND('Mapa final'!$AB$73="Media",'Mapa final'!$AD$73="Catastrófico"),CONCATENATE("R23C",'Mapa final'!$R$73),"")</f>
        <v/>
      </c>
      <c r="W128" s="44" t="str">
        <f>IF(AND('Mapa final'!$AB$74="Media",'Mapa final'!$AD$74="Catastrófico"),CONCATENATE("R23C",'Mapa final'!$R$74),"")</f>
        <v/>
      </c>
      <c r="X128" s="100" t="str">
        <f>IF(AND('Mapa final'!$AB$75="Media",'Mapa final'!$AD$75="Catastrófico"),CONCATENATE("R23C",'Mapa final'!$R$75),"")</f>
        <v/>
      </c>
      <c r="Y128" s="56"/>
      <c r="Z128" s="322"/>
      <c r="AA128" s="323"/>
      <c r="AB128" s="323"/>
      <c r="AC128" s="323"/>
      <c r="AD128" s="323"/>
      <c r="AE128" s="324"/>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row>
    <row r="129" spans="1:61" ht="15" customHeight="1" x14ac:dyDescent="0.35">
      <c r="A129" s="56"/>
      <c r="B129" s="311"/>
      <c r="C129" s="311"/>
      <c r="D129" s="312"/>
      <c r="E129" s="288"/>
      <c r="F129" s="301"/>
      <c r="G129" s="301"/>
      <c r="H129" s="301"/>
      <c r="I129" s="283"/>
      <c r="J129" s="49" t="str">
        <f>IF(AND('Mapa final'!$AB$76="Media",'Mapa final'!$AD$76="Leve"),CONCATENATE("R24C",'Mapa final'!$R$76),"")</f>
        <v/>
      </c>
      <c r="K129" s="50" t="str">
        <f>IF(AND('Mapa final'!$AB$77="Media",'Mapa final'!$AD$77="Leve"),CONCATENATE("R24C",'Mapa final'!$R$77),"")</f>
        <v/>
      </c>
      <c r="L129" s="111" t="str">
        <f>IF(AND('Mapa final'!$AB$78="Media",'Mapa final'!$AD$78="Leve"),CONCATENATE("R24C",'Mapa final'!$R$78),"")</f>
        <v/>
      </c>
      <c r="M129" s="49" t="str">
        <f>IF(AND('Mapa final'!$AB$76="Media",'Mapa final'!$AD$76="Menor"),CONCATENATE("R24C",'Mapa final'!$R$76),"")</f>
        <v/>
      </c>
      <c r="N129" s="50" t="str">
        <f>IF(AND('Mapa final'!$AB$77="Media",'Mapa final'!$AD$77="Menor"),CONCATENATE("R24C",'Mapa final'!$R$77),"")</f>
        <v/>
      </c>
      <c r="O129" s="111" t="str">
        <f>IF(AND('Mapa final'!$AB$78="Media",'Mapa final'!$AD$78="Menor"),CONCATENATE("R24C",'Mapa final'!$R$78),"")</f>
        <v/>
      </c>
      <c r="P129" s="49" t="str">
        <f>IF(AND('Mapa final'!$AB$76="Media",'Mapa final'!$AD$76="Moderado"),CONCATENATE("R24C",'Mapa final'!$R$76),"")</f>
        <v/>
      </c>
      <c r="Q129" s="50" t="str">
        <f>IF(AND('Mapa final'!$AB$77="Media",'Mapa final'!$AD$77="Moderado"),CONCATENATE("R24C",'Mapa final'!$R$77),"")</f>
        <v/>
      </c>
      <c r="R129" s="111" t="str">
        <f>IF(AND('Mapa final'!$AB$78="Media",'Mapa final'!$AD$78="Moderado"),CONCATENATE("R24C",'Mapa final'!$R$78),"")</f>
        <v/>
      </c>
      <c r="S129" s="105" t="str">
        <f>IF(AND('Mapa final'!$AB$76="Media",'Mapa final'!$AD$76="Mayor"),CONCATENATE("R24C",'Mapa final'!$R$76),"")</f>
        <v/>
      </c>
      <c r="T129" s="42" t="str">
        <f>IF(AND('Mapa final'!$AB$77="Media",'Mapa final'!$AD$77="Mayor"),CONCATENATE("R24C",'Mapa final'!$R$77),"")</f>
        <v/>
      </c>
      <c r="U129" s="106" t="str">
        <f>IF(AND('Mapa final'!$AB$78="Media",'Mapa final'!$AD$78="Mayor"),CONCATENATE("R24C",'Mapa final'!$R$78),"")</f>
        <v/>
      </c>
      <c r="V129" s="43" t="str">
        <f>IF(AND('Mapa final'!$AB$76="Media",'Mapa final'!$AD$76="Catastrófico"),CONCATENATE("R24C",'Mapa final'!$R$76),"")</f>
        <v/>
      </c>
      <c r="W129" s="44" t="str">
        <f>IF(AND('Mapa final'!$AB$77="Media",'Mapa final'!$AD$77="Catastrófico"),CONCATENATE("R24C",'Mapa final'!$R$77),"")</f>
        <v/>
      </c>
      <c r="X129" s="100" t="str">
        <f>IF(AND('Mapa final'!$AB$78="Media",'Mapa final'!$AD$78="Catastrófico"),CONCATENATE("R24C",'Mapa final'!$R$78),"")</f>
        <v/>
      </c>
      <c r="Y129" s="56"/>
      <c r="Z129" s="322"/>
      <c r="AA129" s="323"/>
      <c r="AB129" s="323"/>
      <c r="AC129" s="323"/>
      <c r="AD129" s="323"/>
      <c r="AE129" s="324"/>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row>
    <row r="130" spans="1:61" ht="15" customHeight="1" x14ac:dyDescent="0.35">
      <c r="A130" s="56"/>
      <c r="B130" s="311"/>
      <c r="C130" s="311"/>
      <c r="D130" s="312"/>
      <c r="E130" s="288"/>
      <c r="F130" s="301"/>
      <c r="G130" s="301"/>
      <c r="H130" s="301"/>
      <c r="I130" s="283"/>
      <c r="J130" s="49" t="str">
        <f>IF(AND('Mapa final'!$AB$79="Media",'Mapa final'!$AD$79="Leve"),CONCATENATE("R25C",'Mapa final'!$R$79),"")</f>
        <v/>
      </c>
      <c r="K130" s="50" t="str">
        <f>IF(AND('Mapa final'!$AB$80="Media",'Mapa final'!$AD$80="Leve"),CONCATENATE("R25C",'Mapa final'!$R$80),"")</f>
        <v/>
      </c>
      <c r="L130" s="111" t="str">
        <f>IF(AND('Mapa final'!$AB$81="Media",'Mapa final'!$AD$81="Leve"),CONCATENATE("R25C",'Mapa final'!$R$81),"")</f>
        <v/>
      </c>
      <c r="M130" s="49" t="str">
        <f>IF(AND('Mapa final'!$AB$79="Media",'Mapa final'!$AD$79="Menor"),CONCATENATE("R25C",'Mapa final'!$R$79),"")</f>
        <v/>
      </c>
      <c r="N130" s="50" t="str">
        <f>IF(AND('Mapa final'!$AB$80="Media",'Mapa final'!$AD$80="Menor"),CONCATENATE("R25C",'Mapa final'!$R$80),"")</f>
        <v/>
      </c>
      <c r="O130" s="111" t="str">
        <f>IF(AND('Mapa final'!$AB$81="Media",'Mapa final'!$AD$81="Menor"),CONCATENATE("R25C",'Mapa final'!$R$81),"")</f>
        <v/>
      </c>
      <c r="P130" s="49" t="str">
        <f>IF(AND('Mapa final'!$AB$79="Media",'Mapa final'!$AD$79="Moderado"),CONCATENATE("R25C",'Mapa final'!$R$79),"")</f>
        <v/>
      </c>
      <c r="Q130" s="50" t="str">
        <f>IF(AND('Mapa final'!$AB$80="Media",'Mapa final'!$AD$80="Moderado"),CONCATENATE("R25C",'Mapa final'!$R$80),"")</f>
        <v/>
      </c>
      <c r="R130" s="111" t="str">
        <f>IF(AND('Mapa final'!$AB$81="Media",'Mapa final'!$AD$81="Moderado"),CONCATENATE("R25C",'Mapa final'!$R$81),"")</f>
        <v/>
      </c>
      <c r="S130" s="105" t="str">
        <f>IF(AND('Mapa final'!$AB$79="Media",'Mapa final'!$AD$79="Mayor"),CONCATENATE("R25C",'Mapa final'!$R$79),"")</f>
        <v/>
      </c>
      <c r="T130" s="42" t="str">
        <f>IF(AND('Mapa final'!$AB$80="Media",'Mapa final'!$AD$80="Mayor"),CONCATENATE("R25C",'Mapa final'!$R$80),"")</f>
        <v/>
      </c>
      <c r="U130" s="106" t="str">
        <f>IF(AND('Mapa final'!$AB$81="Media",'Mapa final'!$AD$81="Mayor"),CONCATENATE("R25C",'Mapa final'!$R$81),"")</f>
        <v/>
      </c>
      <c r="V130" s="43" t="str">
        <f>IF(AND('Mapa final'!$AB$79="Media",'Mapa final'!$AD$79="Catastrófico"),CONCATENATE("R25C",'Mapa final'!$R$79),"")</f>
        <v/>
      </c>
      <c r="W130" s="44" t="str">
        <f>IF(AND('Mapa final'!$AB$80="Media",'Mapa final'!$AD$80="Catastrófico"),CONCATENATE("R25C",'Mapa final'!$R$80),"")</f>
        <v/>
      </c>
      <c r="X130" s="100" t="str">
        <f>IF(AND('Mapa final'!$AB$81="Media",'Mapa final'!$AD$81="Catastrófico"),CONCATENATE("R25C",'Mapa final'!$R$81),"")</f>
        <v/>
      </c>
      <c r="Y130" s="56"/>
      <c r="Z130" s="322"/>
      <c r="AA130" s="323"/>
      <c r="AB130" s="323"/>
      <c r="AC130" s="323"/>
      <c r="AD130" s="323"/>
      <c r="AE130" s="324"/>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row>
    <row r="131" spans="1:61" ht="15" customHeight="1" x14ac:dyDescent="0.35">
      <c r="A131" s="56"/>
      <c r="B131" s="311"/>
      <c r="C131" s="311"/>
      <c r="D131" s="312"/>
      <c r="E131" s="288"/>
      <c r="F131" s="301"/>
      <c r="G131" s="301"/>
      <c r="H131" s="301"/>
      <c r="I131" s="283"/>
      <c r="J131" s="49" t="str">
        <f>IF(AND('Mapa final'!$AB$82="Media",'Mapa final'!$AD$82="Leve"),CONCATENATE("R26C",'Mapa final'!$R$82),"")</f>
        <v/>
      </c>
      <c r="K131" s="50" t="str">
        <f>IF(AND('Mapa final'!$AB$83="Media",'Mapa final'!$AD$83="Leve"),CONCATENATE("R26C",'Mapa final'!$R$83),"")</f>
        <v/>
      </c>
      <c r="L131" s="111" t="str">
        <f>IF(AND('Mapa final'!$AB$84="Media",'Mapa final'!$AD$84="Leve"),CONCATENATE("R26C",'Mapa final'!$R$84),"")</f>
        <v/>
      </c>
      <c r="M131" s="49" t="str">
        <f>IF(AND('Mapa final'!$AB$82="Media",'Mapa final'!$AD$82="Menor"),CONCATENATE("R26C",'Mapa final'!$R$82),"")</f>
        <v/>
      </c>
      <c r="N131" s="50" t="str">
        <f>IF(AND('Mapa final'!$AB$83="Media",'Mapa final'!$AD$83="Menor"),CONCATENATE("R26C",'Mapa final'!$R$83),"")</f>
        <v/>
      </c>
      <c r="O131" s="111" t="str">
        <f>IF(AND('Mapa final'!$AB$84="Media",'Mapa final'!$AD$84="Menor"),CONCATENATE("R26C",'Mapa final'!$R$84),"")</f>
        <v/>
      </c>
      <c r="P131" s="49" t="str">
        <f>IF(AND('Mapa final'!$AB$82="Media",'Mapa final'!$AD$82="Moderado"),CONCATENATE("R26C",'Mapa final'!$R$82),"")</f>
        <v/>
      </c>
      <c r="Q131" s="50" t="str">
        <f>IF(AND('Mapa final'!$AB$83="Media",'Mapa final'!$AD$83="Moderado"),CONCATENATE("R26C",'Mapa final'!$R$83),"")</f>
        <v/>
      </c>
      <c r="R131" s="111" t="str">
        <f>IF(AND('Mapa final'!$AB$84="Media",'Mapa final'!$AD$84="Moderado"),CONCATENATE("R26C",'Mapa final'!$R$84),"")</f>
        <v/>
      </c>
      <c r="S131" s="105" t="str">
        <f>IF(AND('Mapa final'!$AB$82="Media",'Mapa final'!$AD$82="Mayor"),CONCATENATE("R26C",'Mapa final'!$R$82),"")</f>
        <v/>
      </c>
      <c r="T131" s="42" t="str">
        <f>IF(AND('Mapa final'!$AB$83="Media",'Mapa final'!$AD$83="Mayor"),CONCATENATE("R26C",'Mapa final'!$R$83),"")</f>
        <v/>
      </c>
      <c r="U131" s="106" t="str">
        <f>IF(AND('Mapa final'!$AB$84="Media",'Mapa final'!$AD$84="Mayor"),CONCATENATE("R26C",'Mapa final'!$R$84),"")</f>
        <v/>
      </c>
      <c r="V131" s="43" t="str">
        <f>IF(AND('Mapa final'!$AB$82="Media",'Mapa final'!$AD$82="Catastrófico"),CONCATENATE("R26C",'Mapa final'!$R$82),"")</f>
        <v/>
      </c>
      <c r="W131" s="44" t="str">
        <f>IF(AND('Mapa final'!$AB$83="Media",'Mapa final'!$AD$83="Catastrófico"),CONCATENATE("R26C",'Mapa final'!$R$83),"")</f>
        <v/>
      </c>
      <c r="X131" s="100" t="str">
        <f>IF(AND('Mapa final'!$AB$84="Media",'Mapa final'!$AD$84="Catastrófico"),CONCATENATE("R26C",'Mapa final'!$R$84),"")</f>
        <v/>
      </c>
      <c r="Y131" s="56"/>
      <c r="Z131" s="322"/>
      <c r="AA131" s="323"/>
      <c r="AB131" s="323"/>
      <c r="AC131" s="323"/>
      <c r="AD131" s="323"/>
      <c r="AE131" s="324"/>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row>
    <row r="132" spans="1:61" ht="15" customHeight="1" x14ac:dyDescent="0.35">
      <c r="A132" s="56"/>
      <c r="B132" s="311"/>
      <c r="C132" s="311"/>
      <c r="D132" s="312"/>
      <c r="E132" s="288"/>
      <c r="F132" s="301"/>
      <c r="G132" s="301"/>
      <c r="H132" s="301"/>
      <c r="I132" s="283"/>
      <c r="J132" s="49" t="str">
        <f>IF(AND('Mapa final'!$AB$85="Media",'Mapa final'!$AD$85="Leve"),CONCATENATE("R27C",'Mapa final'!$R$85),"")</f>
        <v/>
      </c>
      <c r="K132" s="50" t="str">
        <f>IF(AND('Mapa final'!$AB$86="Media",'Mapa final'!$AD$86="Leve"),CONCATENATE("R27C",'Mapa final'!$R$86),"")</f>
        <v/>
      </c>
      <c r="L132" s="111" t="str">
        <f>IF(AND('Mapa final'!$AB$87="Media",'Mapa final'!$AD$87="Leve"),CONCATENATE("R27C",'Mapa final'!$R$87),"")</f>
        <v/>
      </c>
      <c r="M132" s="49" t="str">
        <f>IF(AND('Mapa final'!$AB$85="Media",'Mapa final'!$AD$85="Menor"),CONCATENATE("R27C",'Mapa final'!$R$85),"")</f>
        <v/>
      </c>
      <c r="N132" s="50" t="str">
        <f>IF(AND('Mapa final'!$AB$86="Media",'Mapa final'!$AD$86="Menor"),CONCATENATE("R27C",'Mapa final'!$R$86),"")</f>
        <v/>
      </c>
      <c r="O132" s="111" t="str">
        <f>IF(AND('Mapa final'!$AB$87="Media",'Mapa final'!$AD$87="Menor"),CONCATENATE("R27C",'Mapa final'!$R$87),"")</f>
        <v/>
      </c>
      <c r="P132" s="49" t="str">
        <f>IF(AND('Mapa final'!$AB$85="Media",'Mapa final'!$AD$85="Moderado"),CONCATENATE("R27C",'Mapa final'!$R$85),"")</f>
        <v/>
      </c>
      <c r="Q132" s="50" t="str">
        <f>IF(AND('Mapa final'!$AB$86="Media",'Mapa final'!$AD$86="Moderado"),CONCATENATE("R27C",'Mapa final'!$R$86),"")</f>
        <v/>
      </c>
      <c r="R132" s="111" t="str">
        <f>IF(AND('Mapa final'!$AB$87="Media",'Mapa final'!$AD$87="Moderado"),CONCATENATE("R27C",'Mapa final'!$R$87),"")</f>
        <v/>
      </c>
      <c r="S132" s="105" t="str">
        <f>IF(AND('Mapa final'!$AB$85="Media",'Mapa final'!$AD$85="Mayor"),CONCATENATE("R27C",'Mapa final'!$R$85),"")</f>
        <v/>
      </c>
      <c r="T132" s="42" t="str">
        <f>IF(AND('Mapa final'!$AB$86="Media",'Mapa final'!$AD$86="Mayor"),CONCATENATE("R27C",'Mapa final'!$R$86),"")</f>
        <v/>
      </c>
      <c r="U132" s="106" t="str">
        <f>IF(AND('Mapa final'!$AB$87="Media",'Mapa final'!$AD$87="Mayor"),CONCATENATE("R27C",'Mapa final'!$R$87),"")</f>
        <v/>
      </c>
      <c r="V132" s="43" t="str">
        <f>IF(AND('Mapa final'!$AB$85="Media",'Mapa final'!$AD$85="Catastrófico"),CONCATENATE("R27C",'Mapa final'!$R$85),"")</f>
        <v/>
      </c>
      <c r="W132" s="44" t="str">
        <f>IF(AND('Mapa final'!$AB$86="Media",'Mapa final'!$AD$86="Catastrófico"),CONCATENATE("R27C",'Mapa final'!$R$86),"")</f>
        <v/>
      </c>
      <c r="X132" s="100" t="str">
        <f>IF(AND('Mapa final'!$AB$87="Media",'Mapa final'!$AD$87="Catastrófico"),CONCATENATE("R27C",'Mapa final'!$R$87),"")</f>
        <v/>
      </c>
      <c r="Y132" s="56"/>
      <c r="Z132" s="322"/>
      <c r="AA132" s="323"/>
      <c r="AB132" s="323"/>
      <c r="AC132" s="323"/>
      <c r="AD132" s="323"/>
      <c r="AE132" s="324"/>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row>
    <row r="133" spans="1:61" ht="15" customHeight="1" x14ac:dyDescent="0.35">
      <c r="A133" s="56"/>
      <c r="B133" s="311"/>
      <c r="C133" s="311"/>
      <c r="D133" s="312"/>
      <c r="E133" s="288"/>
      <c r="F133" s="301"/>
      <c r="G133" s="301"/>
      <c r="H133" s="301"/>
      <c r="I133" s="283"/>
      <c r="J133" s="49" t="str">
        <f>IF(AND('Mapa final'!$AB$88="Media",'Mapa final'!$AD$88="Leve"),CONCATENATE("R28C",'Mapa final'!$R$88),"")</f>
        <v/>
      </c>
      <c r="K133" s="50" t="str">
        <f>IF(AND('Mapa final'!$AB$89="Media",'Mapa final'!$AD$89="Leve"),CONCATENATE("R28C",'Mapa final'!$R$89),"")</f>
        <v/>
      </c>
      <c r="L133" s="111" t="str">
        <f>IF(AND('Mapa final'!$AB$90="Media",'Mapa final'!$AD$90="Leve"),CONCATENATE("R28C",'Mapa final'!$R$90),"")</f>
        <v/>
      </c>
      <c r="M133" s="49" t="str">
        <f>IF(AND('Mapa final'!$AB$88="Media",'Mapa final'!$AD$88="Menor"),CONCATENATE("R28C",'Mapa final'!$R$88),"")</f>
        <v/>
      </c>
      <c r="N133" s="50" t="str">
        <f>IF(AND('Mapa final'!$AB$89="Media",'Mapa final'!$AD$89="Menor"),CONCATENATE("R28C",'Mapa final'!$R$89),"")</f>
        <v/>
      </c>
      <c r="O133" s="111" t="str">
        <f>IF(AND('Mapa final'!$AB$90="Media",'Mapa final'!$AD$90="Menor"),CONCATENATE("R28C",'Mapa final'!$R$90),"")</f>
        <v/>
      </c>
      <c r="P133" s="49" t="str">
        <f>IF(AND('Mapa final'!$AB$88="Media",'Mapa final'!$AD$88="Moderado"),CONCATENATE("R28C",'Mapa final'!$R$88),"")</f>
        <v/>
      </c>
      <c r="Q133" s="50" t="str">
        <f>IF(AND('Mapa final'!$AB$89="Media",'Mapa final'!$AD$89="Moderado"),CONCATENATE("R28C",'Mapa final'!$R$89),"")</f>
        <v/>
      </c>
      <c r="R133" s="111" t="str">
        <f>IF(AND('Mapa final'!$AB$90="Media",'Mapa final'!$AD$90="Moderado"),CONCATENATE("R28C",'Mapa final'!$R$90),"")</f>
        <v/>
      </c>
      <c r="S133" s="105" t="str">
        <f>IF(AND('Mapa final'!$AB$88="Media",'Mapa final'!$AD$88="Mayor"),CONCATENATE("R28C",'Mapa final'!$R$88),"")</f>
        <v/>
      </c>
      <c r="T133" s="42" t="str">
        <f>IF(AND('Mapa final'!$AB$89="Media",'Mapa final'!$AD$89="Mayor"),CONCATENATE("R28C",'Mapa final'!$R$89),"")</f>
        <v/>
      </c>
      <c r="U133" s="106" t="str">
        <f>IF(AND('Mapa final'!$AB$90="Media",'Mapa final'!$AD$90="Mayor"),CONCATENATE("R28C",'Mapa final'!$R$90),"")</f>
        <v/>
      </c>
      <c r="V133" s="43" t="str">
        <f>IF(AND('Mapa final'!$AB$88="Media",'Mapa final'!$AD$88="Catastrófico"),CONCATENATE("R28C",'Mapa final'!$R$88),"")</f>
        <v/>
      </c>
      <c r="W133" s="44" t="str">
        <f>IF(AND('Mapa final'!$AB$89="Media",'Mapa final'!$AD$89="Catastrófico"),CONCATENATE("R28C",'Mapa final'!$R$89),"")</f>
        <v/>
      </c>
      <c r="X133" s="100" t="str">
        <f>IF(AND('Mapa final'!$AB$90="Media",'Mapa final'!$AD$90="Catastrófico"),CONCATENATE("R28C",'Mapa final'!$R$90),"")</f>
        <v/>
      </c>
      <c r="Y133" s="56"/>
      <c r="Z133" s="322"/>
      <c r="AA133" s="323"/>
      <c r="AB133" s="323"/>
      <c r="AC133" s="323"/>
      <c r="AD133" s="323"/>
      <c r="AE133" s="324"/>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row>
    <row r="134" spans="1:61" ht="15" customHeight="1" x14ac:dyDescent="0.35">
      <c r="A134" s="56"/>
      <c r="B134" s="311"/>
      <c r="C134" s="311"/>
      <c r="D134" s="312"/>
      <c r="E134" s="288"/>
      <c r="F134" s="301"/>
      <c r="G134" s="301"/>
      <c r="H134" s="301"/>
      <c r="I134" s="283"/>
      <c r="J134" s="49" t="str">
        <f>IF(AND('Mapa final'!$AB$91="Media",'Mapa final'!$AD$91="Leve"),CONCATENATE("R29C",'Mapa final'!$R$91),"")</f>
        <v/>
      </c>
      <c r="K134" s="50" t="str">
        <f>IF(AND('Mapa final'!$AB$92="Media",'Mapa final'!$AD$92="Leve"),CONCATENATE("R29C",'Mapa final'!$R$92),"")</f>
        <v/>
      </c>
      <c r="L134" s="111" t="str">
        <f>IF(AND('Mapa final'!$AB$93="Media",'Mapa final'!$AD$93="Leve"),CONCATENATE("R29C",'Mapa final'!$R$93),"")</f>
        <v/>
      </c>
      <c r="M134" s="49" t="str">
        <f>IF(AND('Mapa final'!$AB$91="Media",'Mapa final'!$AD$91="Menor"),CONCATENATE("R29C",'Mapa final'!$R$91),"")</f>
        <v/>
      </c>
      <c r="N134" s="50" t="str">
        <f>IF(AND('Mapa final'!$AB$92="Media",'Mapa final'!$AD$92="Menor"),CONCATENATE("R29C",'Mapa final'!$R$92),"")</f>
        <v/>
      </c>
      <c r="O134" s="111" t="str">
        <f>IF(AND('Mapa final'!$AB$93="Media",'Mapa final'!$AD$93="Menor"),CONCATENATE("R29C",'Mapa final'!$R$93),"")</f>
        <v/>
      </c>
      <c r="P134" s="49" t="str">
        <f>IF(AND('Mapa final'!$AB$91="Media",'Mapa final'!$AD$91="Moderado"),CONCATENATE("R29C",'Mapa final'!$R$91),"")</f>
        <v/>
      </c>
      <c r="Q134" s="50" t="str">
        <f>IF(AND('Mapa final'!$AB$92="Media",'Mapa final'!$AD$92="Moderado"),CONCATENATE("R29C",'Mapa final'!$R$92),"")</f>
        <v/>
      </c>
      <c r="R134" s="111" t="str">
        <f>IF(AND('Mapa final'!$AB$93="Media",'Mapa final'!$AD$93="Moderado"),CONCATENATE("R29C",'Mapa final'!$R$93),"")</f>
        <v/>
      </c>
      <c r="S134" s="105" t="str">
        <f>IF(AND('Mapa final'!$AB$91="Media",'Mapa final'!$AD$91="Mayor"),CONCATENATE("R29C",'Mapa final'!$R$91),"")</f>
        <v/>
      </c>
      <c r="T134" s="42" t="str">
        <f>IF(AND('Mapa final'!$AB$92="Media",'Mapa final'!$AD$92="Mayor"),CONCATENATE("R29C",'Mapa final'!$R$92),"")</f>
        <v/>
      </c>
      <c r="U134" s="106" t="str">
        <f>IF(AND('Mapa final'!$AB$93="Media",'Mapa final'!$AD$93="Mayor"),CONCATENATE("R29C",'Mapa final'!$R$93),"")</f>
        <v/>
      </c>
      <c r="V134" s="43" t="str">
        <f>IF(AND('Mapa final'!$AB$91="Media",'Mapa final'!$AD$91="Catastrófico"),CONCATENATE("R29C",'Mapa final'!$R$91),"")</f>
        <v/>
      </c>
      <c r="W134" s="44" t="str">
        <f>IF(AND('Mapa final'!$AB$92="Media",'Mapa final'!$AD$92="Catastrófico"),CONCATENATE("R29C",'Mapa final'!$R$92),"")</f>
        <v/>
      </c>
      <c r="X134" s="100" t="str">
        <f>IF(AND('Mapa final'!$AB$93="Media",'Mapa final'!$AD$93="Catastrófico"),CONCATENATE("R29C",'Mapa final'!$R$93),"")</f>
        <v/>
      </c>
      <c r="Y134" s="56"/>
      <c r="Z134" s="322"/>
      <c r="AA134" s="323"/>
      <c r="AB134" s="323"/>
      <c r="AC134" s="323"/>
      <c r="AD134" s="323"/>
      <c r="AE134" s="324"/>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row>
    <row r="135" spans="1:61" ht="15" customHeight="1" x14ac:dyDescent="0.35">
      <c r="A135" s="56"/>
      <c r="B135" s="311"/>
      <c r="C135" s="311"/>
      <c r="D135" s="312"/>
      <c r="E135" s="288"/>
      <c r="F135" s="301"/>
      <c r="G135" s="301"/>
      <c r="H135" s="301"/>
      <c r="I135" s="283"/>
      <c r="J135" s="49" t="str">
        <f>IF(AND('Mapa final'!$AB$94="Media",'Mapa final'!$AD$94="Leve"),CONCATENATE("R30C",'Mapa final'!$R$94),"")</f>
        <v/>
      </c>
      <c r="K135" s="50" t="str">
        <f>IF(AND('Mapa final'!$AB$95="Media",'Mapa final'!$AD$95="Leve"),CONCATENATE("R30C",'Mapa final'!$R$95),"")</f>
        <v/>
      </c>
      <c r="L135" s="111" t="str">
        <f>IF(AND('Mapa final'!$AB$96="Media",'Mapa final'!$AD$96="Leve"),CONCATENATE("R30C",'Mapa final'!$R$96),"")</f>
        <v/>
      </c>
      <c r="M135" s="49" t="str">
        <f>IF(AND('Mapa final'!$AB$94="Media",'Mapa final'!$AD$94="Menor"),CONCATENATE("R30C",'Mapa final'!$R$94),"")</f>
        <v/>
      </c>
      <c r="N135" s="50" t="str">
        <f>IF(AND('Mapa final'!$AB$95="Media",'Mapa final'!$AD$95="Menor"),CONCATENATE("R30C",'Mapa final'!$R$95),"")</f>
        <v/>
      </c>
      <c r="O135" s="111" t="str">
        <f>IF(AND('Mapa final'!$AB$96="Media",'Mapa final'!$AD$96="Menor"),CONCATENATE("R30C",'Mapa final'!$R$96),"")</f>
        <v/>
      </c>
      <c r="P135" s="49" t="str">
        <f>IF(AND('Mapa final'!$AB$94="Media",'Mapa final'!$AD$94="Moderado"),CONCATENATE("R30C",'Mapa final'!$R$94),"")</f>
        <v/>
      </c>
      <c r="Q135" s="50" t="str">
        <f>IF(AND('Mapa final'!$AB$95="Media",'Mapa final'!$AD$95="Moderado"),CONCATENATE("R30C",'Mapa final'!$R$95),"")</f>
        <v/>
      </c>
      <c r="R135" s="111" t="str">
        <f>IF(AND('Mapa final'!$AB$96="Media",'Mapa final'!$AD$96="Moderado"),CONCATENATE("R30C",'Mapa final'!$R$96),"")</f>
        <v/>
      </c>
      <c r="S135" s="105" t="str">
        <f>IF(AND('Mapa final'!$AB$94="Media",'Mapa final'!$AD$94="Mayor"),CONCATENATE("R30C",'Mapa final'!$R$94),"")</f>
        <v>R30C1</v>
      </c>
      <c r="T135" s="42" t="str">
        <f>IF(AND('Mapa final'!$AB$95="Media",'Mapa final'!$AD$95="Mayor"),CONCATENATE("R30C",'Mapa final'!$R$95),"")</f>
        <v/>
      </c>
      <c r="U135" s="106" t="str">
        <f>IF(AND('Mapa final'!$AB$96="Media",'Mapa final'!$AD$96="Mayor"),CONCATENATE("R30C",'Mapa final'!$R$96),"")</f>
        <v/>
      </c>
      <c r="V135" s="43" t="str">
        <f>IF(AND('Mapa final'!$AB$94="Media",'Mapa final'!$AD$94="Catastrófico"),CONCATENATE("R30C",'Mapa final'!$R$94),"")</f>
        <v/>
      </c>
      <c r="W135" s="44" t="str">
        <f>IF(AND('Mapa final'!$AB$95="Media",'Mapa final'!$AD$95="Catastrófico"),CONCATENATE("R30C",'Mapa final'!$R$95),"")</f>
        <v/>
      </c>
      <c r="X135" s="100" t="str">
        <f>IF(AND('Mapa final'!$AB$96="Media",'Mapa final'!$AD$96="Catastrófico"),CONCATENATE("R30C",'Mapa final'!$R$96),"")</f>
        <v/>
      </c>
      <c r="Y135" s="56"/>
      <c r="Z135" s="322"/>
      <c r="AA135" s="323"/>
      <c r="AB135" s="323"/>
      <c r="AC135" s="323"/>
      <c r="AD135" s="323"/>
      <c r="AE135" s="324"/>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row>
    <row r="136" spans="1:61" ht="15" customHeight="1" x14ac:dyDescent="0.35">
      <c r="A136" s="56"/>
      <c r="B136" s="311"/>
      <c r="C136" s="311"/>
      <c r="D136" s="312"/>
      <c r="E136" s="288"/>
      <c r="F136" s="301"/>
      <c r="G136" s="301"/>
      <c r="H136" s="301"/>
      <c r="I136" s="283"/>
      <c r="J136" s="49" t="str">
        <f>IF(AND('Mapa final'!$AB$97="Media",'Mapa final'!$AD$97="Leve"),CONCATENATE("R31C",'Mapa final'!$R$97),"")</f>
        <v/>
      </c>
      <c r="K136" s="50" t="str">
        <f>IF(AND('Mapa final'!$AB$98="Media",'Mapa final'!$AD$98="Leve"),CONCATENATE("R31C",'Mapa final'!$R$98),"")</f>
        <v/>
      </c>
      <c r="L136" s="111" t="str">
        <f>IF(AND('Mapa final'!$AB$99="Media",'Mapa final'!$AD$99="Leve"),CONCATENATE("R31C",'Mapa final'!$R$99),"")</f>
        <v/>
      </c>
      <c r="M136" s="49" t="str">
        <f>IF(AND('Mapa final'!$AB$97="Media",'Mapa final'!$AD$97="Menor"),CONCATENATE("R31C",'Mapa final'!$R$97),"")</f>
        <v/>
      </c>
      <c r="N136" s="50" t="str">
        <f>IF(AND('Mapa final'!$AB$98="Media",'Mapa final'!$AD$98="Menor"),CONCATENATE("R31C",'Mapa final'!$R$98),"")</f>
        <v/>
      </c>
      <c r="O136" s="111" t="str">
        <f>IF(AND('Mapa final'!$AB$99="Media",'Mapa final'!$AD$99="Menor"),CONCATENATE("R31C",'Mapa final'!$R$99),"")</f>
        <v/>
      </c>
      <c r="P136" s="49" t="str">
        <f>IF(AND('Mapa final'!$AB$97="Media",'Mapa final'!$AD$97="Moderado"),CONCATENATE("R31C",'Mapa final'!$R$97),"")</f>
        <v/>
      </c>
      <c r="Q136" s="50" t="str">
        <f>IF(AND('Mapa final'!$AB$98="Media",'Mapa final'!$AD$98="Moderado"),CONCATENATE("R31C",'Mapa final'!$R$98),"")</f>
        <v/>
      </c>
      <c r="R136" s="111" t="str">
        <f>IF(AND('Mapa final'!$AB$99="Media",'Mapa final'!$AD$99="Moderado"),CONCATENATE("R31C",'Mapa final'!$R$99),"")</f>
        <v/>
      </c>
      <c r="S136" s="105" t="str">
        <f>IF(AND('Mapa final'!$AB$97="Media",'Mapa final'!$AD$97="Mayor"),CONCATENATE("R31C",'Mapa final'!$R$97),"")</f>
        <v/>
      </c>
      <c r="T136" s="42" t="str">
        <f>IF(AND('Mapa final'!$AB$98="Media",'Mapa final'!$AD$98="Mayor"),CONCATENATE("R31C",'Mapa final'!$R$98),"")</f>
        <v/>
      </c>
      <c r="U136" s="106" t="str">
        <f>IF(AND('Mapa final'!$AB$99="Media",'Mapa final'!$AD$99="Mayor"),CONCATENATE("R31C",'Mapa final'!$R$99),"")</f>
        <v/>
      </c>
      <c r="V136" s="43" t="str">
        <f>IF(AND('Mapa final'!$AB$97="Media",'Mapa final'!$AD$97="Catastrófico"),CONCATENATE("R31C",'Mapa final'!$R$97),"")</f>
        <v/>
      </c>
      <c r="W136" s="44" t="str">
        <f>IF(AND('Mapa final'!$AB$98="Media",'Mapa final'!$AD$98="Catastrófico"),CONCATENATE("R31C",'Mapa final'!$R$98),"")</f>
        <v/>
      </c>
      <c r="X136" s="100" t="str">
        <f>IF(AND('Mapa final'!$AB$99="Media",'Mapa final'!$AD$99="Catastrófico"),CONCATENATE("R31C",'Mapa final'!$R$99),"")</f>
        <v/>
      </c>
      <c r="Y136" s="56"/>
      <c r="Z136" s="322"/>
      <c r="AA136" s="323"/>
      <c r="AB136" s="323"/>
      <c r="AC136" s="323"/>
      <c r="AD136" s="323"/>
      <c r="AE136" s="324"/>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row>
    <row r="137" spans="1:61" ht="15" customHeight="1" x14ac:dyDescent="0.35">
      <c r="A137" s="56"/>
      <c r="B137" s="311"/>
      <c r="C137" s="311"/>
      <c r="D137" s="312"/>
      <c r="E137" s="288"/>
      <c r="F137" s="301"/>
      <c r="G137" s="301"/>
      <c r="H137" s="301"/>
      <c r="I137" s="283"/>
      <c r="J137" s="49" t="str">
        <f>IF(AND('Mapa final'!$AB$100="Media",'Mapa final'!$AD$100="Leve"),CONCATENATE("R32C",'Mapa final'!$R$100),"")</f>
        <v/>
      </c>
      <c r="K137" s="50" t="str">
        <f>IF(AND('Mapa final'!$AB$101="Media",'Mapa final'!$AD$101="Leve"),CONCATENATE("R32C",'Mapa final'!$R$101),"")</f>
        <v/>
      </c>
      <c r="L137" s="111" t="str">
        <f>IF(AND('Mapa final'!$AB$102="Media",'Mapa final'!$AD$102="Leve"),CONCATENATE("R32C",'Mapa final'!$R$102),"")</f>
        <v/>
      </c>
      <c r="M137" s="49" t="str">
        <f>IF(AND('Mapa final'!$AB$100="Media",'Mapa final'!$AD$100="Menor"),CONCATENATE("R32C",'Mapa final'!$R$100),"")</f>
        <v/>
      </c>
      <c r="N137" s="50" t="str">
        <f>IF(AND('Mapa final'!$AB$101="Media",'Mapa final'!$AD$101="Menor"),CONCATENATE("R32C",'Mapa final'!$R$101),"")</f>
        <v/>
      </c>
      <c r="O137" s="111" t="str">
        <f>IF(AND('Mapa final'!$AB$102="Media",'Mapa final'!$AD$102="Menor"),CONCATENATE("R32C",'Mapa final'!$R$102),"")</f>
        <v/>
      </c>
      <c r="P137" s="49" t="str">
        <f>IF(AND('Mapa final'!$AB$100="Media",'Mapa final'!$AD$100="Moderado"),CONCATENATE("R32C",'Mapa final'!$R$100),"")</f>
        <v>R32C1</v>
      </c>
      <c r="Q137" s="50" t="str">
        <f>IF(AND('Mapa final'!$AB$101="Media",'Mapa final'!$AD$101="Moderado"),CONCATENATE("R32C",'Mapa final'!$R$101),"")</f>
        <v/>
      </c>
      <c r="R137" s="111" t="str">
        <f>IF(AND('Mapa final'!$AB$102="Media",'Mapa final'!$AD$102="Moderado"),CONCATENATE("R32C",'Mapa final'!$R$102),"")</f>
        <v/>
      </c>
      <c r="S137" s="105" t="str">
        <f>IF(AND('Mapa final'!$AB$100="Media",'Mapa final'!$AD$100="Mayor"),CONCATENATE("R32C",'Mapa final'!$R$100),"")</f>
        <v/>
      </c>
      <c r="T137" s="42" t="str">
        <f>IF(AND('Mapa final'!$AB$101="Media",'Mapa final'!$AD$101="Mayor"),CONCATENATE("R32C",'Mapa final'!$R$101),"")</f>
        <v/>
      </c>
      <c r="U137" s="106" t="str">
        <f>IF(AND('Mapa final'!$AB$102="Media",'Mapa final'!$AD$102="Mayor"),CONCATENATE("R32C",'Mapa final'!$R$102),"")</f>
        <v/>
      </c>
      <c r="V137" s="43" t="str">
        <f>IF(AND('Mapa final'!$AB$100="Media",'Mapa final'!$AD$100="Catastrófico"),CONCATENATE("R32C",'Mapa final'!$R$100),"")</f>
        <v/>
      </c>
      <c r="W137" s="44" t="str">
        <f>IF(AND('Mapa final'!$AB$101="Media",'Mapa final'!$AD$101="Catastrófico"),CONCATENATE("R32C",'Mapa final'!$R$101),"")</f>
        <v/>
      </c>
      <c r="X137" s="100" t="str">
        <f>IF(AND('Mapa final'!$AB$102="Media",'Mapa final'!$AD$102="Catastrófico"),CONCATENATE("R32C",'Mapa final'!$R$102),"")</f>
        <v/>
      </c>
      <c r="Y137" s="56"/>
      <c r="Z137" s="322"/>
      <c r="AA137" s="323"/>
      <c r="AB137" s="323"/>
      <c r="AC137" s="323"/>
      <c r="AD137" s="323"/>
      <c r="AE137" s="324"/>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row>
    <row r="138" spans="1:61" ht="15" customHeight="1" x14ac:dyDescent="0.35">
      <c r="A138" s="56"/>
      <c r="B138" s="311"/>
      <c r="C138" s="311"/>
      <c r="D138" s="312"/>
      <c r="E138" s="288"/>
      <c r="F138" s="301"/>
      <c r="G138" s="301"/>
      <c r="H138" s="301"/>
      <c r="I138" s="283"/>
      <c r="J138" s="49" t="str">
        <f>IF(AND('Mapa final'!$AB$103="Media",'Mapa final'!$AD$103="Leve"),CONCATENATE("R33C",'Mapa final'!$R$103),"")</f>
        <v/>
      </c>
      <c r="K138" s="50" t="str">
        <f>IF(AND('Mapa final'!$AB$104="Media",'Mapa final'!$AD$104="Leve"),CONCATENATE("R33C",'Mapa final'!$R$104),"")</f>
        <v/>
      </c>
      <c r="L138" s="111" t="str">
        <f>IF(AND('Mapa final'!$AB$105="Media",'Mapa final'!$AD$105="Leve"),CONCATENATE("R33C",'Mapa final'!$R$105),"")</f>
        <v/>
      </c>
      <c r="M138" s="49" t="str">
        <f>IF(AND('Mapa final'!$AB$103="Media",'Mapa final'!$AD$103="Menor"),CONCATENATE("R33C",'Mapa final'!$R$103),"")</f>
        <v/>
      </c>
      <c r="N138" s="50" t="str">
        <f>IF(AND('Mapa final'!$AB$104="Media",'Mapa final'!$AD$104="Menor"),CONCATENATE("R33C",'Mapa final'!$R$104),"")</f>
        <v/>
      </c>
      <c r="O138" s="111" t="str">
        <f>IF(AND('Mapa final'!$AB$105="Media",'Mapa final'!$AD$105="Menor"),CONCATENATE("R33C",'Mapa final'!$R$105),"")</f>
        <v/>
      </c>
      <c r="P138" s="49" t="str">
        <f>IF(AND('Mapa final'!$AB$103="Media",'Mapa final'!$AD$103="Moderado"),CONCATENATE("R33C",'Mapa final'!$R$103),"")</f>
        <v>R33C1</v>
      </c>
      <c r="Q138" s="50" t="str">
        <f>IF(AND('Mapa final'!$AB$104="Media",'Mapa final'!$AD$104="Moderado"),CONCATENATE("R33C",'Mapa final'!$R$104),"")</f>
        <v/>
      </c>
      <c r="R138" s="111" t="str">
        <f>IF(AND('Mapa final'!$AB$105="Media",'Mapa final'!$AD$105="Moderado"),CONCATENATE("R33C",'Mapa final'!$R$105),"")</f>
        <v/>
      </c>
      <c r="S138" s="105" t="str">
        <f>IF(AND('Mapa final'!$AB$103="Media",'Mapa final'!$AD$103="Mayor"),CONCATENATE("R33C",'Mapa final'!$R$103),"")</f>
        <v/>
      </c>
      <c r="T138" s="42" t="str">
        <f>IF(AND('Mapa final'!$AB$104="Media",'Mapa final'!$AD$104="Mayor"),CONCATENATE("R33C",'Mapa final'!$R$104),"")</f>
        <v/>
      </c>
      <c r="U138" s="106" t="str">
        <f>IF(AND('Mapa final'!$AB$105="Media",'Mapa final'!$AD$105="Mayor"),CONCATENATE("R33C",'Mapa final'!$R$105),"")</f>
        <v/>
      </c>
      <c r="V138" s="43" t="str">
        <f>IF(AND('Mapa final'!$AB$103="Media",'Mapa final'!$AD$103="Catastrófico"),CONCATENATE("R33C",'Mapa final'!$R$103),"")</f>
        <v/>
      </c>
      <c r="W138" s="44" t="str">
        <f>IF(AND('Mapa final'!$AB$104="Media",'Mapa final'!$AD$104="Catastrófico"),CONCATENATE("R33C",'Mapa final'!$R$104),"")</f>
        <v/>
      </c>
      <c r="X138" s="100" t="str">
        <f>IF(AND('Mapa final'!$AB$105="Media",'Mapa final'!$AD$105="Catastrófico"),CONCATENATE("R33C",'Mapa final'!$R$105),"")</f>
        <v/>
      </c>
      <c r="Y138" s="56"/>
      <c r="Z138" s="322"/>
      <c r="AA138" s="323"/>
      <c r="AB138" s="323"/>
      <c r="AC138" s="323"/>
      <c r="AD138" s="323"/>
      <c r="AE138" s="324"/>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row>
    <row r="139" spans="1:61" ht="15" customHeight="1" x14ac:dyDescent="0.35">
      <c r="A139" s="56"/>
      <c r="B139" s="311"/>
      <c r="C139" s="311"/>
      <c r="D139" s="312"/>
      <c r="E139" s="288"/>
      <c r="F139" s="301"/>
      <c r="G139" s="301"/>
      <c r="H139" s="301"/>
      <c r="I139" s="283"/>
      <c r="J139" s="49" t="str">
        <f>IF(AND('Mapa final'!$AB$106="Media",'Mapa final'!$AD$106="Leve"),CONCATENATE("R34C",'Mapa final'!$R$106),"")</f>
        <v/>
      </c>
      <c r="K139" s="50" t="str">
        <f>IF(AND('Mapa final'!$AB$107="Media",'Mapa final'!$AD$107="Leve"),CONCATENATE("R34C",'Mapa final'!$R$107),"")</f>
        <v/>
      </c>
      <c r="L139" s="111" t="str">
        <f>IF(AND('Mapa final'!$AB$108="Media",'Mapa final'!$AD$108="Leve"),CONCATENATE("R34C",'Mapa final'!$R$108),"")</f>
        <v/>
      </c>
      <c r="M139" s="49" t="str">
        <f>IF(AND('Mapa final'!$AB$106="Media",'Mapa final'!$AD$106="Menor"),CONCATENATE("R34C",'Mapa final'!$R$106),"")</f>
        <v/>
      </c>
      <c r="N139" s="50" t="str">
        <f>IF(AND('Mapa final'!$AB$107="Media",'Mapa final'!$AD$107="Menor"),CONCATENATE("R34C",'Mapa final'!$R$107),"")</f>
        <v/>
      </c>
      <c r="O139" s="111" t="str">
        <f>IF(AND('Mapa final'!$AB$108="Media",'Mapa final'!$AD$108="Menor"),CONCATENATE("R34C",'Mapa final'!$R$108),"")</f>
        <v/>
      </c>
      <c r="P139" s="49" t="str">
        <f>IF(AND('Mapa final'!$AB$106="Media",'Mapa final'!$AD$106="Moderado"),CONCATENATE("R34C",'Mapa final'!$R$106),"")</f>
        <v>R34C1</v>
      </c>
      <c r="Q139" s="50" t="str">
        <f>IF(AND('Mapa final'!$AB$107="Media",'Mapa final'!$AD$107="Moderado"),CONCATENATE("R34C",'Mapa final'!$R$107),"")</f>
        <v/>
      </c>
      <c r="R139" s="111" t="str">
        <f>IF(AND('Mapa final'!$AB$108="Media",'Mapa final'!$AD$108="Moderado"),CONCATENATE("R34C",'Mapa final'!$R$108),"")</f>
        <v/>
      </c>
      <c r="S139" s="105" t="str">
        <f>IF(AND('Mapa final'!$AB$106="Media",'Mapa final'!$AD$106="Mayor"),CONCATENATE("R34C",'Mapa final'!$R$106),"")</f>
        <v/>
      </c>
      <c r="T139" s="42" t="str">
        <f>IF(AND('Mapa final'!$AB$107="Media",'Mapa final'!$AD$107="Mayor"),CONCATENATE("R34C",'Mapa final'!$R$107),"")</f>
        <v/>
      </c>
      <c r="U139" s="106" t="str">
        <f>IF(AND('Mapa final'!$AB$108="Media",'Mapa final'!$AD$108="Mayor"),CONCATENATE("R34C",'Mapa final'!$R$108),"")</f>
        <v/>
      </c>
      <c r="V139" s="43" t="str">
        <f>IF(AND('Mapa final'!$AB$106="Media",'Mapa final'!$AD$106="Catastrófico"),CONCATENATE("R34C",'Mapa final'!$R$106),"")</f>
        <v/>
      </c>
      <c r="W139" s="44" t="str">
        <f>IF(AND('Mapa final'!$AB$107="Media",'Mapa final'!$AD$107="Catastrófico"),CONCATENATE("R34C",'Mapa final'!$R$107),"")</f>
        <v/>
      </c>
      <c r="X139" s="100" t="str">
        <f>IF(AND('Mapa final'!$AB$108="Media",'Mapa final'!$AD$108="Catastrófico"),CONCATENATE("R34C",'Mapa final'!$R$108),"")</f>
        <v/>
      </c>
      <c r="Y139" s="56"/>
      <c r="Z139" s="322"/>
      <c r="AA139" s="323"/>
      <c r="AB139" s="323"/>
      <c r="AC139" s="323"/>
      <c r="AD139" s="323"/>
      <c r="AE139" s="324"/>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row>
    <row r="140" spans="1:61" ht="15" customHeight="1" x14ac:dyDescent="0.35">
      <c r="A140" s="56"/>
      <c r="B140" s="311"/>
      <c r="C140" s="311"/>
      <c r="D140" s="312"/>
      <c r="E140" s="288"/>
      <c r="F140" s="301"/>
      <c r="G140" s="301"/>
      <c r="H140" s="301"/>
      <c r="I140" s="283"/>
      <c r="J140" s="49" t="str">
        <f>IF(AND('Mapa final'!$AB$109="Media",'Mapa final'!$AD$109="Leve"),CONCATENATE("R35C",'Mapa final'!$R$109),"")</f>
        <v/>
      </c>
      <c r="K140" s="50" t="str">
        <f>IF(AND('Mapa final'!$AB$110="Media",'Mapa final'!$AD$110="Leve"),CONCATENATE("R35C",'Mapa final'!$R$110),"")</f>
        <v/>
      </c>
      <c r="L140" s="111" t="str">
        <f>IF(AND('Mapa final'!$AB$111="Media",'Mapa final'!$AD$111="Leve"),CONCATENATE("R35C",'Mapa final'!$R$111),"")</f>
        <v/>
      </c>
      <c r="M140" s="49" t="str">
        <f>IF(AND('Mapa final'!$AB$109="Media",'Mapa final'!$AD$109="Menor"),CONCATENATE("R35C",'Mapa final'!$R$109),"")</f>
        <v/>
      </c>
      <c r="N140" s="50" t="str">
        <f>IF(AND('Mapa final'!$AB$110="Media",'Mapa final'!$AD$110="Menor"),CONCATENATE("R35C",'Mapa final'!$R$110),"")</f>
        <v/>
      </c>
      <c r="O140" s="111" t="str">
        <f>IF(AND('Mapa final'!$AB$111="Media",'Mapa final'!$AD$111="Menor"),CONCATENATE("R35C",'Mapa final'!$R$111),"")</f>
        <v/>
      </c>
      <c r="P140" s="49" t="str">
        <f>IF(AND('Mapa final'!$AB$109="Media",'Mapa final'!$AD$109="Moderado"),CONCATENATE("R35C",'Mapa final'!$R$109),"")</f>
        <v/>
      </c>
      <c r="Q140" s="50" t="str">
        <f>IF(AND('Mapa final'!$AB$110="Media",'Mapa final'!$AD$110="Moderado"),CONCATENATE("R35C",'Mapa final'!$R$110),"")</f>
        <v/>
      </c>
      <c r="R140" s="111" t="str">
        <f>IF(AND('Mapa final'!$AB$111="Media",'Mapa final'!$AD$111="Moderado"),CONCATENATE("R35C",'Mapa final'!$R$111),"")</f>
        <v/>
      </c>
      <c r="S140" s="105" t="str">
        <f>IF(AND('Mapa final'!$AB$109="Media",'Mapa final'!$AD$109="Mayor"),CONCATENATE("R35C",'Mapa final'!$R$109),"")</f>
        <v/>
      </c>
      <c r="T140" s="42" t="str">
        <f>IF(AND('Mapa final'!$AB$110="Media",'Mapa final'!$AD$110="Mayor"),CONCATENATE("R35C",'Mapa final'!$R$110),"")</f>
        <v/>
      </c>
      <c r="U140" s="106" t="str">
        <f>IF(AND('Mapa final'!$AB$111="Media",'Mapa final'!$AD$111="Mayor"),CONCATENATE("R35C",'Mapa final'!$R$111),"")</f>
        <v/>
      </c>
      <c r="V140" s="43" t="str">
        <f>IF(AND('Mapa final'!$AB$109="Media",'Mapa final'!$AD$109="Catastrófico"),CONCATENATE("R35C",'Mapa final'!$R$109),"")</f>
        <v/>
      </c>
      <c r="W140" s="44" t="str">
        <f>IF(AND('Mapa final'!$AB$110="Media",'Mapa final'!$AD$110="Catastrófico"),CONCATENATE("R35C",'Mapa final'!$R$110),"")</f>
        <v/>
      </c>
      <c r="X140" s="100" t="str">
        <f>IF(AND('Mapa final'!$AB$111="Media",'Mapa final'!$AD$111="Catastrófico"),CONCATENATE("R35C",'Mapa final'!$R$111),"")</f>
        <v/>
      </c>
      <c r="Y140" s="56"/>
      <c r="Z140" s="322"/>
      <c r="AA140" s="323"/>
      <c r="AB140" s="323"/>
      <c r="AC140" s="323"/>
      <c r="AD140" s="323"/>
      <c r="AE140" s="324"/>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row>
    <row r="141" spans="1:61" ht="15" customHeight="1" x14ac:dyDescent="0.35">
      <c r="A141" s="56"/>
      <c r="B141" s="311"/>
      <c r="C141" s="311"/>
      <c r="D141" s="312"/>
      <c r="E141" s="288"/>
      <c r="F141" s="301"/>
      <c r="G141" s="301"/>
      <c r="H141" s="301"/>
      <c r="I141" s="283"/>
      <c r="J141" s="49" t="str">
        <f>IF(AND('Mapa final'!$AB$112="Media",'Mapa final'!$AD$112="Leve"),CONCATENATE("R36C",'Mapa final'!$R$112),"")</f>
        <v/>
      </c>
      <c r="K141" s="50" t="str">
        <f>IF(AND('Mapa final'!$AB$113="Media",'Mapa final'!$AD$113="Leve"),CONCATENATE("R36C",'Mapa final'!$R$113),"")</f>
        <v/>
      </c>
      <c r="L141" s="111" t="str">
        <f>IF(AND('Mapa final'!$AB$114="Media",'Mapa final'!$AD$114="Leve"),CONCATENATE("R36C",'Mapa final'!$R$114),"")</f>
        <v/>
      </c>
      <c r="M141" s="49" t="str">
        <f>IF(AND('Mapa final'!$AB$112="Media",'Mapa final'!$AD$112="Menor"),CONCATENATE("R36C",'Mapa final'!$R$112),"")</f>
        <v/>
      </c>
      <c r="N141" s="50" t="str">
        <f>IF(AND('Mapa final'!$AB$113="Media",'Mapa final'!$AD$113="Menor"),CONCATENATE("R36C",'Mapa final'!$R$113),"")</f>
        <v/>
      </c>
      <c r="O141" s="111" t="str">
        <f>IF(AND('Mapa final'!$AB$114="Media",'Mapa final'!$AD$114="Menor"),CONCATENATE("R36C",'Mapa final'!$R$114),"")</f>
        <v/>
      </c>
      <c r="P141" s="49" t="str">
        <f>IF(AND('Mapa final'!$AB$112="Media",'Mapa final'!$AD$112="Moderado"),CONCATENATE("R36C",'Mapa final'!$R$112),"")</f>
        <v/>
      </c>
      <c r="Q141" s="50" t="str">
        <f>IF(AND('Mapa final'!$AB$113="Media",'Mapa final'!$AD$113="Moderado"),CONCATENATE("R36C",'Mapa final'!$R$113),"")</f>
        <v/>
      </c>
      <c r="R141" s="111" t="str">
        <f>IF(AND('Mapa final'!$AB$114="Media",'Mapa final'!$AD$114="Moderado"),CONCATENATE("R36C",'Mapa final'!$R$114),"")</f>
        <v/>
      </c>
      <c r="S141" s="105" t="str">
        <f>IF(AND('Mapa final'!$AB$112="Media",'Mapa final'!$AD$112="Mayor"),CONCATENATE("R36C",'Mapa final'!$R$112),"")</f>
        <v/>
      </c>
      <c r="T141" s="42" t="str">
        <f>IF(AND('Mapa final'!$AB$113="Media",'Mapa final'!$AD$113="Mayor"),CONCATENATE("R36C",'Mapa final'!$R$113),"")</f>
        <v/>
      </c>
      <c r="U141" s="106" t="str">
        <f>IF(AND('Mapa final'!$AB$114="Media",'Mapa final'!$AD$114="Mayor"),CONCATENATE("R36C",'Mapa final'!$R$114),"")</f>
        <v/>
      </c>
      <c r="V141" s="43" t="str">
        <f>IF(AND('Mapa final'!$AB$112="Media",'Mapa final'!$AD$112="Catastrófico"),CONCATENATE("R36C",'Mapa final'!$R$112),"")</f>
        <v/>
      </c>
      <c r="W141" s="44" t="str">
        <f>IF(AND('Mapa final'!$AB$113="Media",'Mapa final'!$AD$113="Catastrófico"),CONCATENATE("R36C",'Mapa final'!$R$113),"")</f>
        <v/>
      </c>
      <c r="X141" s="100" t="str">
        <f>IF(AND('Mapa final'!$AB$114="Media",'Mapa final'!$AD$114="Catastrófico"),CONCATENATE("R36C",'Mapa final'!$R$114),"")</f>
        <v/>
      </c>
      <c r="Y141" s="56"/>
      <c r="Z141" s="322"/>
      <c r="AA141" s="323"/>
      <c r="AB141" s="323"/>
      <c r="AC141" s="323"/>
      <c r="AD141" s="323"/>
      <c r="AE141" s="324"/>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row>
    <row r="142" spans="1:61" ht="15" customHeight="1" x14ac:dyDescent="0.35">
      <c r="A142" s="56"/>
      <c r="B142" s="311"/>
      <c r="C142" s="311"/>
      <c r="D142" s="312"/>
      <c r="E142" s="288"/>
      <c r="F142" s="301"/>
      <c r="G142" s="301"/>
      <c r="H142" s="301"/>
      <c r="I142" s="283"/>
      <c r="J142" s="49" t="str">
        <f>IF(AND('Mapa final'!$AB$115="Media",'Mapa final'!$AD$115="Leve"),CONCATENATE("R37C",'Mapa final'!$R$115),"")</f>
        <v/>
      </c>
      <c r="K142" s="50" t="str">
        <f>IF(AND('Mapa final'!$AB$116="Media",'Mapa final'!$AD$116="Leve"),CONCATENATE("R37C",'Mapa final'!$R$116),"")</f>
        <v/>
      </c>
      <c r="L142" s="111" t="str">
        <f>IF(AND('Mapa final'!$AB$117="Media",'Mapa final'!$AD$117="Leve"),CONCATENATE("R37C",'Mapa final'!$R$117),"")</f>
        <v/>
      </c>
      <c r="M142" s="49" t="str">
        <f>IF(AND('Mapa final'!$AB$115="Media",'Mapa final'!$AD$115="Menor"),CONCATENATE("R37C",'Mapa final'!$R$115),"")</f>
        <v/>
      </c>
      <c r="N142" s="50" t="str">
        <f>IF(AND('Mapa final'!$AB$116="Media",'Mapa final'!$AD$116="Menor"),CONCATENATE("R37C",'Mapa final'!$R$116),"")</f>
        <v/>
      </c>
      <c r="O142" s="111" t="str">
        <f>IF(AND('Mapa final'!$AB$117="Media",'Mapa final'!$AD$117="Menor"),CONCATENATE("R37C",'Mapa final'!$R$117),"")</f>
        <v/>
      </c>
      <c r="P142" s="49" t="str">
        <f>IF(AND('Mapa final'!$AB$115="Media",'Mapa final'!$AD$115="Moderado"),CONCATENATE("R37C",'Mapa final'!$R$115),"")</f>
        <v/>
      </c>
      <c r="Q142" s="50" t="str">
        <f>IF(AND('Mapa final'!$AB$116="Media",'Mapa final'!$AD$116="Moderado"),CONCATENATE("R37C",'Mapa final'!$R$116),"")</f>
        <v/>
      </c>
      <c r="R142" s="111" t="str">
        <f>IF(AND('Mapa final'!$AB$117="Media",'Mapa final'!$AD$117="Moderado"),CONCATENATE("R37C",'Mapa final'!$R$117),"")</f>
        <v/>
      </c>
      <c r="S142" s="105" t="str">
        <f>IF(AND('Mapa final'!$AB$115="Media",'Mapa final'!$AD$115="Mayor"),CONCATENATE("R37C",'Mapa final'!$R$115),"")</f>
        <v/>
      </c>
      <c r="T142" s="42" t="str">
        <f>IF(AND('Mapa final'!$AB$116="Media",'Mapa final'!$AD$116="Mayor"),CONCATENATE("R37C",'Mapa final'!$R$116),"")</f>
        <v/>
      </c>
      <c r="U142" s="106" t="str">
        <f>IF(AND('Mapa final'!$AB$117="Media",'Mapa final'!$AD$117="Mayor"),CONCATENATE("R37C",'Mapa final'!$R$117),"")</f>
        <v/>
      </c>
      <c r="V142" s="43" t="str">
        <f>IF(AND('Mapa final'!$AB$115="Media",'Mapa final'!$AD$115="Catastrófico"),CONCATENATE("R37C",'Mapa final'!$R$115),"")</f>
        <v/>
      </c>
      <c r="W142" s="44" t="str">
        <f>IF(AND('Mapa final'!$AB$116="Media",'Mapa final'!$AD$116="Catastrófico"),CONCATENATE("R37C",'Mapa final'!$R$116),"")</f>
        <v/>
      </c>
      <c r="X142" s="100" t="str">
        <f>IF(AND('Mapa final'!$AB$117="Media",'Mapa final'!$AD$117="Catastrófico"),CONCATENATE("R37C",'Mapa final'!$R$117),"")</f>
        <v/>
      </c>
      <c r="Y142" s="56"/>
      <c r="Z142" s="322"/>
      <c r="AA142" s="323"/>
      <c r="AB142" s="323"/>
      <c r="AC142" s="323"/>
      <c r="AD142" s="323"/>
      <c r="AE142" s="324"/>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row>
    <row r="143" spans="1:61" ht="15" customHeight="1" x14ac:dyDescent="0.35">
      <c r="A143" s="56"/>
      <c r="B143" s="311"/>
      <c r="C143" s="311"/>
      <c r="D143" s="312"/>
      <c r="E143" s="288"/>
      <c r="F143" s="301"/>
      <c r="G143" s="301"/>
      <c r="H143" s="301"/>
      <c r="I143" s="283"/>
      <c r="J143" s="49" t="str">
        <f>IF(AND('Mapa final'!$AB$118="Media",'Mapa final'!$AD$118="Leve"),CONCATENATE("R38C",'Mapa final'!$R$118),"")</f>
        <v/>
      </c>
      <c r="K143" s="50" t="str">
        <f>IF(AND('Mapa final'!$AB$119="Media",'Mapa final'!$AD$119="Leve"),CONCATENATE("R38C",'Mapa final'!$R$119),"")</f>
        <v/>
      </c>
      <c r="L143" s="111" t="str">
        <f>IF(AND('Mapa final'!$AB$120="Media",'Mapa final'!$AD$120="Leve"),CONCATENATE("R38C",'Mapa final'!$R$120),"")</f>
        <v/>
      </c>
      <c r="M143" s="49" t="str">
        <f>IF(AND('Mapa final'!$AB$118="Media",'Mapa final'!$AD$118="Menor"),CONCATENATE("R38C",'Mapa final'!$R$118),"")</f>
        <v/>
      </c>
      <c r="N143" s="50" t="str">
        <f>IF(AND('Mapa final'!$AB$119="Media",'Mapa final'!$AD$119="Menor"),CONCATENATE("R38C",'Mapa final'!$R$119),"")</f>
        <v/>
      </c>
      <c r="O143" s="111" t="str">
        <f>IF(AND('Mapa final'!$AB$120="Media",'Mapa final'!$AD$120="Menor"),CONCATENATE("R38C",'Mapa final'!$R$120),"")</f>
        <v/>
      </c>
      <c r="P143" s="49" t="str">
        <f>IF(AND('Mapa final'!$AB$118="Media",'Mapa final'!$AD$118="Moderado"),CONCATENATE("R38C",'Mapa final'!$R$118),"")</f>
        <v/>
      </c>
      <c r="Q143" s="50" t="str">
        <f>IF(AND('Mapa final'!$AB$119="Media",'Mapa final'!$AD$119="Moderado"),CONCATENATE("R38C",'Mapa final'!$R$119),"")</f>
        <v/>
      </c>
      <c r="R143" s="111" t="str">
        <f>IF(AND('Mapa final'!$AB$120="Media",'Mapa final'!$AD$120="Moderado"),CONCATENATE("R38C",'Mapa final'!$R$120),"")</f>
        <v/>
      </c>
      <c r="S143" s="105" t="str">
        <f>IF(AND('Mapa final'!$AB$118="Media",'Mapa final'!$AD$118="Mayor"),CONCATENATE("R38C",'Mapa final'!$R$118),"")</f>
        <v/>
      </c>
      <c r="T143" s="42" t="str">
        <f>IF(AND('Mapa final'!$AB$119="Media",'Mapa final'!$AD$119="Mayor"),CONCATENATE("R38C",'Mapa final'!$R$119),"")</f>
        <v/>
      </c>
      <c r="U143" s="106" t="str">
        <f>IF(AND('Mapa final'!$AB$120="Media",'Mapa final'!$AD$120="Mayor"),CONCATENATE("R38C",'Mapa final'!$R$120),"")</f>
        <v/>
      </c>
      <c r="V143" s="43" t="str">
        <f>IF(AND('Mapa final'!$AB$118="Media",'Mapa final'!$AD$118="Catastrófico"),CONCATENATE("R38C",'Mapa final'!$R$118),"")</f>
        <v/>
      </c>
      <c r="W143" s="44" t="str">
        <f>IF(AND('Mapa final'!$AB$119="Media",'Mapa final'!$AD$119="Catastrófico"),CONCATENATE("R38C",'Mapa final'!$R$119),"")</f>
        <v/>
      </c>
      <c r="X143" s="100" t="str">
        <f>IF(AND('Mapa final'!$AB$120="Media",'Mapa final'!$AD$120="Catastrófico"),CONCATENATE("R38C",'Mapa final'!$R$120),"")</f>
        <v/>
      </c>
      <c r="Y143" s="56"/>
      <c r="Z143" s="322"/>
      <c r="AA143" s="323"/>
      <c r="AB143" s="323"/>
      <c r="AC143" s="323"/>
      <c r="AD143" s="323"/>
      <c r="AE143" s="324"/>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row>
    <row r="144" spans="1:61" ht="15" customHeight="1" x14ac:dyDescent="0.35">
      <c r="A144" s="56"/>
      <c r="B144" s="311"/>
      <c r="C144" s="311"/>
      <c r="D144" s="312"/>
      <c r="E144" s="288"/>
      <c r="F144" s="301"/>
      <c r="G144" s="301"/>
      <c r="H144" s="301"/>
      <c r="I144" s="283"/>
      <c r="J144" s="49" t="str">
        <f>IF(AND('Mapa final'!$AB$121="Media",'Mapa final'!$AD$121="Leve"),CONCATENATE("R39C",'Mapa final'!$R$121),"")</f>
        <v/>
      </c>
      <c r="K144" s="50" t="str">
        <f>IF(AND('Mapa final'!$AB$122="Media",'Mapa final'!$AD$122="Leve"),CONCATENATE("R39C",'Mapa final'!$R$122),"")</f>
        <v/>
      </c>
      <c r="L144" s="111" t="str">
        <f>IF(AND('Mapa final'!$AB$123="Media",'Mapa final'!$AD$123="Leve"),CONCATENATE("R39C",'Mapa final'!$R$123),"")</f>
        <v/>
      </c>
      <c r="M144" s="49" t="str">
        <f>IF(AND('Mapa final'!$AB$121="Media",'Mapa final'!$AD$121="Menor"),CONCATENATE("R39C",'Mapa final'!$R$121),"")</f>
        <v/>
      </c>
      <c r="N144" s="50" t="str">
        <f>IF(AND('Mapa final'!$AB$122="Media",'Mapa final'!$AD$122="Menor"),CONCATENATE("R39C",'Mapa final'!$R$122),"")</f>
        <v/>
      </c>
      <c r="O144" s="111" t="str">
        <f>IF(AND('Mapa final'!$AB$123="Media",'Mapa final'!$AD$123="Menor"),CONCATENATE("R39C",'Mapa final'!$R$123),"")</f>
        <v/>
      </c>
      <c r="P144" s="49" t="str">
        <f>IF(AND('Mapa final'!$AB$121="Media",'Mapa final'!$AD$121="Moderado"),CONCATENATE("R39C",'Mapa final'!$R$121),"")</f>
        <v>R39C1</v>
      </c>
      <c r="Q144" s="50" t="str">
        <f>IF(AND('Mapa final'!$AB$122="Media",'Mapa final'!$AD$122="Moderado"),CONCATENATE("R39C",'Mapa final'!$R$122),"")</f>
        <v/>
      </c>
      <c r="R144" s="111" t="str">
        <f>IF(AND('Mapa final'!$AB$123="Media",'Mapa final'!$AD$123="Moderado"),CONCATENATE("R39C",'Mapa final'!$R$123),"")</f>
        <v/>
      </c>
      <c r="S144" s="105" t="str">
        <f>IF(AND('Mapa final'!$AB$121="Media",'Mapa final'!$AD$121="Mayor"),CONCATENATE("R39C",'Mapa final'!$R$121),"")</f>
        <v/>
      </c>
      <c r="T144" s="42" t="str">
        <f>IF(AND('Mapa final'!$AB$122="Media",'Mapa final'!$AD$122="Mayor"),CONCATENATE("R39C",'Mapa final'!$R$122),"")</f>
        <v/>
      </c>
      <c r="U144" s="106" t="str">
        <f>IF(AND('Mapa final'!$AB$123="Media",'Mapa final'!$AD$123="Mayor"),CONCATENATE("R39C",'Mapa final'!$R$123),"")</f>
        <v/>
      </c>
      <c r="V144" s="43" t="str">
        <f>IF(AND('Mapa final'!$AB$121="Media",'Mapa final'!$AD$121="Catastrófico"),CONCATENATE("R39C",'Mapa final'!$R$121),"")</f>
        <v/>
      </c>
      <c r="W144" s="44" t="str">
        <f>IF(AND('Mapa final'!$AB$122="Media",'Mapa final'!$AD$122="Catastrófico"),CONCATENATE("R39C",'Mapa final'!$R$122),"")</f>
        <v/>
      </c>
      <c r="X144" s="100" t="str">
        <f>IF(AND('Mapa final'!$AB$123="Media",'Mapa final'!$AD$123="Catastrófico"),CONCATENATE("R39C",'Mapa final'!$R$123),"")</f>
        <v/>
      </c>
      <c r="Y144" s="56"/>
      <c r="Z144" s="322"/>
      <c r="AA144" s="323"/>
      <c r="AB144" s="323"/>
      <c r="AC144" s="323"/>
      <c r="AD144" s="323"/>
      <c r="AE144" s="324"/>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row>
    <row r="145" spans="1:61" ht="15" customHeight="1" x14ac:dyDescent="0.35">
      <c r="A145" s="56"/>
      <c r="B145" s="311"/>
      <c r="C145" s="311"/>
      <c r="D145" s="312"/>
      <c r="E145" s="288"/>
      <c r="F145" s="301"/>
      <c r="G145" s="301"/>
      <c r="H145" s="301"/>
      <c r="I145" s="283"/>
      <c r="J145" s="49" t="str">
        <f>IF(AND('Mapa final'!$AB$124="Media",'Mapa final'!$AD$124="Leve"),CONCATENATE("R40C",'Mapa final'!$R$124),"")</f>
        <v/>
      </c>
      <c r="K145" s="50" t="str">
        <f>IF(AND('Mapa final'!$AB$125="Media",'Mapa final'!$AD$125="Leve"),CONCATENATE("R40C",'Mapa final'!$R$125),"")</f>
        <v/>
      </c>
      <c r="L145" s="111" t="str">
        <f>IF(AND('Mapa final'!$AB$126="Media",'Mapa final'!$AD$126="Leve"),CONCATENATE("R40C",'Mapa final'!$R$126),"")</f>
        <v/>
      </c>
      <c r="M145" s="49" t="str">
        <f>IF(AND('Mapa final'!$AB$124="Media",'Mapa final'!$AD$124="Menor"),CONCATENATE("R40C",'Mapa final'!$R$124),"")</f>
        <v/>
      </c>
      <c r="N145" s="50" t="str">
        <f>IF(AND('Mapa final'!$AB$125="Media",'Mapa final'!$AD$125="Menor"),CONCATENATE("R40C",'Mapa final'!$R$125),"")</f>
        <v/>
      </c>
      <c r="O145" s="111" t="str">
        <f>IF(AND('Mapa final'!$AB$126="Media",'Mapa final'!$AD$126="Menor"),CONCATENATE("R40C",'Mapa final'!$R$126),"")</f>
        <v/>
      </c>
      <c r="P145" s="49" t="str">
        <f>IF(AND('Mapa final'!$AB$124="Media",'Mapa final'!$AD$124="Moderado"),CONCATENATE("R40C",'Mapa final'!$R$124),"")</f>
        <v/>
      </c>
      <c r="Q145" s="50" t="str">
        <f>IF(AND('Mapa final'!$AB$125="Media",'Mapa final'!$AD$125="Moderado"),CONCATENATE("R40C",'Mapa final'!$R$125),"")</f>
        <v/>
      </c>
      <c r="R145" s="111" t="str">
        <f>IF(AND('Mapa final'!$AB$126="Media",'Mapa final'!$AD$126="Moderado"),CONCATENATE("R40C",'Mapa final'!$R$126),"")</f>
        <v/>
      </c>
      <c r="S145" s="105" t="str">
        <f>IF(AND('Mapa final'!$AB$124="Media",'Mapa final'!$AD$124="Mayor"),CONCATENATE("R40C",'Mapa final'!$R$124),"")</f>
        <v/>
      </c>
      <c r="T145" s="42" t="str">
        <f>IF(AND('Mapa final'!$AB$125="Media",'Mapa final'!$AD$125="Mayor"),CONCATENATE("R40C",'Mapa final'!$R$125),"")</f>
        <v/>
      </c>
      <c r="U145" s="106" t="str">
        <f>IF(AND('Mapa final'!$AB$126="Media",'Mapa final'!$AD$126="Mayor"),CONCATENATE("R40C",'Mapa final'!$R$126),"")</f>
        <v/>
      </c>
      <c r="V145" s="43" t="str">
        <f>IF(AND('Mapa final'!$AB$124="Media",'Mapa final'!$AD$124="Catastrófico"),CONCATENATE("R40C",'Mapa final'!$R$124),"")</f>
        <v/>
      </c>
      <c r="W145" s="44" t="str">
        <f>IF(AND('Mapa final'!$AB$125="Media",'Mapa final'!$AD$125="Catastrófico"),CONCATENATE("R40C",'Mapa final'!$R$125),"")</f>
        <v/>
      </c>
      <c r="X145" s="100" t="str">
        <f>IF(AND('Mapa final'!$AB$126="Media",'Mapa final'!$AD$126="Catastrófico"),CONCATENATE("R40C",'Mapa final'!$R$126),"")</f>
        <v/>
      </c>
      <c r="Y145" s="56"/>
      <c r="Z145" s="322"/>
      <c r="AA145" s="323"/>
      <c r="AB145" s="323"/>
      <c r="AC145" s="323"/>
      <c r="AD145" s="323"/>
      <c r="AE145" s="324"/>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row>
    <row r="146" spans="1:61" ht="15" customHeight="1" x14ac:dyDescent="0.35">
      <c r="A146" s="56"/>
      <c r="B146" s="311"/>
      <c r="C146" s="311"/>
      <c r="D146" s="312"/>
      <c r="E146" s="288"/>
      <c r="F146" s="301"/>
      <c r="G146" s="301"/>
      <c r="H146" s="301"/>
      <c r="I146" s="283"/>
      <c r="J146" s="49" t="str">
        <f>IF(AND('Mapa final'!$AB$127="Media",'Mapa final'!$AD$127="Leve"),CONCATENATE("R41C",'Mapa final'!$R$127),"")</f>
        <v/>
      </c>
      <c r="K146" s="50" t="str">
        <f>IF(AND('Mapa final'!$AB$128="Media",'Mapa final'!$AD$128="Leve"),CONCATENATE("R41C",'Mapa final'!$R$128),"")</f>
        <v/>
      </c>
      <c r="L146" s="111" t="str">
        <f>IF(AND('Mapa final'!$AB$129="Media",'Mapa final'!$AD$129="Leve"),CONCATENATE("R41C",'Mapa final'!$R$129),"")</f>
        <v/>
      </c>
      <c r="M146" s="49" t="str">
        <f>IF(AND('Mapa final'!$AB$127="Media",'Mapa final'!$AD$127="Menor"),CONCATENATE("R41C",'Mapa final'!$R$127),"")</f>
        <v/>
      </c>
      <c r="N146" s="50" t="str">
        <f>IF(AND('Mapa final'!$AB$128="Media",'Mapa final'!$AD$128="Menor"),CONCATENATE("R41C",'Mapa final'!$R$128),"")</f>
        <v/>
      </c>
      <c r="O146" s="111" t="str">
        <f>IF(AND('Mapa final'!$AB$129="Media",'Mapa final'!$AD$129="Menor"),CONCATENATE("R41C",'Mapa final'!$R$129),"")</f>
        <v/>
      </c>
      <c r="P146" s="49" t="str">
        <f>IF(AND('Mapa final'!$AB$127="Media",'Mapa final'!$AD$127="Moderado"),CONCATENATE("R41C",'Mapa final'!$R$127),"")</f>
        <v>R41C1</v>
      </c>
      <c r="Q146" s="50" t="str">
        <f>IF(AND('Mapa final'!$AB$128="Media",'Mapa final'!$AD$128="Moderado"),CONCATENATE("R41C",'Mapa final'!$R$128),"")</f>
        <v/>
      </c>
      <c r="R146" s="111" t="str">
        <f>IF(AND('Mapa final'!$AB$129="Media",'Mapa final'!$AD$129="Moderado"),CONCATENATE("R41C",'Mapa final'!$R$129),"")</f>
        <v/>
      </c>
      <c r="S146" s="105" t="str">
        <f>IF(AND('Mapa final'!$AB$127="Media",'Mapa final'!$AD$127="Mayor"),CONCATENATE("R41C",'Mapa final'!$R$127),"")</f>
        <v/>
      </c>
      <c r="T146" s="42" t="str">
        <f>IF(AND('Mapa final'!$AB$128="Media",'Mapa final'!$AD$128="Mayor"),CONCATENATE("R41C",'Mapa final'!$R$128),"")</f>
        <v/>
      </c>
      <c r="U146" s="106" t="str">
        <f>IF(AND('Mapa final'!$AB$129="Media",'Mapa final'!$AD$129="Mayor"),CONCATENATE("R41C",'Mapa final'!$R$129),"")</f>
        <v/>
      </c>
      <c r="V146" s="43" t="str">
        <f>IF(AND('Mapa final'!$AB$127="Media",'Mapa final'!$AD$127="Catastrófico"),CONCATENATE("R41C",'Mapa final'!$R$127),"")</f>
        <v/>
      </c>
      <c r="W146" s="44" t="str">
        <f>IF(AND('Mapa final'!$AB$128="Media",'Mapa final'!$AD$128="Catastrófico"),CONCATENATE("R41C",'Mapa final'!$R$128),"")</f>
        <v/>
      </c>
      <c r="X146" s="100" t="str">
        <f>IF(AND('Mapa final'!$AB$129="Media",'Mapa final'!$AD$129="Catastrófico"),CONCATENATE("R41C",'Mapa final'!$R$129),"")</f>
        <v/>
      </c>
      <c r="Y146" s="56"/>
      <c r="Z146" s="322"/>
      <c r="AA146" s="323"/>
      <c r="AB146" s="323"/>
      <c r="AC146" s="323"/>
      <c r="AD146" s="323"/>
      <c r="AE146" s="324"/>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row>
    <row r="147" spans="1:61" ht="15" customHeight="1" x14ac:dyDescent="0.35">
      <c r="A147" s="56"/>
      <c r="B147" s="311"/>
      <c r="C147" s="311"/>
      <c r="D147" s="312"/>
      <c r="E147" s="288"/>
      <c r="F147" s="301"/>
      <c r="G147" s="301"/>
      <c r="H147" s="301"/>
      <c r="I147" s="283"/>
      <c r="J147" s="49" t="str">
        <f>IF(AND('Mapa final'!$AB$130="Media",'Mapa final'!$AD$130="Leve"),CONCATENATE("R42C",'Mapa final'!$R$130),"")</f>
        <v/>
      </c>
      <c r="K147" s="50" t="str">
        <f>IF(AND('Mapa final'!$AB$131="Media",'Mapa final'!$AD$131="Leve"),CONCATENATE("R42C",'Mapa final'!$R$131),"")</f>
        <v/>
      </c>
      <c r="L147" s="111" t="str">
        <f>IF(AND('Mapa final'!$AB$132="Media",'Mapa final'!$AD$132="Leve"),CONCATENATE("R42C",'Mapa final'!$R$132),"")</f>
        <v/>
      </c>
      <c r="M147" s="49" t="str">
        <f>IF(AND('Mapa final'!$AB$130="Media",'Mapa final'!$AD$130="Menor"),CONCATENATE("R42C",'Mapa final'!$R$130),"")</f>
        <v/>
      </c>
      <c r="N147" s="50" t="str">
        <f>IF(AND('Mapa final'!$AB$131="Media",'Mapa final'!$AD$131="Menor"),CONCATENATE("R42C",'Mapa final'!$R$131),"")</f>
        <v/>
      </c>
      <c r="O147" s="111" t="str">
        <f>IF(AND('Mapa final'!$AB$132="Media",'Mapa final'!$AD$132="Menor"),CONCATENATE("R42C",'Mapa final'!$R$132),"")</f>
        <v/>
      </c>
      <c r="P147" s="49" t="str">
        <f>IF(AND('Mapa final'!$AB$130="Media",'Mapa final'!$AD$130="Moderado"),CONCATENATE("R42C",'Mapa final'!$R$130),"")</f>
        <v/>
      </c>
      <c r="Q147" s="50" t="str">
        <f>IF(AND('Mapa final'!$AB$131="Media",'Mapa final'!$AD$131="Moderado"),CONCATENATE("R42C",'Mapa final'!$R$131),"")</f>
        <v/>
      </c>
      <c r="R147" s="111" t="str">
        <f>IF(AND('Mapa final'!$AB$132="Media",'Mapa final'!$AD$132="Moderado"),CONCATENATE("R42C",'Mapa final'!$R$132),"")</f>
        <v/>
      </c>
      <c r="S147" s="105" t="str">
        <f>IF(AND('Mapa final'!$AB$130="Media",'Mapa final'!$AD$130="Mayor"),CONCATENATE("R42C",'Mapa final'!$R$130),"")</f>
        <v/>
      </c>
      <c r="T147" s="42" t="str">
        <f>IF(AND('Mapa final'!$AB$131="Media",'Mapa final'!$AD$131="Mayor"),CONCATENATE("R42C",'Mapa final'!$R$131),"")</f>
        <v/>
      </c>
      <c r="U147" s="106" t="str">
        <f>IF(AND('Mapa final'!$AB$132="Media",'Mapa final'!$AD$132="Mayor"),CONCATENATE("R42C",'Mapa final'!$R$132),"")</f>
        <v/>
      </c>
      <c r="V147" s="43" t="str">
        <f>IF(AND('Mapa final'!$AB$130="Media",'Mapa final'!$AD$130="Catastrófico"),CONCATENATE("R42C",'Mapa final'!$R$130),"")</f>
        <v/>
      </c>
      <c r="W147" s="44" t="str">
        <f>IF(AND('Mapa final'!$AB$131="Media",'Mapa final'!$AD$131="Catastrófico"),CONCATENATE("R42C",'Mapa final'!$R$131),"")</f>
        <v/>
      </c>
      <c r="X147" s="100" t="str">
        <f>IF(AND('Mapa final'!$AB$132="Media",'Mapa final'!$AD$132="Catastrófico"),CONCATENATE("R42C",'Mapa final'!$R$132),"")</f>
        <v/>
      </c>
      <c r="Y147" s="56"/>
      <c r="Z147" s="322"/>
      <c r="AA147" s="323"/>
      <c r="AB147" s="323"/>
      <c r="AC147" s="323"/>
      <c r="AD147" s="323"/>
      <c r="AE147" s="324"/>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row>
    <row r="148" spans="1:61" ht="15" customHeight="1" x14ac:dyDescent="0.35">
      <c r="A148" s="56"/>
      <c r="B148" s="311"/>
      <c r="C148" s="311"/>
      <c r="D148" s="312"/>
      <c r="E148" s="288"/>
      <c r="F148" s="301"/>
      <c r="G148" s="301"/>
      <c r="H148" s="301"/>
      <c r="I148" s="283"/>
      <c r="J148" s="49" t="str">
        <f>IF(AND('Mapa final'!$AB$133="Media",'Mapa final'!$AD$133="Leve"),CONCATENATE("R43C",'Mapa final'!$R$133),"")</f>
        <v/>
      </c>
      <c r="K148" s="50" t="str">
        <f>IF(AND('Mapa final'!$AB$134="Media",'Mapa final'!$AD$134="Leve"),CONCATENATE("R43C",'Mapa final'!$R$134),"")</f>
        <v/>
      </c>
      <c r="L148" s="111" t="str">
        <f>IF(AND('Mapa final'!$AB$135="Media",'Mapa final'!$AD$135="Leve"),CONCATENATE("R43C",'Mapa final'!$R$135),"")</f>
        <v/>
      </c>
      <c r="M148" s="49" t="str">
        <f>IF(AND('Mapa final'!$AB$133="Media",'Mapa final'!$AD$133="Menor"),CONCATENATE("R43C",'Mapa final'!$R$133),"")</f>
        <v/>
      </c>
      <c r="N148" s="50" t="str">
        <f>IF(AND('Mapa final'!$AB$134="Media",'Mapa final'!$AD$134="Menor"),CONCATENATE("R43C",'Mapa final'!$R$134),"")</f>
        <v/>
      </c>
      <c r="O148" s="111" t="str">
        <f>IF(AND('Mapa final'!$AB$135="Media",'Mapa final'!$AD$135="Menor"),CONCATENATE("R43C",'Mapa final'!$R$135),"")</f>
        <v/>
      </c>
      <c r="P148" s="49" t="str">
        <f>IF(AND('Mapa final'!$AB$133="Media",'Mapa final'!$AD$133="Moderado"),CONCATENATE("R43C",'Mapa final'!$R$133),"")</f>
        <v/>
      </c>
      <c r="Q148" s="50" t="str">
        <f>IF(AND('Mapa final'!$AB$134="Media",'Mapa final'!$AD$134="Moderado"),CONCATENATE("R43C",'Mapa final'!$R$134),"")</f>
        <v/>
      </c>
      <c r="R148" s="111" t="str">
        <f>IF(AND('Mapa final'!$AB$135="Media",'Mapa final'!$AD$135="Moderado"),CONCATENATE("R43C",'Mapa final'!$R$135),"")</f>
        <v/>
      </c>
      <c r="S148" s="105" t="str">
        <f>IF(AND('Mapa final'!$AB$133="Media",'Mapa final'!$AD$133="Mayor"),CONCATENATE("R43C",'Mapa final'!$R$133),"")</f>
        <v>R43C1</v>
      </c>
      <c r="T148" s="42" t="str">
        <f>IF(AND('Mapa final'!$AB$134="Media",'Mapa final'!$AD$134="Mayor"),CONCATENATE("R43C",'Mapa final'!$R$134),"")</f>
        <v/>
      </c>
      <c r="U148" s="106" t="str">
        <f>IF(AND('Mapa final'!$AB$135="Media",'Mapa final'!$AD$135="Mayor"),CONCATENATE("R43C",'Mapa final'!$R$135),"")</f>
        <v/>
      </c>
      <c r="V148" s="43" t="str">
        <f>IF(AND('Mapa final'!$AB$133="Media",'Mapa final'!$AD$133="Catastrófico"),CONCATENATE("R43C",'Mapa final'!$R$133),"")</f>
        <v/>
      </c>
      <c r="W148" s="44" t="str">
        <f>IF(AND('Mapa final'!$AB$134="Media",'Mapa final'!$AD$134="Catastrófico"),CONCATENATE("R43C",'Mapa final'!$R$134),"")</f>
        <v/>
      </c>
      <c r="X148" s="100" t="str">
        <f>IF(AND('Mapa final'!$AB$135="Media",'Mapa final'!$AD$135="Catastrófico"),CONCATENATE("R43C",'Mapa final'!$R$135),"")</f>
        <v/>
      </c>
      <c r="Y148" s="56"/>
      <c r="Z148" s="322"/>
      <c r="AA148" s="323"/>
      <c r="AB148" s="323"/>
      <c r="AC148" s="323"/>
      <c r="AD148" s="323"/>
      <c r="AE148" s="324"/>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row>
    <row r="149" spans="1:61" ht="15" customHeight="1" x14ac:dyDescent="0.35">
      <c r="A149" s="56"/>
      <c r="B149" s="311"/>
      <c r="C149" s="311"/>
      <c r="D149" s="312"/>
      <c r="E149" s="288"/>
      <c r="F149" s="301"/>
      <c r="G149" s="301"/>
      <c r="H149" s="301"/>
      <c r="I149" s="283"/>
      <c r="J149" s="49" t="str">
        <f>IF(AND('Mapa final'!$AB$136="Media",'Mapa final'!$AD$136="Leve"),CONCATENATE("R44C",'Mapa final'!$R$136),"")</f>
        <v/>
      </c>
      <c r="K149" s="50" t="str">
        <f>IF(AND('Mapa final'!$AB$137="Media",'Mapa final'!$AD$137="Leve"),CONCATENATE("R44C",'Mapa final'!$R$137),"")</f>
        <v/>
      </c>
      <c r="L149" s="111" t="str">
        <f>IF(AND('Mapa final'!$AB$138="Media",'Mapa final'!$AD$138="Leve"),CONCATENATE("R44C",'Mapa final'!$R$138),"")</f>
        <v/>
      </c>
      <c r="M149" s="49" t="str">
        <f>IF(AND('Mapa final'!$AB$136="Media",'Mapa final'!$AD$136="Menor"),CONCATENATE("R44C",'Mapa final'!$R$136),"")</f>
        <v/>
      </c>
      <c r="N149" s="50" t="str">
        <f>IF(AND('Mapa final'!$AB$137="Media",'Mapa final'!$AD$137="Menor"),CONCATENATE("R44C",'Mapa final'!$R$137),"")</f>
        <v/>
      </c>
      <c r="O149" s="111" t="str">
        <f>IF(AND('Mapa final'!$AB$138="Media",'Mapa final'!$AD$138="Menor"),CONCATENATE("R44C",'Mapa final'!$R$138),"")</f>
        <v/>
      </c>
      <c r="P149" s="49" t="str">
        <f>IF(AND('Mapa final'!$AB$136="Media",'Mapa final'!$AD$136="Moderado"),CONCATENATE("R44C",'Mapa final'!$R$136),"")</f>
        <v>R44C1</v>
      </c>
      <c r="Q149" s="50" t="str">
        <f>IF(AND('Mapa final'!$AB$137="Media",'Mapa final'!$AD$137="Moderado"),CONCATENATE("R44C",'Mapa final'!$R$137),"")</f>
        <v/>
      </c>
      <c r="R149" s="111" t="str">
        <f>IF(AND('Mapa final'!$AB$138="Media",'Mapa final'!$AD$138="Moderado"),CONCATENATE("R44C",'Mapa final'!$R$138),"")</f>
        <v/>
      </c>
      <c r="S149" s="105" t="str">
        <f>IF(AND('Mapa final'!$AB$136="Media",'Mapa final'!$AD$136="Mayor"),CONCATENATE("R44C",'Mapa final'!$R$136),"")</f>
        <v/>
      </c>
      <c r="T149" s="42" t="str">
        <f>IF(AND('Mapa final'!$AB$137="Media",'Mapa final'!$AD$137="Mayor"),CONCATENATE("R44C",'Mapa final'!$R$137),"")</f>
        <v/>
      </c>
      <c r="U149" s="106" t="str">
        <f>IF(AND('Mapa final'!$AB$138="Media",'Mapa final'!$AD$138="Mayor"),CONCATENATE("R44C",'Mapa final'!$R$138),"")</f>
        <v/>
      </c>
      <c r="V149" s="43" t="str">
        <f>IF(AND('Mapa final'!$AB$136="Media",'Mapa final'!$AD$136="Catastrófico"),CONCATENATE("R44C",'Mapa final'!$R$136),"")</f>
        <v/>
      </c>
      <c r="W149" s="44" t="str">
        <f>IF(AND('Mapa final'!$AB$137="Media",'Mapa final'!$AD$137="Catastrófico"),CONCATENATE("R44C",'Mapa final'!$R$137),"")</f>
        <v/>
      </c>
      <c r="X149" s="100" t="str">
        <f>IF(AND('Mapa final'!$AB$138="Media",'Mapa final'!$AD$138="Catastrófico"),CONCATENATE("R44C",'Mapa final'!$R$138),"")</f>
        <v/>
      </c>
      <c r="Y149" s="56"/>
      <c r="Z149" s="322"/>
      <c r="AA149" s="323"/>
      <c r="AB149" s="323"/>
      <c r="AC149" s="323"/>
      <c r="AD149" s="323"/>
      <c r="AE149" s="324"/>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row>
    <row r="150" spans="1:61" ht="15" customHeight="1" x14ac:dyDescent="0.35">
      <c r="A150" s="56"/>
      <c r="B150" s="311"/>
      <c r="C150" s="311"/>
      <c r="D150" s="312"/>
      <c r="E150" s="288"/>
      <c r="F150" s="301"/>
      <c r="G150" s="301"/>
      <c r="H150" s="301"/>
      <c r="I150" s="283"/>
      <c r="J150" s="49" t="str">
        <f>IF(AND('Mapa final'!$AB$139="Media",'Mapa final'!$AD$139="Leve"),CONCATENATE("R45C",'Mapa final'!$R$139),"")</f>
        <v/>
      </c>
      <c r="K150" s="50" t="str">
        <f>IF(AND('Mapa final'!$AB$140="Media",'Mapa final'!$AD$140="Leve"),CONCATENATE("R45C",'Mapa final'!$R$140),"")</f>
        <v/>
      </c>
      <c r="L150" s="111" t="str">
        <f>IF(AND('Mapa final'!$AB$141="Media",'Mapa final'!$AD$141="Leve"),CONCATENATE("R45C",'Mapa final'!$R$141),"")</f>
        <v/>
      </c>
      <c r="M150" s="49" t="str">
        <f>IF(AND('Mapa final'!$AB$139="Media",'Mapa final'!$AD$139="Menor"),CONCATENATE("R45C",'Mapa final'!$R$139),"")</f>
        <v/>
      </c>
      <c r="N150" s="50" t="str">
        <f>IF(AND('Mapa final'!$AB$140="Media",'Mapa final'!$AD$140="Menor"),CONCATENATE("R45C",'Mapa final'!$R$140),"")</f>
        <v/>
      </c>
      <c r="O150" s="111" t="str">
        <f>IF(AND('Mapa final'!$AB$141="Media",'Mapa final'!$AD$141="Menor"),CONCATENATE("R45C",'Mapa final'!$R$141),"")</f>
        <v/>
      </c>
      <c r="P150" s="49" t="str">
        <f>IF(AND('Mapa final'!$AB$139="Media",'Mapa final'!$AD$139="Moderado"),CONCATENATE("R45C",'Mapa final'!$R$139),"")</f>
        <v/>
      </c>
      <c r="Q150" s="50" t="str">
        <f>IF(AND('Mapa final'!$AB$140="Media",'Mapa final'!$AD$140="Moderado"),CONCATENATE("R45C",'Mapa final'!$R$140),"")</f>
        <v/>
      </c>
      <c r="R150" s="111" t="str">
        <f>IF(AND('Mapa final'!$AB$141="Media",'Mapa final'!$AD$141="Moderado"),CONCATENATE("R45C",'Mapa final'!$R$141),"")</f>
        <v/>
      </c>
      <c r="S150" s="105" t="str">
        <f>IF(AND('Mapa final'!$AB$139="Media",'Mapa final'!$AD$139="Mayor"),CONCATENATE("R45C",'Mapa final'!$R$139),"")</f>
        <v>R45C1</v>
      </c>
      <c r="T150" s="42" t="str">
        <f>IF(AND('Mapa final'!$AB$140="Media",'Mapa final'!$AD$140="Mayor"),CONCATENATE("R45C",'Mapa final'!$R$140),"")</f>
        <v/>
      </c>
      <c r="U150" s="106" t="str">
        <f>IF(AND('Mapa final'!$AB$141="Media",'Mapa final'!$AD$141="Mayor"),CONCATENATE("R45C",'Mapa final'!$R$141),"")</f>
        <v/>
      </c>
      <c r="V150" s="43" t="str">
        <f>IF(AND('Mapa final'!$AB$139="Media",'Mapa final'!$AD$139="Catastrófico"),CONCATENATE("R45C",'Mapa final'!$R$139),"")</f>
        <v/>
      </c>
      <c r="W150" s="44" t="str">
        <f>IF(AND('Mapa final'!$AB$140="Media",'Mapa final'!$AD$140="Catastrófico"),CONCATENATE("R45C",'Mapa final'!$R$140),"")</f>
        <v/>
      </c>
      <c r="X150" s="100" t="str">
        <f>IF(AND('Mapa final'!$AB$141="Media",'Mapa final'!$AD$141="Catastrófico"),CONCATENATE("R45C",'Mapa final'!$R$141),"")</f>
        <v/>
      </c>
      <c r="Y150" s="56"/>
      <c r="Z150" s="322"/>
      <c r="AA150" s="323"/>
      <c r="AB150" s="323"/>
      <c r="AC150" s="323"/>
      <c r="AD150" s="323"/>
      <c r="AE150" s="324"/>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row>
    <row r="151" spans="1:61" ht="15" customHeight="1" x14ac:dyDescent="0.35">
      <c r="A151" s="56"/>
      <c r="B151" s="311"/>
      <c r="C151" s="311"/>
      <c r="D151" s="312"/>
      <c r="E151" s="288"/>
      <c r="F151" s="301"/>
      <c r="G151" s="301"/>
      <c r="H151" s="301"/>
      <c r="I151" s="283"/>
      <c r="J151" s="49" t="str">
        <f>IF(AND('Mapa final'!$AB$142="Media",'Mapa final'!$AD$142="Leve"),CONCATENATE("R46C",'Mapa final'!$R$142),"")</f>
        <v/>
      </c>
      <c r="K151" s="50" t="str">
        <f>IF(AND('Mapa final'!$AB$143="Media",'Mapa final'!$AD$143="Leve"),CONCATENATE("R46C",'Mapa final'!$R$143),"")</f>
        <v/>
      </c>
      <c r="L151" s="111" t="str">
        <f>IF(AND('Mapa final'!$AB$144="Media",'Mapa final'!$AD$144="Leve"),CONCATENATE("R46C",'Mapa final'!$R$144),"")</f>
        <v/>
      </c>
      <c r="M151" s="49" t="str">
        <f>IF(AND('Mapa final'!$AB$142="Media",'Mapa final'!$AD$142="Menor"),CONCATENATE("R46C",'Mapa final'!$R$142),"")</f>
        <v/>
      </c>
      <c r="N151" s="50" t="str">
        <f>IF(AND('Mapa final'!$AB$143="Media",'Mapa final'!$AD$143="Menor"),CONCATENATE("R46C",'Mapa final'!$R$143),"")</f>
        <v/>
      </c>
      <c r="O151" s="111" t="str">
        <f>IF(AND('Mapa final'!$AB$144="Media",'Mapa final'!$AD$144="Menor"),CONCATENATE("R46C",'Mapa final'!$R$144),"")</f>
        <v/>
      </c>
      <c r="P151" s="49" t="str">
        <f>IF(AND('Mapa final'!$AB$142="Media",'Mapa final'!$AD$142="Moderado"),CONCATENATE("R46C",'Mapa final'!$R$142),"")</f>
        <v/>
      </c>
      <c r="Q151" s="50" t="str">
        <f>IF(AND('Mapa final'!$AB$143="Media",'Mapa final'!$AD$143="Moderado"),CONCATENATE("R46C",'Mapa final'!$R$143),"")</f>
        <v/>
      </c>
      <c r="R151" s="111" t="str">
        <f>IF(AND('Mapa final'!$AB$144="Media",'Mapa final'!$AD$144="Moderado"),CONCATENATE("R46C",'Mapa final'!$R$144),"")</f>
        <v/>
      </c>
      <c r="S151" s="105" t="str">
        <f>IF(AND('Mapa final'!$AB$142="Media",'Mapa final'!$AD$142="Mayor"),CONCATENATE("R46C",'Mapa final'!$R$142),"")</f>
        <v/>
      </c>
      <c r="T151" s="42" t="str">
        <f>IF(AND('Mapa final'!$AB$143="Media",'Mapa final'!$AD$143="Mayor"),CONCATENATE("R46C",'Mapa final'!$R$143),"")</f>
        <v/>
      </c>
      <c r="U151" s="106" t="str">
        <f>IF(AND('Mapa final'!$AB$144="Media",'Mapa final'!$AD$144="Mayor"),CONCATENATE("R46C",'Mapa final'!$R$144),"")</f>
        <v/>
      </c>
      <c r="V151" s="43" t="str">
        <f>IF(AND('Mapa final'!$AB$142="Media",'Mapa final'!$AD$142="Catastrófico"),CONCATENATE("R46C",'Mapa final'!$R$142),"")</f>
        <v/>
      </c>
      <c r="W151" s="44" t="str">
        <f>IF(AND('Mapa final'!$AB$143="Media",'Mapa final'!$AD$143="Catastrófico"),CONCATENATE("R46C",'Mapa final'!$R$143),"")</f>
        <v/>
      </c>
      <c r="X151" s="100" t="str">
        <f>IF(AND('Mapa final'!$AB$144="Media",'Mapa final'!$AD$144="Catastrófico"),CONCATENATE("R46C",'Mapa final'!$R$144),"")</f>
        <v/>
      </c>
      <c r="Y151" s="56"/>
      <c r="Z151" s="322"/>
      <c r="AA151" s="323"/>
      <c r="AB151" s="323"/>
      <c r="AC151" s="323"/>
      <c r="AD151" s="323"/>
      <c r="AE151" s="324"/>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row>
    <row r="152" spans="1:61" ht="15" customHeight="1" x14ac:dyDescent="0.35">
      <c r="A152" s="56"/>
      <c r="B152" s="311"/>
      <c r="C152" s="311"/>
      <c r="D152" s="312"/>
      <c r="E152" s="288"/>
      <c r="F152" s="301"/>
      <c r="G152" s="301"/>
      <c r="H152" s="301"/>
      <c r="I152" s="283"/>
      <c r="J152" s="49" t="str">
        <f>IF(AND('Mapa final'!$AB$145="Media",'Mapa final'!$AD$145="Leve"),CONCATENATE("R47C",'Mapa final'!$R$145),"")</f>
        <v/>
      </c>
      <c r="K152" s="50" t="str">
        <f>IF(AND('Mapa final'!$AB$146="Media",'Mapa final'!$AD$146="Leve"),CONCATENATE("R47C",'Mapa final'!$R$146),"")</f>
        <v/>
      </c>
      <c r="L152" s="111" t="str">
        <f>IF(AND('Mapa final'!$AB$147="Media",'Mapa final'!$AD$147="Leve"),CONCATENATE("R47C",'Mapa final'!$R$147),"")</f>
        <v/>
      </c>
      <c r="M152" s="49" t="str">
        <f>IF(AND('Mapa final'!$AB$145="Media",'Mapa final'!$AD$145="Menor"),CONCATENATE("R47C",'Mapa final'!$R$145),"")</f>
        <v/>
      </c>
      <c r="N152" s="50" t="str">
        <f>IF(AND('Mapa final'!$AB$146="Media",'Mapa final'!$AD$146="Menor"),CONCATENATE("R47C",'Mapa final'!$R$146),"")</f>
        <v/>
      </c>
      <c r="O152" s="111" t="str">
        <f>IF(AND('Mapa final'!$AB$147="Media",'Mapa final'!$AD$147="Menor"),CONCATENATE("R47C",'Mapa final'!$R$147),"")</f>
        <v/>
      </c>
      <c r="P152" s="49" t="str">
        <f>IF(AND('Mapa final'!$AB$145="Media",'Mapa final'!$AD$145="Moderado"),CONCATENATE("R47C",'Mapa final'!$R$145),"")</f>
        <v/>
      </c>
      <c r="Q152" s="50" t="str">
        <f>IF(AND('Mapa final'!$AB$146="Media",'Mapa final'!$AD$146="Moderado"),CONCATENATE("R47C",'Mapa final'!$R$146),"")</f>
        <v/>
      </c>
      <c r="R152" s="111" t="str">
        <f>IF(AND('Mapa final'!$AB$147="Media",'Mapa final'!$AD$147="Moderado"),CONCATENATE("R47C",'Mapa final'!$R$147),"")</f>
        <v/>
      </c>
      <c r="S152" s="105" t="str">
        <f>IF(AND('Mapa final'!$AB$145="Media",'Mapa final'!$AD$145="Mayor"),CONCATENATE("R47C",'Mapa final'!$R$145),"")</f>
        <v/>
      </c>
      <c r="T152" s="42" t="str">
        <f>IF(AND('Mapa final'!$AB$146="Media",'Mapa final'!$AD$146="Mayor"),CONCATENATE("R47C",'Mapa final'!$R$146),"")</f>
        <v/>
      </c>
      <c r="U152" s="106" t="str">
        <f>IF(AND('Mapa final'!$AB$147="Media",'Mapa final'!$AD$147="Mayor"),CONCATENATE("R47C",'Mapa final'!$R$147),"")</f>
        <v/>
      </c>
      <c r="V152" s="43" t="str">
        <f>IF(AND('Mapa final'!$AB$145="Media",'Mapa final'!$AD$145="Catastrófico"),CONCATENATE("R47C",'Mapa final'!$R$145),"")</f>
        <v/>
      </c>
      <c r="W152" s="44" t="str">
        <f>IF(AND('Mapa final'!$AB$146="Media",'Mapa final'!$AD$146="Catastrófico"),CONCATENATE("R47C",'Mapa final'!$R$146),"")</f>
        <v/>
      </c>
      <c r="X152" s="100" t="str">
        <f>IF(AND('Mapa final'!$AB$147="Media",'Mapa final'!$AD$147="Catastrófico"),CONCATENATE("R47C",'Mapa final'!$R$147),"")</f>
        <v/>
      </c>
      <c r="Y152" s="56"/>
      <c r="Z152" s="322"/>
      <c r="AA152" s="323"/>
      <c r="AB152" s="323"/>
      <c r="AC152" s="323"/>
      <c r="AD152" s="323"/>
      <c r="AE152" s="324"/>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ht="15" customHeight="1" x14ac:dyDescent="0.35">
      <c r="A153" s="56"/>
      <c r="B153" s="311"/>
      <c r="C153" s="311"/>
      <c r="D153" s="312"/>
      <c r="E153" s="288"/>
      <c r="F153" s="301"/>
      <c r="G153" s="301"/>
      <c r="H153" s="301"/>
      <c r="I153" s="283"/>
      <c r="J153" s="49" t="str">
        <f>IF(AND('Mapa final'!$AB$148="Media",'Mapa final'!$AD$148="Leve"),CONCATENATE("R48C",'Mapa final'!$R$148),"")</f>
        <v/>
      </c>
      <c r="K153" s="50" t="str">
        <f>IF(AND('Mapa final'!$AB$149="Media",'Mapa final'!$AD$149="Leve"),CONCATENATE("R48C",'Mapa final'!$R$149),"")</f>
        <v/>
      </c>
      <c r="L153" s="111" t="str">
        <f>IF(AND('Mapa final'!$AB$150="Media",'Mapa final'!$AD$150="Leve"),CONCATENATE("R48C",'Mapa final'!$R$150),"")</f>
        <v/>
      </c>
      <c r="M153" s="49" t="str">
        <f>IF(AND('Mapa final'!$AB$148="Media",'Mapa final'!$AD$148="Menor"),CONCATENATE("R48C",'Mapa final'!$R$148),"")</f>
        <v/>
      </c>
      <c r="N153" s="50" t="str">
        <f>IF(AND('Mapa final'!$AB$149="Media",'Mapa final'!$AD$149="Menor"),CONCATENATE("R48C",'Mapa final'!$R$149),"")</f>
        <v/>
      </c>
      <c r="O153" s="111" t="str">
        <f>IF(AND('Mapa final'!$AB$150="Media",'Mapa final'!$AD$150="Menor"),CONCATENATE("R48C",'Mapa final'!$R$150),"")</f>
        <v/>
      </c>
      <c r="P153" s="49" t="str">
        <f>IF(AND('Mapa final'!$AB$148="Media",'Mapa final'!$AD$148="Moderado"),CONCATENATE("R48C",'Mapa final'!$R$148),"")</f>
        <v/>
      </c>
      <c r="Q153" s="50" t="str">
        <f>IF(AND('Mapa final'!$AB$149="Media",'Mapa final'!$AD$149="Moderado"),CONCATENATE("R48C",'Mapa final'!$R$149),"")</f>
        <v/>
      </c>
      <c r="R153" s="111" t="str">
        <f>IF(AND('Mapa final'!$AB$150="Media",'Mapa final'!$AD$150="Moderado"),CONCATENATE("R48C",'Mapa final'!$R$150),"")</f>
        <v/>
      </c>
      <c r="S153" s="105" t="str">
        <f>IF(AND('Mapa final'!$AB$148="Media",'Mapa final'!$AD$148="Mayor"),CONCATENATE("R48C",'Mapa final'!$R$148),"")</f>
        <v/>
      </c>
      <c r="T153" s="42" t="str">
        <f>IF(AND('Mapa final'!$AB$149="Media",'Mapa final'!$AD$149="Mayor"),CONCATENATE("R48C",'Mapa final'!$R$149),"")</f>
        <v/>
      </c>
      <c r="U153" s="106" t="str">
        <f>IF(AND('Mapa final'!$AB$150="Media",'Mapa final'!$AD$150="Mayor"),CONCATENATE("R48C",'Mapa final'!$R$150),"")</f>
        <v/>
      </c>
      <c r="V153" s="43" t="str">
        <f>IF(AND('Mapa final'!$AB$148="Media",'Mapa final'!$AD$148="Catastrófico"),CONCATENATE("R48C",'Mapa final'!$R$148),"")</f>
        <v/>
      </c>
      <c r="W153" s="44" t="str">
        <f>IF(AND('Mapa final'!$AB$149="Media",'Mapa final'!$AD$149="Catastrófico"),CONCATENATE("R48C",'Mapa final'!$R$149),"")</f>
        <v/>
      </c>
      <c r="X153" s="100" t="str">
        <f>IF(AND('Mapa final'!$AB$150="Media",'Mapa final'!$AD$150="Catastrófico"),CONCATENATE("R48C",'Mapa final'!$R$150),"")</f>
        <v/>
      </c>
      <c r="Y153" s="56"/>
      <c r="Z153" s="322"/>
      <c r="AA153" s="323"/>
      <c r="AB153" s="323"/>
      <c r="AC153" s="323"/>
      <c r="AD153" s="323"/>
      <c r="AE153" s="324"/>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ht="15" customHeight="1" x14ac:dyDescent="0.35">
      <c r="A154" s="56"/>
      <c r="B154" s="311"/>
      <c r="C154" s="311"/>
      <c r="D154" s="312"/>
      <c r="E154" s="288"/>
      <c r="F154" s="301"/>
      <c r="G154" s="301"/>
      <c r="H154" s="301"/>
      <c r="I154" s="283"/>
      <c r="J154" s="49" t="str">
        <f>IF(AND('Mapa final'!$AB$151="Media",'Mapa final'!$AD$151="Leve"),CONCATENATE("R49C",'Mapa final'!$R$151),"")</f>
        <v/>
      </c>
      <c r="K154" s="50" t="str">
        <f>IF(AND('Mapa final'!$AB$152="Media",'Mapa final'!$AD$152="Leve"),CONCATENATE("R49C",'Mapa final'!$R$152),"")</f>
        <v/>
      </c>
      <c r="L154" s="111" t="str">
        <f>IF(AND('Mapa final'!$AB$153="Media",'Mapa final'!$AD$153="Leve"),CONCATENATE("R49C",'Mapa final'!$R$153),"")</f>
        <v/>
      </c>
      <c r="M154" s="49" t="str">
        <f>IF(AND('Mapa final'!$AB$151="Media",'Mapa final'!$AD$151="Menor"),CONCATENATE("R49C",'Mapa final'!$R$151),"")</f>
        <v/>
      </c>
      <c r="N154" s="50" t="str">
        <f>IF(AND('Mapa final'!$AB$152="Media",'Mapa final'!$AD$152="Menor"),CONCATENATE("R49C",'Mapa final'!$R$152),"")</f>
        <v/>
      </c>
      <c r="O154" s="111" t="str">
        <f>IF(AND('Mapa final'!$AB$153="Media",'Mapa final'!$AD$153="Menor"),CONCATENATE("R49C",'Mapa final'!$R$153),"")</f>
        <v/>
      </c>
      <c r="P154" s="49" t="str">
        <f>IF(AND('Mapa final'!$AB$151="Media",'Mapa final'!$AD$151="Moderado"),CONCATENATE("R49C",'Mapa final'!$R$151),"")</f>
        <v/>
      </c>
      <c r="Q154" s="50" t="str">
        <f>IF(AND('Mapa final'!$AB$152="Media",'Mapa final'!$AD$152="Moderado"),CONCATENATE("R49C",'Mapa final'!$R$152),"")</f>
        <v/>
      </c>
      <c r="R154" s="111" t="str">
        <f>IF(AND('Mapa final'!$AB$153="Media",'Mapa final'!$AD$153="Moderado"),CONCATENATE("R49C",'Mapa final'!$R$153),"")</f>
        <v/>
      </c>
      <c r="S154" s="105" t="str">
        <f>IF(AND('Mapa final'!$AB$151="Media",'Mapa final'!$AD$151="Mayor"),CONCATENATE("R49C",'Mapa final'!$R$151),"")</f>
        <v/>
      </c>
      <c r="T154" s="42" t="str">
        <f>IF(AND('Mapa final'!$AB$152="Media",'Mapa final'!$AD$152="Mayor"),CONCATENATE("R49C",'Mapa final'!$R$152),"")</f>
        <v/>
      </c>
      <c r="U154" s="106" t="str">
        <f>IF(AND('Mapa final'!$AB$153="Media",'Mapa final'!$AD$153="Mayor"),CONCATENATE("R49C",'Mapa final'!$R$153),"")</f>
        <v/>
      </c>
      <c r="V154" s="43" t="str">
        <f>IF(AND('Mapa final'!$AB$151="Media",'Mapa final'!$AD$151="Catastrófico"),CONCATENATE("R49C",'Mapa final'!$R$151),"")</f>
        <v/>
      </c>
      <c r="W154" s="44" t="str">
        <f>IF(AND('Mapa final'!$AB$152="Media",'Mapa final'!$AD$152="Catastrófico"),CONCATENATE("R49C",'Mapa final'!$R$152),"")</f>
        <v/>
      </c>
      <c r="X154" s="100" t="str">
        <f>IF(AND('Mapa final'!$AB$153="Media",'Mapa final'!$AD$153="Catastrófico"),CONCATENATE("R49C",'Mapa final'!$R$153),"")</f>
        <v/>
      </c>
      <c r="Y154" s="56"/>
      <c r="Z154" s="322"/>
      <c r="AA154" s="323"/>
      <c r="AB154" s="323"/>
      <c r="AC154" s="323"/>
      <c r="AD154" s="323"/>
      <c r="AE154" s="324"/>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ht="15" customHeight="1" thickBot="1" x14ac:dyDescent="0.4">
      <c r="A155" s="56"/>
      <c r="B155" s="311"/>
      <c r="C155" s="311"/>
      <c r="D155" s="312"/>
      <c r="E155" s="288"/>
      <c r="F155" s="301"/>
      <c r="G155" s="301"/>
      <c r="H155" s="301"/>
      <c r="I155" s="283"/>
      <c r="J155" s="51" t="str">
        <f>IF(AND('Mapa final'!$AB$154="Media",'Mapa final'!$AD$154="Leve"),CONCATENATE("R50C",'Mapa final'!$R$154),"")</f>
        <v/>
      </c>
      <c r="K155" s="52" t="str">
        <f>IF(AND('Mapa final'!$AB$155="Media",'Mapa final'!$AD$155="Leve"),CONCATENATE("R50C",'Mapa final'!$R$155),"")</f>
        <v/>
      </c>
      <c r="L155" s="112" t="str">
        <f>IF(AND('Mapa final'!$AB$156="Media",'Mapa final'!$AD$156="Leve"),CONCATENATE("R50C",'Mapa final'!$R$156),"")</f>
        <v/>
      </c>
      <c r="M155" s="51" t="str">
        <f>IF(AND('Mapa final'!$AB$154="Media",'Mapa final'!$AD$154="Menor"),CONCATENATE("R50C",'Mapa final'!$R$154),"")</f>
        <v/>
      </c>
      <c r="N155" s="52" t="str">
        <f>IF(AND('Mapa final'!$AB$155="Media",'Mapa final'!$AD$155="Menor"),CONCATENATE("R50C",'Mapa final'!$R$155),"")</f>
        <v/>
      </c>
      <c r="O155" s="112" t="str">
        <f>IF(AND('Mapa final'!$AB$156="Media",'Mapa final'!$AD$156="Menor"),CONCATENATE("R50C",'Mapa final'!$R$156),"")</f>
        <v/>
      </c>
      <c r="P155" s="51" t="str">
        <f>IF(AND('Mapa final'!$AB$154="Media",'Mapa final'!$AD$154="Moderado"),CONCATENATE("R50C",'Mapa final'!$R$154),"")</f>
        <v/>
      </c>
      <c r="Q155" s="52" t="str">
        <f>IF(AND('Mapa final'!$AB$155="Media",'Mapa final'!$AD$155="Moderado"),CONCATENATE("R50C",'Mapa final'!$R$155),"")</f>
        <v/>
      </c>
      <c r="R155" s="112" t="str">
        <f>IF(AND('Mapa final'!$AB$156="Media",'Mapa final'!$AD$156="Moderado"),CONCATENATE("R50C",'Mapa final'!$R$156),"")</f>
        <v/>
      </c>
      <c r="S155" s="107" t="str">
        <f>IF(AND('Mapa final'!$AB$154="Media",'Mapa final'!$AD$154="Mayor"),CONCATENATE("R50C",'Mapa final'!$R$154),"")</f>
        <v/>
      </c>
      <c r="T155" s="108" t="str">
        <f>IF(AND('Mapa final'!$AB$155="Media",'Mapa final'!$AD$155="Mayor"),CONCATENATE("R50C",'Mapa final'!$R$155),"")</f>
        <v/>
      </c>
      <c r="U155" s="109" t="str">
        <f>IF(AND('Mapa final'!$AB$156="Media",'Mapa final'!$AD$156="Mayor"),CONCATENATE("R50C",'Mapa final'!$R$156),"")</f>
        <v/>
      </c>
      <c r="V155" s="45" t="str">
        <f>IF(AND('Mapa final'!$AB$154="Media",'Mapa final'!$AD$154="Catastrófico"),CONCATENATE("R50C",'Mapa final'!$R$154),"")</f>
        <v/>
      </c>
      <c r="W155" s="46" t="str">
        <f>IF(AND('Mapa final'!$AB$155="Media",'Mapa final'!$AD$155="Catastrófico"),CONCATENATE("R50C",'Mapa final'!$R$155),"")</f>
        <v/>
      </c>
      <c r="X155" s="101" t="str">
        <f>IF(AND('Mapa final'!$AB$156="Media",'Mapa final'!$AD$156="Catastrófico"),CONCATENATE("R50C",'Mapa final'!$R$156),"")</f>
        <v/>
      </c>
      <c r="Y155" s="56"/>
      <c r="Z155" s="322"/>
      <c r="AA155" s="323"/>
      <c r="AB155" s="323"/>
      <c r="AC155" s="323"/>
      <c r="AD155" s="323"/>
      <c r="AE155" s="324"/>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ht="15" customHeight="1" x14ac:dyDescent="0.35">
      <c r="A156" s="56"/>
      <c r="B156" s="311"/>
      <c r="C156" s="311"/>
      <c r="D156" s="312"/>
      <c r="E156" s="299" t="s">
        <v>105</v>
      </c>
      <c r="F156" s="300"/>
      <c r="G156" s="300"/>
      <c r="H156" s="300"/>
      <c r="I156" s="300"/>
      <c r="J156" s="113" t="str">
        <f>IF(AND('Mapa final'!$AB$7="Baja",'Mapa final'!$AD$7="Leve"),CONCATENATE("R1C",'Mapa final'!$R$7),"")</f>
        <v/>
      </c>
      <c r="K156" s="53" t="str">
        <f>IF(AND('Mapa final'!$AB$8="Baja",'Mapa final'!$AD$8="Leve"),CONCATENATE("R1C",'Mapa final'!$R$8),"")</f>
        <v/>
      </c>
      <c r="L156" s="114" t="str">
        <f>IF(AND('Mapa final'!$AB$9="Baja",'Mapa final'!$AD$9="Leve"),CONCATENATE("R1C",'Mapa final'!$R$9),"")</f>
        <v/>
      </c>
      <c r="M156" s="47" t="str">
        <f>IF(AND('Mapa final'!$AB$7="Baja",'Mapa final'!$AD$7="Menor"),CONCATENATE("R1C",'Mapa final'!$R$7),"")</f>
        <v/>
      </c>
      <c r="N156" s="48" t="str">
        <f>IF(AND('Mapa final'!$AB$8="Baja",'Mapa final'!$AD$8="Menor"),CONCATENATE("R1C",'Mapa final'!$R$8),"")</f>
        <v/>
      </c>
      <c r="O156" s="110" t="str">
        <f>IF(AND('Mapa final'!$AB$9="Baja",'Mapa final'!$AD$9="Menor"),CONCATENATE("R1C",'Mapa final'!$R$9),"")</f>
        <v/>
      </c>
      <c r="P156" s="47" t="str">
        <f>IF(AND('Mapa final'!$AB$7="Baja",'Mapa final'!$AD$7="Moderado"),CONCATENATE("R1C",'Mapa final'!$R$7),"")</f>
        <v>R1C1</v>
      </c>
      <c r="Q156" s="48" t="str">
        <f>IF(AND('Mapa final'!$AB$8="Baja",'Mapa final'!$AD$8="Moderado"),CONCATENATE("R1C",'Mapa final'!$R$8),"")</f>
        <v/>
      </c>
      <c r="R156" s="110" t="str">
        <f>IF(AND('Mapa final'!$AB$9="Baja",'Mapa final'!$AD$9="Moderado"),CONCATENATE("R1C",'Mapa final'!$R$9),"")</f>
        <v/>
      </c>
      <c r="S156" s="102" t="str">
        <f>IF(AND('Mapa final'!$AB$7="Baja",'Mapa final'!$AD$7="Mayor"),CONCATENATE("R1C",'Mapa final'!$R$7),"")</f>
        <v/>
      </c>
      <c r="T156" s="103" t="str">
        <f>IF(AND('Mapa final'!$AB$8="Baja",'Mapa final'!$AD$8="Mayor"),CONCATENATE("R1C",'Mapa final'!$R$8),"")</f>
        <v/>
      </c>
      <c r="U156" s="104" t="str">
        <f>IF(AND('Mapa final'!$AB$9="Baja",'Mapa final'!$AD$9="Mayor"),CONCATENATE("R1C",'Mapa final'!$R$9),"")</f>
        <v/>
      </c>
      <c r="V156" s="40" t="str">
        <f>IF(AND('Mapa final'!$AB$7="Baja",'Mapa final'!$AD$7="Catastrófico"),CONCATENATE("R1C",'Mapa final'!$R$7),"")</f>
        <v/>
      </c>
      <c r="W156" s="41" t="str">
        <f>IF(AND('Mapa final'!$AB$8="Baja",'Mapa final'!$AD$8="Catastrófico"),CONCATENATE("R1C",'Mapa final'!$R$8),"")</f>
        <v/>
      </c>
      <c r="X156" s="99" t="str">
        <f>IF(AND('Mapa final'!$AB$9="Baja",'Mapa final'!$AD$9="Catastrófico"),CONCATENATE("R1C",'Mapa final'!$R$9),"")</f>
        <v/>
      </c>
      <c r="Y156" s="56"/>
      <c r="Z156" s="313" t="s">
        <v>76</v>
      </c>
      <c r="AA156" s="314"/>
      <c r="AB156" s="314"/>
      <c r="AC156" s="314"/>
      <c r="AD156" s="314"/>
      <c r="AE156" s="315"/>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ht="15" customHeight="1" x14ac:dyDescent="0.35">
      <c r="A157" s="56"/>
      <c r="B157" s="311"/>
      <c r="C157" s="311"/>
      <c r="D157" s="312"/>
      <c r="E157" s="287"/>
      <c r="F157" s="283"/>
      <c r="G157" s="283"/>
      <c r="H157" s="283"/>
      <c r="I157" s="283"/>
      <c r="J157" s="115" t="str">
        <f>IF(AND('Mapa final'!$AB$10="Baja",'Mapa final'!$AD$10="Leve"),CONCATENATE("R2C",'Mapa final'!$R$10),"")</f>
        <v/>
      </c>
      <c r="K157" s="54" t="str">
        <f>IF(AND('Mapa final'!$AB$11="Baja",'Mapa final'!$AD$11="Leve"),CONCATENATE("R2C",'Mapa final'!$R$11),"")</f>
        <v/>
      </c>
      <c r="L157" s="116" t="str">
        <f>IF(AND('Mapa final'!$AB$12="Baja",'Mapa final'!$AD$12="Leve"),CONCATENATE("R2C",'Mapa final'!$R$12),"")</f>
        <v/>
      </c>
      <c r="M157" s="49" t="str">
        <f>IF(AND('Mapa final'!$AB$10="Baja",'Mapa final'!$AD$10="Menor"),CONCATENATE("R2C",'Mapa final'!$R$10),"")</f>
        <v/>
      </c>
      <c r="N157" s="50" t="str">
        <f>IF(AND('Mapa final'!$AB$11="Baja",'Mapa final'!$AD$11="Menor"),CONCATENATE("R2C",'Mapa final'!$R$11),"")</f>
        <v/>
      </c>
      <c r="O157" s="111" t="str">
        <f>IF(AND('Mapa final'!$AB$12="Baja",'Mapa final'!$AD$12="Menor"),CONCATENATE("R2C",'Mapa final'!$R$12),"")</f>
        <v/>
      </c>
      <c r="P157" s="49" t="str">
        <f>IF(AND('Mapa final'!$AB$10="Baja",'Mapa final'!$AD$10="Moderado"),CONCATENATE("R2C",'Mapa final'!$R$10),"")</f>
        <v>R2C1</v>
      </c>
      <c r="Q157" s="50" t="str">
        <f>IF(AND('Mapa final'!$AB$11="Baja",'Mapa final'!$AD$11="Moderado"),CONCATENATE("R2C",'Mapa final'!$R$11),"")</f>
        <v/>
      </c>
      <c r="R157" s="111" t="str">
        <f>IF(AND('Mapa final'!$AB$12="Baja",'Mapa final'!$AD$12="Moderado"),CONCATENATE("R2C",'Mapa final'!$R$12),"")</f>
        <v/>
      </c>
      <c r="S157" s="105" t="str">
        <f>IF(AND('Mapa final'!$AB$10="Baja",'Mapa final'!$AD$10="Mayor"),CONCATENATE("R2C",'Mapa final'!$R$10),"")</f>
        <v/>
      </c>
      <c r="T157" s="42" t="str">
        <f>IF(AND('Mapa final'!$AB$11="Baja",'Mapa final'!$AD$11="Mayor"),CONCATENATE("R2C",'Mapa final'!$R$11),"")</f>
        <v/>
      </c>
      <c r="U157" s="106" t="str">
        <f>IF(AND('Mapa final'!$AB$12="Baja",'Mapa final'!$AD$12="Mayor"),CONCATENATE("R2C",'Mapa final'!$R$12),"")</f>
        <v/>
      </c>
      <c r="V157" s="43" t="str">
        <f>IF(AND('Mapa final'!$AB$10="Baja",'Mapa final'!$AD$10="Catastrófico"),CONCATENATE("R2C",'Mapa final'!$R$10),"")</f>
        <v/>
      </c>
      <c r="W157" s="44" t="str">
        <f>IF(AND('Mapa final'!$AB$11="Baja",'Mapa final'!$AD$11="Catastrófico"),CONCATENATE("R2C",'Mapa final'!$R$11),"")</f>
        <v/>
      </c>
      <c r="X157" s="100" t="str">
        <f>IF(AND('Mapa final'!$AB$12="Baja",'Mapa final'!$AD$12="Catastrófico"),CONCATENATE("R2C",'Mapa final'!$R$12),"")</f>
        <v/>
      </c>
      <c r="Y157" s="56"/>
      <c r="Z157" s="316"/>
      <c r="AA157" s="317"/>
      <c r="AB157" s="317"/>
      <c r="AC157" s="317"/>
      <c r="AD157" s="317"/>
      <c r="AE157" s="318"/>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row r="158" spans="1:61" ht="15" customHeight="1" x14ac:dyDescent="0.35">
      <c r="A158" s="56"/>
      <c r="B158" s="311"/>
      <c r="C158" s="311"/>
      <c r="D158" s="312"/>
      <c r="E158" s="287"/>
      <c r="F158" s="283"/>
      <c r="G158" s="283"/>
      <c r="H158" s="283"/>
      <c r="I158" s="283"/>
      <c r="J158" s="115" t="str">
        <f>IF(AND('Mapa final'!$AB$13="Baja",'Mapa final'!$AD$13="Leve"),CONCATENATE("R3C",'Mapa final'!$R$13),"")</f>
        <v/>
      </c>
      <c r="K158" s="54" t="str">
        <f>IF(AND('Mapa final'!$AB$14="Baja",'Mapa final'!$AD$14="Leve"),CONCATENATE("R3C",'Mapa final'!$R$14),"")</f>
        <v/>
      </c>
      <c r="L158" s="116" t="str">
        <f>IF(AND('Mapa final'!$AB$15="Baja",'Mapa final'!$AD$15="Leve"),CONCATENATE("R3C",'Mapa final'!$R$15),"")</f>
        <v/>
      </c>
      <c r="M158" s="49" t="str">
        <f>IF(AND('Mapa final'!$AB$13="Baja",'Mapa final'!$AD$13="Menor"),CONCATENATE("R3C",'Mapa final'!$R$13),"")</f>
        <v/>
      </c>
      <c r="N158" s="50" t="str">
        <f>IF(AND('Mapa final'!$AB$14="Baja",'Mapa final'!$AD$14="Menor"),CONCATENATE("R3C",'Mapa final'!$R$14),"")</f>
        <v/>
      </c>
      <c r="O158" s="111" t="str">
        <f>IF(AND('Mapa final'!$AB$15="Baja",'Mapa final'!$AD$15="Menor"),CONCATENATE("R3C",'Mapa final'!$R$15),"")</f>
        <v/>
      </c>
      <c r="P158" s="49" t="str">
        <f>IF(AND('Mapa final'!$AB$13="Baja",'Mapa final'!$AD$13="Moderado"),CONCATENATE("R3C",'Mapa final'!$R$13),"")</f>
        <v/>
      </c>
      <c r="Q158" s="50" t="str">
        <f>IF(AND('Mapa final'!$AB$14="Baja",'Mapa final'!$AD$14="Moderado"),CONCATENATE("R3C",'Mapa final'!$R$14),"")</f>
        <v/>
      </c>
      <c r="R158" s="111" t="str">
        <f>IF(AND('Mapa final'!$AB$15="Baja",'Mapa final'!$AD$15="Moderado"),CONCATENATE("R3C",'Mapa final'!$R$15),"")</f>
        <v/>
      </c>
      <c r="S158" s="105" t="str">
        <f>IF(AND('Mapa final'!$AB$13="Baja",'Mapa final'!$AD$13="Mayor"),CONCATENATE("R3C",'Mapa final'!$R$13),"")</f>
        <v/>
      </c>
      <c r="T158" s="42" t="str">
        <f>IF(AND('Mapa final'!$AB$14="Baja",'Mapa final'!$AD$14="Mayor"),CONCATENATE("R3C",'Mapa final'!$R$14),"")</f>
        <v/>
      </c>
      <c r="U158" s="106" t="str">
        <f>IF(AND('Mapa final'!$AB$15="Baja",'Mapa final'!$AD$15="Mayor"),CONCATENATE("R3C",'Mapa final'!$R$15),"")</f>
        <v/>
      </c>
      <c r="V158" s="43" t="str">
        <f>IF(AND('Mapa final'!$AB$13="Baja",'Mapa final'!$AD$13="Catastrófico"),CONCATENATE("R3C",'Mapa final'!$R$13),"")</f>
        <v/>
      </c>
      <c r="W158" s="44" t="str">
        <f>IF(AND('Mapa final'!$AB$14="Baja",'Mapa final'!$AD$14="Catastrófico"),CONCATENATE("R3C",'Mapa final'!$R$14),"")</f>
        <v/>
      </c>
      <c r="X158" s="100" t="str">
        <f>IF(AND('Mapa final'!$AB$15="Baja",'Mapa final'!$AD$15="Catastrófico"),CONCATENATE("R3C",'Mapa final'!$R$15),"")</f>
        <v/>
      </c>
      <c r="Y158" s="56"/>
      <c r="Z158" s="316"/>
      <c r="AA158" s="317"/>
      <c r="AB158" s="317"/>
      <c r="AC158" s="317"/>
      <c r="AD158" s="317"/>
      <c r="AE158" s="318"/>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row>
    <row r="159" spans="1:61" ht="15" customHeight="1" x14ac:dyDescent="0.35">
      <c r="A159" s="56"/>
      <c r="B159" s="311"/>
      <c r="C159" s="311"/>
      <c r="D159" s="312"/>
      <c r="E159" s="287"/>
      <c r="F159" s="283"/>
      <c r="G159" s="283"/>
      <c r="H159" s="283"/>
      <c r="I159" s="283"/>
      <c r="J159" s="115" t="e">
        <f>IF(AND('Mapa final'!#REF!="Baja",'Mapa final'!#REF!="Leve"),CONCATENATE("R4C",'Mapa final'!#REF!),"")</f>
        <v>#REF!</v>
      </c>
      <c r="K159" s="54" t="e">
        <f>IF(AND('Mapa final'!#REF!="Baja",'Mapa final'!#REF!="Leve"),CONCATENATE("R4C",'Mapa final'!#REF!),"")</f>
        <v>#REF!</v>
      </c>
      <c r="L159" s="116" t="e">
        <f>IF(AND('Mapa final'!#REF!="Baja",'Mapa final'!#REF!="Leve"),CONCATENATE("R4C",'Mapa final'!#REF!),"")</f>
        <v>#REF!</v>
      </c>
      <c r="M159" s="49" t="e">
        <f>IF(AND('Mapa final'!#REF!="Baja",'Mapa final'!#REF!="Menor"),CONCATENATE("R4C",'Mapa final'!#REF!),"")</f>
        <v>#REF!</v>
      </c>
      <c r="N159" s="50" t="e">
        <f>IF(AND('Mapa final'!#REF!="Baja",'Mapa final'!#REF!="Menor"),CONCATENATE("R4C",'Mapa final'!#REF!),"")</f>
        <v>#REF!</v>
      </c>
      <c r="O159" s="111" t="e">
        <f>IF(AND('Mapa final'!#REF!="Baja",'Mapa final'!#REF!="Menor"),CONCATENATE("R4C",'Mapa final'!#REF!),"")</f>
        <v>#REF!</v>
      </c>
      <c r="P159" s="49" t="e">
        <f>IF(AND('Mapa final'!#REF!="Baja",'Mapa final'!#REF!="Moderado"),CONCATENATE("R4C",'Mapa final'!#REF!),"")</f>
        <v>#REF!</v>
      </c>
      <c r="Q159" s="50" t="e">
        <f>IF(AND('Mapa final'!#REF!="Baja",'Mapa final'!#REF!="Moderado"),CONCATENATE("R4C",'Mapa final'!#REF!),"")</f>
        <v>#REF!</v>
      </c>
      <c r="R159" s="111" t="e">
        <f>IF(AND('Mapa final'!#REF!="Baja",'Mapa final'!#REF!="Moderado"),CONCATENATE("R4C",'Mapa final'!#REF!),"")</f>
        <v>#REF!</v>
      </c>
      <c r="S159" s="105" t="e">
        <f>IF(AND('Mapa final'!#REF!="Baja",'Mapa final'!#REF!="Mayor"),CONCATENATE("R4C",'Mapa final'!#REF!),"")</f>
        <v>#REF!</v>
      </c>
      <c r="T159" s="42" t="e">
        <f>IF(AND('Mapa final'!#REF!="Baja",'Mapa final'!#REF!="Mayor"),CONCATENATE("R4C",'Mapa final'!#REF!),"")</f>
        <v>#REF!</v>
      </c>
      <c r="U159" s="106" t="e">
        <f>IF(AND('Mapa final'!#REF!="Baja",'Mapa final'!#REF!="Mayor"),CONCATENATE("R4C",'Mapa final'!#REF!),"")</f>
        <v>#REF!</v>
      </c>
      <c r="V159" s="43" t="e">
        <f>IF(AND('Mapa final'!#REF!="Baja",'Mapa final'!#REF!="Catastrófico"),CONCATENATE("R4C",'Mapa final'!#REF!),"")</f>
        <v>#REF!</v>
      </c>
      <c r="W159" s="44" t="e">
        <f>IF(AND('Mapa final'!#REF!="Baja",'Mapa final'!#REF!="Catastrófico"),CONCATENATE("R4C",'Mapa final'!#REF!),"")</f>
        <v>#REF!</v>
      </c>
      <c r="X159" s="100" t="e">
        <f>IF(AND('Mapa final'!#REF!="Baja",'Mapa final'!#REF!="Catastrófico"),CONCATENATE("R4C",'Mapa final'!#REF!),"")</f>
        <v>#REF!</v>
      </c>
      <c r="Y159" s="56"/>
      <c r="Z159" s="316"/>
      <c r="AA159" s="317"/>
      <c r="AB159" s="317"/>
      <c r="AC159" s="317"/>
      <c r="AD159" s="317"/>
      <c r="AE159" s="318"/>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row>
    <row r="160" spans="1:61" ht="15" customHeight="1" x14ac:dyDescent="0.35">
      <c r="A160" s="56"/>
      <c r="B160" s="311"/>
      <c r="C160" s="311"/>
      <c r="D160" s="312"/>
      <c r="E160" s="287"/>
      <c r="F160" s="283"/>
      <c r="G160" s="283"/>
      <c r="H160" s="283"/>
      <c r="I160" s="283"/>
      <c r="J160" s="115" t="str">
        <f>IF(AND('Mapa final'!$AB$16="Baja",'Mapa final'!$AD$16="Leve"),CONCATENATE("R5C",'Mapa final'!$R$16),"")</f>
        <v/>
      </c>
      <c r="K160" s="54" t="str">
        <f>IF(AND('Mapa final'!$AB$17="Baja",'Mapa final'!$AD$17="Leve"),CONCATENATE("R5C",'Mapa final'!$R$17),"")</f>
        <v/>
      </c>
      <c r="L160" s="116" t="str">
        <f>IF(AND('Mapa final'!$AB$18="Baja",'Mapa final'!$AD$18="Leve"),CONCATENATE("R5C",'Mapa final'!$R$18),"")</f>
        <v/>
      </c>
      <c r="M160" s="49" t="str">
        <f>IF(AND('Mapa final'!$AB$16="Baja",'Mapa final'!$AD$16="Menor"),CONCATENATE("R5C",'Mapa final'!$R$16),"")</f>
        <v/>
      </c>
      <c r="N160" s="50" t="str">
        <f>IF(AND('Mapa final'!$AB$17="Baja",'Mapa final'!$AD$17="Menor"),CONCATENATE("R5C",'Mapa final'!$R$17),"")</f>
        <v/>
      </c>
      <c r="O160" s="111" t="str">
        <f>IF(AND('Mapa final'!$AB$18="Baja",'Mapa final'!$AD$18="Menor"),CONCATENATE("R5C",'Mapa final'!$R$18),"")</f>
        <v/>
      </c>
      <c r="P160" s="49" t="str">
        <f>IF(AND('Mapa final'!$AB$16="Baja",'Mapa final'!$AD$16="Moderado"),CONCATENATE("R5C",'Mapa final'!$R$16),"")</f>
        <v/>
      </c>
      <c r="Q160" s="50" t="str">
        <f>IF(AND('Mapa final'!$AB$17="Baja",'Mapa final'!$AD$17="Moderado"),CONCATENATE("R5C",'Mapa final'!$R$17),"")</f>
        <v/>
      </c>
      <c r="R160" s="111" t="str">
        <f>IF(AND('Mapa final'!$AB$18="Baja",'Mapa final'!$AD$18="Moderado"),CONCATENATE("R5C",'Mapa final'!$R$18),"")</f>
        <v/>
      </c>
      <c r="S160" s="105" t="str">
        <f>IF(AND('Mapa final'!$AB$16="Baja",'Mapa final'!$AD$16="Mayor"),CONCATENATE("R5C",'Mapa final'!$R$16),"")</f>
        <v/>
      </c>
      <c r="T160" s="42" t="str">
        <f>IF(AND('Mapa final'!$AB$17="Baja",'Mapa final'!$AD$17="Mayor"),CONCATENATE("R5C",'Mapa final'!$R$17),"")</f>
        <v/>
      </c>
      <c r="U160" s="106" t="str">
        <f>IF(AND('Mapa final'!$AB$18="Baja",'Mapa final'!$AD$18="Mayor"),CONCATENATE("R5C",'Mapa final'!$R$18),"")</f>
        <v/>
      </c>
      <c r="V160" s="43" t="str">
        <f>IF(AND('Mapa final'!$AB$16="Baja",'Mapa final'!$AD$16="Catastrófico"),CONCATENATE("R5C",'Mapa final'!$R$16),"")</f>
        <v/>
      </c>
      <c r="W160" s="44" t="str">
        <f>IF(AND('Mapa final'!$AB$17="Baja",'Mapa final'!$AD$17="Catastrófico"),CONCATENATE("R5C",'Mapa final'!$R$17),"")</f>
        <v/>
      </c>
      <c r="X160" s="100" t="str">
        <f>IF(AND('Mapa final'!$AB$18="Baja",'Mapa final'!$AD$18="Catastrófico"),CONCATENATE("R5C",'Mapa final'!$R$18),"")</f>
        <v/>
      </c>
      <c r="Y160" s="56"/>
      <c r="Z160" s="316"/>
      <c r="AA160" s="317"/>
      <c r="AB160" s="317"/>
      <c r="AC160" s="317"/>
      <c r="AD160" s="317"/>
      <c r="AE160" s="318"/>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row>
    <row r="161" spans="1:61" ht="15" customHeight="1" x14ac:dyDescent="0.35">
      <c r="A161" s="56"/>
      <c r="B161" s="311"/>
      <c r="C161" s="311"/>
      <c r="D161" s="312"/>
      <c r="E161" s="287"/>
      <c r="F161" s="283"/>
      <c r="G161" s="283"/>
      <c r="H161" s="283"/>
      <c r="I161" s="283"/>
      <c r="J161" s="115" t="str">
        <f>IF(AND('Mapa final'!$AB$19="Baja",'Mapa final'!$AD$19="Leve"),CONCATENATE("R6C",'Mapa final'!$R$19),"")</f>
        <v/>
      </c>
      <c r="K161" s="54" t="str">
        <f>IF(AND('Mapa final'!$AB$20="Baja",'Mapa final'!$AD$20="Leve"),CONCATENATE("R6C",'Mapa final'!$R$20),"")</f>
        <v/>
      </c>
      <c r="L161" s="116" t="str">
        <f>IF(AND('Mapa final'!$AB$21="Baja",'Mapa final'!$AD$21="Leve"),CONCATENATE("R6C",'Mapa final'!$R$21),"")</f>
        <v/>
      </c>
      <c r="M161" s="49" t="str">
        <f>IF(AND('Mapa final'!$AB$19="Baja",'Mapa final'!$AD$19="Menor"),CONCATENATE("R6C",'Mapa final'!$R$19),"")</f>
        <v/>
      </c>
      <c r="N161" s="50" t="str">
        <f>IF(AND('Mapa final'!$AB$20="Baja",'Mapa final'!$AD$20="Menor"),CONCATENATE("R6C",'Mapa final'!$R$20),"")</f>
        <v/>
      </c>
      <c r="O161" s="111" t="str">
        <f>IF(AND('Mapa final'!$AB$21="Baja",'Mapa final'!$AD$21="Menor"),CONCATENATE("R6C",'Mapa final'!$R$21),"")</f>
        <v/>
      </c>
      <c r="P161" s="49" t="str">
        <f>IF(AND('Mapa final'!$AB$19="Baja",'Mapa final'!$AD$19="Moderado"),CONCATENATE("R6C",'Mapa final'!$R$19),"")</f>
        <v/>
      </c>
      <c r="Q161" s="50" t="str">
        <f>IF(AND('Mapa final'!$AB$20="Baja",'Mapa final'!$AD$20="Moderado"),CONCATENATE("R6C",'Mapa final'!$R$20),"")</f>
        <v/>
      </c>
      <c r="R161" s="111" t="str">
        <f>IF(AND('Mapa final'!$AB$21="Baja",'Mapa final'!$AD$21="Moderado"),CONCATENATE("R6C",'Mapa final'!$R$21),"")</f>
        <v/>
      </c>
      <c r="S161" s="105" t="str">
        <f>IF(AND('Mapa final'!$AB$19="Baja",'Mapa final'!$AD$19="Mayor"),CONCATENATE("R6C",'Mapa final'!$R$19),"")</f>
        <v/>
      </c>
      <c r="T161" s="42" t="str">
        <f>IF(AND('Mapa final'!$AB$20="Baja",'Mapa final'!$AD$20="Mayor"),CONCATENATE("R6C",'Mapa final'!$R$20),"")</f>
        <v/>
      </c>
      <c r="U161" s="106" t="str">
        <f>IF(AND('Mapa final'!$AB$21="Baja",'Mapa final'!$AD$21="Mayor"),CONCATENATE("R6C",'Mapa final'!$R$21),"")</f>
        <v/>
      </c>
      <c r="V161" s="43" t="str">
        <f>IF(AND('Mapa final'!$AB$19="Baja",'Mapa final'!$AD$19="Catastrófico"),CONCATENATE("R6C",'Mapa final'!$R$19),"")</f>
        <v/>
      </c>
      <c r="W161" s="44" t="str">
        <f>IF(AND('Mapa final'!$AB$20="Baja",'Mapa final'!$AD$20="Catastrófico"),CONCATENATE("R6C",'Mapa final'!$R$20),"")</f>
        <v/>
      </c>
      <c r="X161" s="100" t="str">
        <f>IF(AND('Mapa final'!$AB$21="Baja",'Mapa final'!$AD$21="Catastrófico"),CONCATENATE("R6C",'Mapa final'!$R$21),"")</f>
        <v/>
      </c>
      <c r="Y161" s="56"/>
      <c r="Z161" s="316"/>
      <c r="AA161" s="317"/>
      <c r="AB161" s="317"/>
      <c r="AC161" s="317"/>
      <c r="AD161" s="317"/>
      <c r="AE161" s="318"/>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row>
    <row r="162" spans="1:61" ht="15" customHeight="1" x14ac:dyDescent="0.35">
      <c r="A162" s="56"/>
      <c r="B162" s="311"/>
      <c r="C162" s="311"/>
      <c r="D162" s="312"/>
      <c r="E162" s="287"/>
      <c r="F162" s="283"/>
      <c r="G162" s="283"/>
      <c r="H162" s="283"/>
      <c r="I162" s="283"/>
      <c r="J162" s="115" t="str">
        <f>IF(AND('Mapa final'!$AB$22="Baja",'Mapa final'!$AD$22="Leve"),CONCATENATE("R7C",'Mapa final'!$R$22),"")</f>
        <v/>
      </c>
      <c r="K162" s="54" t="str">
        <f>IF(AND('Mapa final'!$AB$23="Baja",'Mapa final'!$AD$23="Leve"),CONCATENATE("R7C",'Mapa final'!$R$23),"")</f>
        <v/>
      </c>
      <c r="L162" s="116" t="str">
        <f>IF(AND('Mapa final'!$AB$24="Baja",'Mapa final'!$AD$24="Leve"),CONCATENATE("R7C",'Mapa final'!$R$24),"")</f>
        <v/>
      </c>
      <c r="M162" s="49" t="str">
        <f>IF(AND('Mapa final'!$AB$22="Baja",'Mapa final'!$AD$22="Menor"),CONCATENATE("R7C",'Mapa final'!$R$22),"")</f>
        <v/>
      </c>
      <c r="N162" s="50" t="str">
        <f>IF(AND('Mapa final'!$AB$23="Baja",'Mapa final'!$AD$23="Menor"),CONCATENATE("R7C",'Mapa final'!$R$23),"")</f>
        <v/>
      </c>
      <c r="O162" s="111" t="str">
        <f>IF(AND('Mapa final'!$AB$24="Baja",'Mapa final'!$AD$24="Menor"),CONCATENATE("R7C",'Mapa final'!$R$24),"")</f>
        <v/>
      </c>
      <c r="P162" s="49" t="str">
        <f>IF(AND('Mapa final'!$AB$22="Baja",'Mapa final'!$AD$22="Moderado"),CONCATENATE("R7C",'Mapa final'!$R$22),"")</f>
        <v/>
      </c>
      <c r="Q162" s="50" t="str">
        <f>IF(AND('Mapa final'!$AB$23="Baja",'Mapa final'!$AD$23="Moderado"),CONCATENATE("R7C",'Mapa final'!$R$23),"")</f>
        <v/>
      </c>
      <c r="R162" s="111" t="str">
        <f>IF(AND('Mapa final'!$AB$24="Baja",'Mapa final'!$AD$24="Moderado"),CONCATENATE("R7C",'Mapa final'!$R$24),"")</f>
        <v/>
      </c>
      <c r="S162" s="105" t="str">
        <f>IF(AND('Mapa final'!$AB$22="Baja",'Mapa final'!$AD$22="Mayor"),CONCATENATE("R7C",'Mapa final'!$R$22),"")</f>
        <v/>
      </c>
      <c r="T162" s="42" t="str">
        <f>IF(AND('Mapa final'!$AB$23="Baja",'Mapa final'!$AD$23="Mayor"),CONCATENATE("R7C",'Mapa final'!$R$23),"")</f>
        <v/>
      </c>
      <c r="U162" s="106" t="str">
        <f>IF(AND('Mapa final'!$AB$24="Baja",'Mapa final'!$AD$24="Mayor"),CONCATENATE("R7C",'Mapa final'!$R$24),"")</f>
        <v/>
      </c>
      <c r="V162" s="43" t="str">
        <f>IF(AND('Mapa final'!$AB$22="Baja",'Mapa final'!$AD$22="Catastrófico"),CONCATENATE("R7C",'Mapa final'!$R$22),"")</f>
        <v/>
      </c>
      <c r="W162" s="44" t="str">
        <f>IF(AND('Mapa final'!$AB$23="Baja",'Mapa final'!$AD$23="Catastrófico"),CONCATENATE("R7C",'Mapa final'!$R$23),"")</f>
        <v/>
      </c>
      <c r="X162" s="100" t="str">
        <f>IF(AND('Mapa final'!$AB$24="Baja",'Mapa final'!$AD$24="Catastrófico"),CONCATENATE("R7C",'Mapa final'!$R$24),"")</f>
        <v/>
      </c>
      <c r="Y162" s="56"/>
      <c r="Z162" s="316"/>
      <c r="AA162" s="317"/>
      <c r="AB162" s="317"/>
      <c r="AC162" s="317"/>
      <c r="AD162" s="317"/>
      <c r="AE162" s="318"/>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row>
    <row r="163" spans="1:61" ht="15" customHeight="1" x14ac:dyDescent="0.35">
      <c r="A163" s="56"/>
      <c r="B163" s="311"/>
      <c r="C163" s="311"/>
      <c r="D163" s="312"/>
      <c r="E163" s="287"/>
      <c r="F163" s="283"/>
      <c r="G163" s="283"/>
      <c r="H163" s="283"/>
      <c r="I163" s="283"/>
      <c r="J163" s="115" t="str">
        <f>IF(AND('Mapa final'!$AB$25="Baja",'Mapa final'!$AD$25="Leve"),CONCATENATE("R8C",'Mapa final'!$R$25),"")</f>
        <v/>
      </c>
      <c r="K163" s="54" t="str">
        <f>IF(AND('Mapa final'!$AB$26="Baja",'Mapa final'!$AD$26="Leve"),CONCATENATE("R8C",'Mapa final'!$R$26),"")</f>
        <v/>
      </c>
      <c r="L163" s="116" t="str">
        <f>IF(AND('Mapa final'!$AB$27="Baja",'Mapa final'!$AD$27="Leve"),CONCATENATE("R8C",'Mapa final'!$R$27),"")</f>
        <v/>
      </c>
      <c r="M163" s="49" t="str">
        <f>IF(AND('Mapa final'!$AB$25="Baja",'Mapa final'!$AD$25="Menor"),CONCATENATE("R8C",'Mapa final'!$R$25),"")</f>
        <v/>
      </c>
      <c r="N163" s="50" t="str">
        <f>IF(AND('Mapa final'!$AB$26="Baja",'Mapa final'!$AD$26="Menor"),CONCATENATE("R8C",'Mapa final'!$R$26),"")</f>
        <v/>
      </c>
      <c r="O163" s="111" t="str">
        <f>IF(AND('Mapa final'!$AB$27="Baja",'Mapa final'!$AD$27="Menor"),CONCATENATE("R8C",'Mapa final'!$R$27),"")</f>
        <v/>
      </c>
      <c r="P163" s="49" t="str">
        <f>IF(AND('Mapa final'!$AB$25="Baja",'Mapa final'!$AD$25="Moderado"),CONCATENATE("R8C",'Mapa final'!$R$25),"")</f>
        <v/>
      </c>
      <c r="Q163" s="50" t="str">
        <f>IF(AND('Mapa final'!$AB$26="Baja",'Mapa final'!$AD$26="Moderado"),CONCATENATE("R8C",'Mapa final'!$R$26),"")</f>
        <v/>
      </c>
      <c r="R163" s="111" t="str">
        <f>IF(AND('Mapa final'!$AB$27="Baja",'Mapa final'!$AD$27="Moderado"),CONCATENATE("R8C",'Mapa final'!$R$27),"")</f>
        <v/>
      </c>
      <c r="S163" s="105" t="str">
        <f>IF(AND('Mapa final'!$AB$25="Baja",'Mapa final'!$AD$25="Mayor"),CONCATENATE("R8C",'Mapa final'!$R$25),"")</f>
        <v/>
      </c>
      <c r="T163" s="42" t="str">
        <f>IF(AND('Mapa final'!$AB$26="Baja",'Mapa final'!$AD$26="Mayor"),CONCATENATE("R8C",'Mapa final'!$R$26),"")</f>
        <v/>
      </c>
      <c r="U163" s="106" t="str">
        <f>IF(AND('Mapa final'!$AB$27="Baja",'Mapa final'!$AD$27="Mayor"),CONCATENATE("R8C",'Mapa final'!$R$27),"")</f>
        <v/>
      </c>
      <c r="V163" s="43" t="str">
        <f>IF(AND('Mapa final'!$AB$25="Baja",'Mapa final'!$AD$25="Catastrófico"),CONCATENATE("R8C",'Mapa final'!$R$25),"")</f>
        <v/>
      </c>
      <c r="W163" s="44" t="str">
        <f>IF(AND('Mapa final'!$AB$26="Baja",'Mapa final'!$AD$26="Catastrófico"),CONCATENATE("R8C",'Mapa final'!$R$26),"")</f>
        <v/>
      </c>
      <c r="X163" s="100" t="str">
        <f>IF(AND('Mapa final'!$AB$27="Baja",'Mapa final'!$AD$27="Catastrófico"),CONCATENATE("R8C",'Mapa final'!$R$27),"")</f>
        <v/>
      </c>
      <c r="Y163" s="56"/>
      <c r="Z163" s="316"/>
      <c r="AA163" s="317"/>
      <c r="AB163" s="317"/>
      <c r="AC163" s="317"/>
      <c r="AD163" s="317"/>
      <c r="AE163" s="318"/>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row>
    <row r="164" spans="1:61" ht="15" customHeight="1" x14ac:dyDescent="0.35">
      <c r="A164" s="56"/>
      <c r="B164" s="311"/>
      <c r="C164" s="311"/>
      <c r="D164" s="312"/>
      <c r="E164" s="287"/>
      <c r="F164" s="283"/>
      <c r="G164" s="283"/>
      <c r="H164" s="283"/>
      <c r="I164" s="283"/>
      <c r="J164" s="115" t="str">
        <f>IF(AND('Mapa final'!$AB$28="Baja",'Mapa final'!$AD$28="Leve"),CONCATENATE("R9C",'Mapa final'!$R$28),"")</f>
        <v/>
      </c>
      <c r="K164" s="54" t="str">
        <f>IF(AND('Mapa final'!$AB$29="Baja",'Mapa final'!$AD$29="Leve"),CONCATENATE("R9C",'Mapa final'!$R$29),"")</f>
        <v/>
      </c>
      <c r="L164" s="116" t="str">
        <f>IF(AND('Mapa final'!$AB$30="Baja",'Mapa final'!$AD$30="Leve"),CONCATENATE("R9C",'Mapa final'!$R$30),"")</f>
        <v/>
      </c>
      <c r="M164" s="49" t="str">
        <f>IF(AND('Mapa final'!$AB$28="Baja",'Mapa final'!$AD$28="Menor"),CONCATENATE("R9C",'Mapa final'!$R$28),"")</f>
        <v/>
      </c>
      <c r="N164" s="50" t="str">
        <f>IF(AND('Mapa final'!$AB$29="Baja",'Mapa final'!$AD$29="Menor"),CONCATENATE("R9C",'Mapa final'!$R$29),"")</f>
        <v/>
      </c>
      <c r="O164" s="111" t="str">
        <f>IF(AND('Mapa final'!$AB$30="Baja",'Mapa final'!$AD$30="Menor"),CONCATENATE("R9C",'Mapa final'!$R$30),"")</f>
        <v/>
      </c>
      <c r="P164" s="49" t="str">
        <f>IF(AND('Mapa final'!$AB$28="Baja",'Mapa final'!$AD$28="Moderado"),CONCATENATE("R9C",'Mapa final'!$R$28),"")</f>
        <v/>
      </c>
      <c r="Q164" s="50" t="str">
        <f>IF(AND('Mapa final'!$AB$29="Baja",'Mapa final'!$AD$29="Moderado"),CONCATENATE("R9C",'Mapa final'!$R$29),"")</f>
        <v/>
      </c>
      <c r="R164" s="111" t="str">
        <f>IF(AND('Mapa final'!$AB$30="Baja",'Mapa final'!$AD$30="Moderado"),CONCATENATE("R9C",'Mapa final'!$R$30),"")</f>
        <v/>
      </c>
      <c r="S164" s="105" t="str">
        <f>IF(AND('Mapa final'!$AB$28="Baja",'Mapa final'!$AD$28="Mayor"),CONCATENATE("R9C",'Mapa final'!$R$28),"")</f>
        <v/>
      </c>
      <c r="T164" s="42" t="str">
        <f>IF(AND('Mapa final'!$AB$29="Baja",'Mapa final'!$AD$29="Mayor"),CONCATENATE("R9C",'Mapa final'!$R$29),"")</f>
        <v>R9C2</v>
      </c>
      <c r="U164" s="106" t="str">
        <f>IF(AND('Mapa final'!$AB$30="Baja",'Mapa final'!$AD$30="Mayor"),CONCATENATE("R9C",'Mapa final'!$R$30),"")</f>
        <v/>
      </c>
      <c r="V164" s="43" t="str">
        <f>IF(AND('Mapa final'!$AB$28="Baja",'Mapa final'!$AD$28="Catastrófico"),CONCATENATE("R9C",'Mapa final'!$R$28),"")</f>
        <v/>
      </c>
      <c r="W164" s="44" t="str">
        <f>IF(AND('Mapa final'!$AB$29="Baja",'Mapa final'!$AD$29="Catastrófico"),CONCATENATE("R9C",'Mapa final'!$R$29),"")</f>
        <v/>
      </c>
      <c r="X164" s="100" t="str">
        <f>IF(AND('Mapa final'!$AB$30="Baja",'Mapa final'!$AD$30="Catastrófico"),CONCATENATE("R9C",'Mapa final'!$R$30),"")</f>
        <v/>
      </c>
      <c r="Y164" s="56"/>
      <c r="Z164" s="316"/>
      <c r="AA164" s="317"/>
      <c r="AB164" s="317"/>
      <c r="AC164" s="317"/>
      <c r="AD164" s="317"/>
      <c r="AE164" s="318"/>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row>
    <row r="165" spans="1:61" ht="15" customHeight="1" x14ac:dyDescent="0.35">
      <c r="A165" s="56"/>
      <c r="B165" s="311"/>
      <c r="C165" s="311"/>
      <c r="D165" s="312"/>
      <c r="E165" s="287"/>
      <c r="F165" s="283"/>
      <c r="G165" s="283"/>
      <c r="H165" s="283"/>
      <c r="I165" s="283"/>
      <c r="J165" s="115" t="str">
        <f>IF(AND('Mapa final'!$AB$31="Baja",'Mapa final'!$AD$31="Leve"),CONCATENATE("R10C",'Mapa final'!$R$31),"")</f>
        <v/>
      </c>
      <c r="K165" s="54" t="str">
        <f>IF(AND('Mapa final'!$AB$32="Baja",'Mapa final'!$AD$32="Leve"),CONCATENATE("R10C",'Mapa final'!$R$32),"")</f>
        <v/>
      </c>
      <c r="L165" s="116" t="str">
        <f>IF(AND('Mapa final'!$AB$33="Baja",'Mapa final'!$AD$33="Leve"),CONCATENATE("R10C",'Mapa final'!$R$33),"")</f>
        <v/>
      </c>
      <c r="M165" s="49" t="str">
        <f>IF(AND('Mapa final'!$AB$31="Baja",'Mapa final'!$AD$31="Menor"),CONCATENATE("R10C",'Mapa final'!$R$31),"")</f>
        <v/>
      </c>
      <c r="N165" s="50" t="str">
        <f>IF(AND('Mapa final'!$AB$32="Baja",'Mapa final'!$AD$32="Menor"),CONCATENATE("R10C",'Mapa final'!$R$32),"")</f>
        <v/>
      </c>
      <c r="O165" s="111" t="str">
        <f>IF(AND('Mapa final'!$AB$33="Baja",'Mapa final'!$AD$33="Menor"),CONCATENATE("R10C",'Mapa final'!$R$33),"")</f>
        <v/>
      </c>
      <c r="P165" s="49" t="str">
        <f>IF(AND('Mapa final'!$AB$31="Baja",'Mapa final'!$AD$31="Moderado"),CONCATENATE("R10C",'Mapa final'!$R$31),"")</f>
        <v/>
      </c>
      <c r="Q165" s="50" t="str">
        <f>IF(AND('Mapa final'!$AB$32="Baja",'Mapa final'!$AD$32="Moderado"),CONCATENATE("R10C",'Mapa final'!$R$32),"")</f>
        <v>R10C2</v>
      </c>
      <c r="R165" s="111" t="str">
        <f>IF(AND('Mapa final'!$AB$33="Baja",'Mapa final'!$AD$33="Moderado"),CONCATENATE("R10C",'Mapa final'!$R$33),"")</f>
        <v>R10C3</v>
      </c>
      <c r="S165" s="105" t="str">
        <f>IF(AND('Mapa final'!$AB$31="Baja",'Mapa final'!$AD$31="Mayor"),CONCATENATE("R10C",'Mapa final'!$R$31),"")</f>
        <v/>
      </c>
      <c r="T165" s="42" t="str">
        <f>IF(AND('Mapa final'!$AB$32="Baja",'Mapa final'!$AD$32="Mayor"),CONCATENATE("R10C",'Mapa final'!$R$32),"")</f>
        <v/>
      </c>
      <c r="U165" s="106" t="str">
        <f>IF(AND('Mapa final'!$AB$33="Baja",'Mapa final'!$AD$33="Mayor"),CONCATENATE("R10C",'Mapa final'!$R$33),"")</f>
        <v/>
      </c>
      <c r="V165" s="43" t="str">
        <f>IF(AND('Mapa final'!$AB$31="Baja",'Mapa final'!$AD$31="Catastrófico"),CONCATENATE("R10C",'Mapa final'!$R$31),"")</f>
        <v/>
      </c>
      <c r="W165" s="44" t="str">
        <f>IF(AND('Mapa final'!$AB$32="Baja",'Mapa final'!$AD$32="Catastrófico"),CONCATENATE("R10C",'Mapa final'!$R$32),"")</f>
        <v/>
      </c>
      <c r="X165" s="100" t="str">
        <f>IF(AND('Mapa final'!$AB$33="Baja",'Mapa final'!$AD$33="Catastrófico"),CONCATENATE("R10C",'Mapa final'!$R$33),"")</f>
        <v/>
      </c>
      <c r="Y165" s="56"/>
      <c r="Z165" s="316"/>
      <c r="AA165" s="317"/>
      <c r="AB165" s="317"/>
      <c r="AC165" s="317"/>
      <c r="AD165" s="317"/>
      <c r="AE165" s="318"/>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row>
    <row r="166" spans="1:61" ht="15" customHeight="1" x14ac:dyDescent="0.35">
      <c r="A166" s="56"/>
      <c r="B166" s="311"/>
      <c r="C166" s="311"/>
      <c r="D166" s="312"/>
      <c r="E166" s="287"/>
      <c r="F166" s="283"/>
      <c r="G166" s="283"/>
      <c r="H166" s="283"/>
      <c r="I166" s="283"/>
      <c r="J166" s="115" t="str">
        <f>IF(AND('Mapa final'!$AB$34="Baja",'Mapa final'!$AD$34="Leve"),CONCATENATE("R11C",'Mapa final'!$R$34),"")</f>
        <v/>
      </c>
      <c r="K166" s="54" t="str">
        <f>IF(AND('Mapa final'!$AB$35="Baja",'Mapa final'!$AD$35="Leve"),CONCATENATE("R11C",'Mapa final'!$R$35),"")</f>
        <v/>
      </c>
      <c r="L166" s="116" t="str">
        <f>IF(AND('Mapa final'!$AB$36="Baja",'Mapa final'!$AD$36="Leve"),CONCATENATE("R11C",'Mapa final'!$R$36),"")</f>
        <v/>
      </c>
      <c r="M166" s="49" t="str">
        <f>IF(AND('Mapa final'!$AB$34="Baja",'Mapa final'!$AD$34="Menor"),CONCATENATE("R11C",'Mapa final'!$R$34),"")</f>
        <v/>
      </c>
      <c r="N166" s="50" t="str">
        <f>IF(AND('Mapa final'!$AB$35="Baja",'Mapa final'!$AD$35="Menor"),CONCATENATE("R11C",'Mapa final'!$R$35),"")</f>
        <v/>
      </c>
      <c r="O166" s="111" t="str">
        <f>IF(AND('Mapa final'!$AB$36="Baja",'Mapa final'!$AD$36="Menor"),CONCATENATE("R11C",'Mapa final'!$R$36),"")</f>
        <v/>
      </c>
      <c r="P166" s="49" t="str">
        <f>IF(AND('Mapa final'!$AB$34="Baja",'Mapa final'!$AD$34="Moderado"),CONCATENATE("R11C",'Mapa final'!$R$34),"")</f>
        <v/>
      </c>
      <c r="Q166" s="50" t="str">
        <f>IF(AND('Mapa final'!$AB$35="Baja",'Mapa final'!$AD$35="Moderado"),CONCATENATE("R11C",'Mapa final'!$R$35),"")</f>
        <v/>
      </c>
      <c r="R166" s="111" t="str">
        <f>IF(AND('Mapa final'!$AB$36="Baja",'Mapa final'!$AD$36="Moderado"),CONCATENATE("R11C",'Mapa final'!$R$36),"")</f>
        <v/>
      </c>
      <c r="S166" s="105" t="str">
        <f>IF(AND('Mapa final'!$AB$34="Baja",'Mapa final'!$AD$34="Mayor"),CONCATENATE("R11C",'Mapa final'!$R$34),"")</f>
        <v>R11C1</v>
      </c>
      <c r="T166" s="42" t="str">
        <f>IF(AND('Mapa final'!$AB$35="Baja",'Mapa final'!$AD$35="Mayor"),CONCATENATE("R11C",'Mapa final'!$R$35),"")</f>
        <v/>
      </c>
      <c r="U166" s="106" t="str">
        <f>IF(AND('Mapa final'!$AB$36="Baja",'Mapa final'!$AD$36="Mayor"),CONCATENATE("R11C",'Mapa final'!$R$36),"")</f>
        <v/>
      </c>
      <c r="V166" s="43" t="str">
        <f>IF(AND('Mapa final'!$AB$34="Baja",'Mapa final'!$AD$34="Catastrófico"),CONCATENATE("R11C",'Mapa final'!$R$34),"")</f>
        <v/>
      </c>
      <c r="W166" s="44" t="str">
        <f>IF(AND('Mapa final'!$AB$35="Baja",'Mapa final'!$AD$35="Catastrófico"),CONCATENATE("R11C",'Mapa final'!$R$35),"")</f>
        <v/>
      </c>
      <c r="X166" s="100" t="str">
        <f>IF(AND('Mapa final'!$AB$36="Baja",'Mapa final'!$AD$36="Catastrófico"),CONCATENATE("R11C",'Mapa final'!$R$36),"")</f>
        <v/>
      </c>
      <c r="Y166" s="56"/>
      <c r="Z166" s="316"/>
      <c r="AA166" s="317"/>
      <c r="AB166" s="317"/>
      <c r="AC166" s="317"/>
      <c r="AD166" s="317"/>
      <c r="AE166" s="318"/>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row>
    <row r="167" spans="1:61" ht="15" customHeight="1" x14ac:dyDescent="0.35">
      <c r="A167" s="56"/>
      <c r="B167" s="311"/>
      <c r="C167" s="311"/>
      <c r="D167" s="312"/>
      <c r="E167" s="287"/>
      <c r="F167" s="283"/>
      <c r="G167" s="283"/>
      <c r="H167" s="283"/>
      <c r="I167" s="283"/>
      <c r="J167" s="115" t="str">
        <f>IF(AND('Mapa final'!$AB$37="Baja",'Mapa final'!$AD$37="Leve"),CONCATENATE("R12C",'Mapa final'!$R$37),"")</f>
        <v/>
      </c>
      <c r="K167" s="54" t="str">
        <f>IF(AND('Mapa final'!$AB$38="Baja",'Mapa final'!$AD$38="Leve"),CONCATENATE("R12C",'Mapa final'!$R$38),"")</f>
        <v/>
      </c>
      <c r="L167" s="116" t="str">
        <f>IF(AND('Mapa final'!$AB$39="Baja",'Mapa final'!$AD$39="Leve"),CONCATENATE("R12C",'Mapa final'!$R$39),"")</f>
        <v/>
      </c>
      <c r="M167" s="49" t="str">
        <f>IF(AND('Mapa final'!$AB$37="Baja",'Mapa final'!$AD$37="Menor"),CONCATENATE("R12C",'Mapa final'!$R$37),"")</f>
        <v/>
      </c>
      <c r="N167" s="50" t="str">
        <f>IF(AND('Mapa final'!$AB$38="Baja",'Mapa final'!$AD$38="Menor"),CONCATENATE("R12C",'Mapa final'!$R$38),"")</f>
        <v/>
      </c>
      <c r="O167" s="111" t="str">
        <f>IF(AND('Mapa final'!$AB$39="Baja",'Mapa final'!$AD$39="Menor"),CONCATENATE("R12C",'Mapa final'!$R$39),"")</f>
        <v/>
      </c>
      <c r="P167" s="49" t="str">
        <f>IF(AND('Mapa final'!$AB$37="Baja",'Mapa final'!$AD$37="Moderado"),CONCATENATE("R12C",'Mapa final'!$R$37),"")</f>
        <v>R12C1</v>
      </c>
      <c r="Q167" s="50" t="str">
        <f>IF(AND('Mapa final'!$AB$38="Baja",'Mapa final'!$AD$38="Moderado"),CONCATENATE("R12C",'Mapa final'!$R$38),"")</f>
        <v/>
      </c>
      <c r="R167" s="111" t="str">
        <f>IF(AND('Mapa final'!$AB$39="Baja",'Mapa final'!$AD$39="Moderado"),CONCATENATE("R12C",'Mapa final'!$R$39),"")</f>
        <v/>
      </c>
      <c r="S167" s="105" t="str">
        <f>IF(AND('Mapa final'!$AB$37="Baja",'Mapa final'!$AD$37="Mayor"),CONCATENATE("R12C",'Mapa final'!$R$37),"")</f>
        <v/>
      </c>
      <c r="T167" s="42" t="str">
        <f>IF(AND('Mapa final'!$AB$38="Baja",'Mapa final'!$AD$38="Mayor"),CONCATENATE("R12C",'Mapa final'!$R$38),"")</f>
        <v/>
      </c>
      <c r="U167" s="106" t="str">
        <f>IF(AND('Mapa final'!$AB$39="Baja",'Mapa final'!$AD$39="Mayor"),CONCATENATE("R12C",'Mapa final'!$R$39),"")</f>
        <v/>
      </c>
      <c r="V167" s="43" t="str">
        <f>IF(AND('Mapa final'!$AB$37="Baja",'Mapa final'!$AD$37="Catastrófico"),CONCATENATE("R12C",'Mapa final'!$R$37),"")</f>
        <v/>
      </c>
      <c r="W167" s="44" t="str">
        <f>IF(AND('Mapa final'!$AB$38="Baja",'Mapa final'!$AD$38="Catastrófico"),CONCATENATE("R12C",'Mapa final'!$R$38),"")</f>
        <v/>
      </c>
      <c r="X167" s="100" t="str">
        <f>IF(AND('Mapa final'!$AB$39="Baja",'Mapa final'!$AD$39="Catastrófico"),CONCATENATE("R12C",'Mapa final'!$R$39),"")</f>
        <v/>
      </c>
      <c r="Y167" s="56"/>
      <c r="Z167" s="316"/>
      <c r="AA167" s="317"/>
      <c r="AB167" s="317"/>
      <c r="AC167" s="317"/>
      <c r="AD167" s="317"/>
      <c r="AE167" s="318"/>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row>
    <row r="168" spans="1:61" ht="15" customHeight="1" x14ac:dyDescent="0.35">
      <c r="A168" s="56"/>
      <c r="B168" s="311"/>
      <c r="C168" s="311"/>
      <c r="D168" s="312"/>
      <c r="E168" s="287"/>
      <c r="F168" s="283"/>
      <c r="G168" s="283"/>
      <c r="H168" s="283"/>
      <c r="I168" s="283"/>
      <c r="J168" s="115" t="str">
        <f>IF(AND('Mapa final'!$AB$40="Baja",'Mapa final'!$AD$40="Leve"),CONCATENATE("R13C",'Mapa final'!$R$40),"")</f>
        <v/>
      </c>
      <c r="K168" s="54" t="str">
        <f>IF(AND('Mapa final'!$AB$41="Baja",'Mapa final'!$AD$41="Leve"),CONCATENATE("R13C",'Mapa final'!$R$41),"")</f>
        <v/>
      </c>
      <c r="L168" s="116" t="str">
        <f>IF(AND('Mapa final'!$AB$42="Baja",'Mapa final'!$AD$42="Leve"),CONCATENATE("R13C",'Mapa final'!$R$42),"")</f>
        <v/>
      </c>
      <c r="M168" s="49" t="str">
        <f>IF(AND('Mapa final'!$AB$40="Baja",'Mapa final'!$AD$40="Menor"),CONCATENATE("R13C",'Mapa final'!$R$40),"")</f>
        <v/>
      </c>
      <c r="N168" s="50" t="str">
        <f>IF(AND('Mapa final'!$AB$41="Baja",'Mapa final'!$AD$41="Menor"),CONCATENATE("R13C",'Mapa final'!$R$41),"")</f>
        <v/>
      </c>
      <c r="O168" s="111" t="str">
        <f>IF(AND('Mapa final'!$AB$42="Baja",'Mapa final'!$AD$42="Menor"),CONCATENATE("R13C",'Mapa final'!$R$42),"")</f>
        <v/>
      </c>
      <c r="P168" s="49" t="str">
        <f>IF(AND('Mapa final'!$AB$40="Baja",'Mapa final'!$AD$40="Moderado"),CONCATENATE("R13C",'Mapa final'!$R$40),"")</f>
        <v/>
      </c>
      <c r="Q168" s="50" t="str">
        <f>IF(AND('Mapa final'!$AB$41="Baja",'Mapa final'!$AD$41="Moderado"),CONCATENATE("R13C",'Mapa final'!$R$41),"")</f>
        <v/>
      </c>
      <c r="R168" s="111" t="str">
        <f>IF(AND('Mapa final'!$AB$42="Baja",'Mapa final'!$AD$42="Moderado"),CONCATENATE("R13C",'Mapa final'!$R$42),"")</f>
        <v/>
      </c>
      <c r="S168" s="105" t="str">
        <f>IF(AND('Mapa final'!$AB$40="Baja",'Mapa final'!$AD$40="Mayor"),CONCATENATE("R13C",'Mapa final'!$R$40),"")</f>
        <v/>
      </c>
      <c r="T168" s="42" t="str">
        <f>IF(AND('Mapa final'!$AB$41="Baja",'Mapa final'!$AD$41="Mayor"),CONCATENATE("R13C",'Mapa final'!$R$41),"")</f>
        <v/>
      </c>
      <c r="U168" s="106" t="str">
        <f>IF(AND('Mapa final'!$AB$42="Baja",'Mapa final'!$AD$42="Mayor"),CONCATENATE("R13C",'Mapa final'!$R$42),"")</f>
        <v/>
      </c>
      <c r="V168" s="43" t="str">
        <f>IF(AND('Mapa final'!$AB$40="Baja",'Mapa final'!$AD$40="Catastrófico"),CONCATENATE("R13C",'Mapa final'!$R$40),"")</f>
        <v/>
      </c>
      <c r="W168" s="44" t="str">
        <f>IF(AND('Mapa final'!$AB$41="Baja",'Mapa final'!$AD$41="Catastrófico"),CONCATENATE("R13C",'Mapa final'!$R$41),"")</f>
        <v/>
      </c>
      <c r="X168" s="100" t="str">
        <f>IF(AND('Mapa final'!$AB$42="Baja",'Mapa final'!$AD$42="Catastrófico"),CONCATENATE("R13C",'Mapa final'!$R$42),"")</f>
        <v/>
      </c>
      <c r="Y168" s="56"/>
      <c r="Z168" s="316"/>
      <c r="AA168" s="317"/>
      <c r="AB168" s="317"/>
      <c r="AC168" s="317"/>
      <c r="AD168" s="317"/>
      <c r="AE168" s="318"/>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row>
    <row r="169" spans="1:61" ht="15" customHeight="1" x14ac:dyDescent="0.35">
      <c r="A169" s="56"/>
      <c r="B169" s="311"/>
      <c r="C169" s="311"/>
      <c r="D169" s="312"/>
      <c r="E169" s="287"/>
      <c r="F169" s="283"/>
      <c r="G169" s="283"/>
      <c r="H169" s="283"/>
      <c r="I169" s="283"/>
      <c r="J169" s="115" t="str">
        <f>IF(AND('Mapa final'!$AB$43="Baja",'Mapa final'!$AD$43="Leve"),CONCATENATE("R14C",'Mapa final'!$R$43),"")</f>
        <v/>
      </c>
      <c r="K169" s="54" t="str">
        <f>IF(AND('Mapa final'!$AB$44="Baja",'Mapa final'!$AD$44="Leve"),CONCATENATE("R14C",'Mapa final'!$R$44),"")</f>
        <v/>
      </c>
      <c r="L169" s="116" t="str">
        <f>IF(AND('Mapa final'!$AB$45="Baja",'Mapa final'!$AD$45="Leve"),CONCATENATE("R14C",'Mapa final'!$R$45),"")</f>
        <v/>
      </c>
      <c r="M169" s="49" t="str">
        <f>IF(AND('Mapa final'!$AB$43="Baja",'Mapa final'!$AD$43="Menor"),CONCATENATE("R14C",'Mapa final'!$R$43),"")</f>
        <v/>
      </c>
      <c r="N169" s="50" t="str">
        <f>IF(AND('Mapa final'!$AB$44="Baja",'Mapa final'!$AD$44="Menor"),CONCATENATE("R14C",'Mapa final'!$R$44),"")</f>
        <v/>
      </c>
      <c r="O169" s="111" t="str">
        <f>IF(AND('Mapa final'!$AB$45="Baja",'Mapa final'!$AD$45="Menor"),CONCATENATE("R14C",'Mapa final'!$R$45),"")</f>
        <v/>
      </c>
      <c r="P169" s="49" t="str">
        <f>IF(AND('Mapa final'!$AB$43="Baja",'Mapa final'!$AD$43="Moderado"),CONCATENATE("R14C",'Mapa final'!$R$43),"")</f>
        <v>R14C1</v>
      </c>
      <c r="Q169" s="50" t="str">
        <f>IF(AND('Mapa final'!$AB$44="Baja",'Mapa final'!$AD$44="Moderado"),CONCATENATE("R14C",'Mapa final'!$R$44),"")</f>
        <v/>
      </c>
      <c r="R169" s="111" t="str">
        <f>IF(AND('Mapa final'!$AB$45="Baja",'Mapa final'!$AD$45="Moderado"),CONCATENATE("R14C",'Mapa final'!$R$45),"")</f>
        <v/>
      </c>
      <c r="S169" s="105" t="str">
        <f>IF(AND('Mapa final'!$AB$43="Baja",'Mapa final'!$AD$43="Mayor"),CONCATENATE("R14C",'Mapa final'!$R$43),"")</f>
        <v/>
      </c>
      <c r="T169" s="42" t="str">
        <f>IF(AND('Mapa final'!$AB$44="Baja",'Mapa final'!$AD$44="Mayor"),CONCATENATE("R14C",'Mapa final'!$R$44),"")</f>
        <v/>
      </c>
      <c r="U169" s="106" t="str">
        <f>IF(AND('Mapa final'!$AB$45="Baja",'Mapa final'!$AD$45="Mayor"),CONCATENATE("R14C",'Mapa final'!$R$45),"")</f>
        <v/>
      </c>
      <c r="V169" s="43" t="str">
        <f>IF(AND('Mapa final'!$AB$43="Baja",'Mapa final'!$AD$43="Catastrófico"),CONCATENATE("R14C",'Mapa final'!$R$43),"")</f>
        <v/>
      </c>
      <c r="W169" s="44" t="str">
        <f>IF(AND('Mapa final'!$AB$44="Baja",'Mapa final'!$AD$44="Catastrófico"),CONCATENATE("R14C",'Mapa final'!$R$44),"")</f>
        <v/>
      </c>
      <c r="X169" s="100" t="str">
        <f>IF(AND('Mapa final'!$AB$45="Baja",'Mapa final'!$AD$45="Catastrófico"),CONCATENATE("R14C",'Mapa final'!$R$45),"")</f>
        <v/>
      </c>
      <c r="Y169" s="56"/>
      <c r="Z169" s="316"/>
      <c r="AA169" s="317"/>
      <c r="AB169" s="317"/>
      <c r="AC169" s="317"/>
      <c r="AD169" s="317"/>
      <c r="AE169" s="318"/>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row>
    <row r="170" spans="1:61" ht="15" customHeight="1" x14ac:dyDescent="0.35">
      <c r="A170" s="56"/>
      <c r="B170" s="311"/>
      <c r="C170" s="311"/>
      <c r="D170" s="312"/>
      <c r="E170" s="287"/>
      <c r="F170" s="283"/>
      <c r="G170" s="283"/>
      <c r="H170" s="283"/>
      <c r="I170" s="283"/>
      <c r="J170" s="115" t="str">
        <f>IF(AND('Mapa final'!$AB$46="Baja",'Mapa final'!$AD$46="Leve"),CONCATENATE("R15C",'Mapa final'!$R$46),"")</f>
        <v/>
      </c>
      <c r="K170" s="54" t="str">
        <f>IF(AND('Mapa final'!$AB$47="Baja",'Mapa final'!$AD$47="Leve"),CONCATENATE("R15C",'Mapa final'!$R$47),"")</f>
        <v/>
      </c>
      <c r="L170" s="116" t="str">
        <f>IF(AND('Mapa final'!$AB$48="Baja",'Mapa final'!$AD$48="Leve"),CONCATENATE("R15C",'Mapa final'!$R$48),"")</f>
        <v/>
      </c>
      <c r="M170" s="49" t="str">
        <f>IF(AND('Mapa final'!$AB$46="Baja",'Mapa final'!$AD$46="Menor"),CONCATENATE("R15C",'Mapa final'!$R$46),"")</f>
        <v/>
      </c>
      <c r="N170" s="50" t="str">
        <f>IF(AND('Mapa final'!$AB$47="Baja",'Mapa final'!$AD$47="Menor"),CONCATENATE("R15C",'Mapa final'!$R$47),"")</f>
        <v/>
      </c>
      <c r="O170" s="111" t="str">
        <f>IF(AND('Mapa final'!$AB$48="Baja",'Mapa final'!$AD$48="Menor"),CONCATENATE("R15C",'Mapa final'!$R$48),"")</f>
        <v/>
      </c>
      <c r="P170" s="49" t="str">
        <f>IF(AND('Mapa final'!$AB$46="Baja",'Mapa final'!$AD$46="Moderado"),CONCATENATE("R15C",'Mapa final'!$R$46),"")</f>
        <v/>
      </c>
      <c r="Q170" s="50" t="str">
        <f>IF(AND('Mapa final'!$AB$47="Baja",'Mapa final'!$AD$47="Moderado"),CONCATENATE("R15C",'Mapa final'!$R$47),"")</f>
        <v/>
      </c>
      <c r="R170" s="111" t="str">
        <f>IF(AND('Mapa final'!$AB$48="Baja",'Mapa final'!$AD$48="Moderado"),CONCATENATE("R15C",'Mapa final'!$R$48),"")</f>
        <v/>
      </c>
      <c r="S170" s="105" t="str">
        <f>IF(AND('Mapa final'!$AB$46="Baja",'Mapa final'!$AD$46="Mayor"),CONCATENATE("R15C",'Mapa final'!$R$46),"")</f>
        <v/>
      </c>
      <c r="T170" s="42" t="str">
        <f>IF(AND('Mapa final'!$AB$47="Baja",'Mapa final'!$AD$47="Mayor"),CONCATENATE("R15C",'Mapa final'!$R$47),"")</f>
        <v/>
      </c>
      <c r="U170" s="106" t="str">
        <f>IF(AND('Mapa final'!$AB$48="Baja",'Mapa final'!$AD$48="Mayor"),CONCATENATE("R15C",'Mapa final'!$R$48),"")</f>
        <v/>
      </c>
      <c r="V170" s="43" t="str">
        <f>IF(AND('Mapa final'!$AB$46="Baja",'Mapa final'!$AD$46="Catastrófico"),CONCATENATE("R15C",'Mapa final'!$R$46),"")</f>
        <v/>
      </c>
      <c r="W170" s="44" t="str">
        <f>IF(AND('Mapa final'!$AB$47="Baja",'Mapa final'!$AD$47="Catastrófico"),CONCATENATE("R15C",'Mapa final'!$R$47),"")</f>
        <v/>
      </c>
      <c r="X170" s="100" t="str">
        <f>IF(AND('Mapa final'!$AB$48="Baja",'Mapa final'!$AD$48="Catastrófico"),CONCATENATE("R15C",'Mapa final'!$R$48),"")</f>
        <v/>
      </c>
      <c r="Y170" s="56"/>
      <c r="Z170" s="316"/>
      <c r="AA170" s="317"/>
      <c r="AB170" s="317"/>
      <c r="AC170" s="317"/>
      <c r="AD170" s="317"/>
      <c r="AE170" s="318"/>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row>
    <row r="171" spans="1:61" ht="15" customHeight="1" x14ac:dyDescent="0.35">
      <c r="A171" s="56"/>
      <c r="B171" s="311"/>
      <c r="C171" s="311"/>
      <c r="D171" s="312"/>
      <c r="E171" s="287"/>
      <c r="F171" s="283"/>
      <c r="G171" s="283"/>
      <c r="H171" s="283"/>
      <c r="I171" s="283"/>
      <c r="J171" s="115" t="str">
        <f>IF(AND('Mapa final'!$AB$49="Baja",'Mapa final'!$AD$49="Leve"),CONCATENATE("R16C",'Mapa final'!$R$49),"")</f>
        <v/>
      </c>
      <c r="K171" s="54" t="str">
        <f>IF(AND('Mapa final'!$AB$50="Baja",'Mapa final'!$AD$50="Leve"),CONCATENATE("R16C",'Mapa final'!$R$50),"")</f>
        <v/>
      </c>
      <c r="L171" s="116" t="str">
        <f>IF(AND('Mapa final'!$AB$51="Baja",'Mapa final'!$AD$51="Leve"),CONCATENATE("R16C",'Mapa final'!$R$51),"")</f>
        <v/>
      </c>
      <c r="M171" s="49" t="str">
        <f>IF(AND('Mapa final'!$AB$49="Baja",'Mapa final'!$AD$49="Menor"),CONCATENATE("R16C",'Mapa final'!$R$49),"")</f>
        <v/>
      </c>
      <c r="N171" s="50" t="str">
        <f>IF(AND('Mapa final'!$AB$50="Baja",'Mapa final'!$AD$50="Menor"),CONCATENATE("R16C",'Mapa final'!$R$50),"")</f>
        <v/>
      </c>
      <c r="O171" s="111" t="str">
        <f>IF(AND('Mapa final'!$AB$51="Baja",'Mapa final'!$AD$51="Menor"),CONCATENATE("R16C",'Mapa final'!$R$51),"")</f>
        <v/>
      </c>
      <c r="P171" s="49" t="str">
        <f>IF(AND('Mapa final'!$AB$49="Baja",'Mapa final'!$AD$49="Moderado"),CONCATENATE("R16C",'Mapa final'!$R$49),"")</f>
        <v>R16C1</v>
      </c>
      <c r="Q171" s="50" t="str">
        <f>IF(AND('Mapa final'!$AB$50="Baja",'Mapa final'!$AD$50="Moderado"),CONCATENATE("R16C",'Mapa final'!$R$50),"")</f>
        <v/>
      </c>
      <c r="R171" s="111" t="str">
        <f>IF(AND('Mapa final'!$AB$51="Baja",'Mapa final'!$AD$51="Moderado"),CONCATENATE("R16C",'Mapa final'!$R$51),"")</f>
        <v/>
      </c>
      <c r="S171" s="105" t="str">
        <f>IF(AND('Mapa final'!$AB$49="Baja",'Mapa final'!$AD$49="Mayor"),CONCATENATE("R16C",'Mapa final'!$R$49),"")</f>
        <v/>
      </c>
      <c r="T171" s="42" t="str">
        <f>IF(AND('Mapa final'!$AB$50="Baja",'Mapa final'!$AD$50="Mayor"),CONCATENATE("R16C",'Mapa final'!$R$50),"")</f>
        <v/>
      </c>
      <c r="U171" s="106" t="str">
        <f>IF(AND('Mapa final'!$AB$51="Baja",'Mapa final'!$AD$51="Mayor"),CONCATENATE("R16C",'Mapa final'!$R$51),"")</f>
        <v/>
      </c>
      <c r="V171" s="43" t="str">
        <f>IF(AND('Mapa final'!$AB$49="Baja",'Mapa final'!$AD$49="Catastrófico"),CONCATENATE("R16C",'Mapa final'!$R$49),"")</f>
        <v/>
      </c>
      <c r="W171" s="44" t="str">
        <f>IF(AND('Mapa final'!$AB$50="Baja",'Mapa final'!$AD$50="Catastrófico"),CONCATENATE("R16C",'Mapa final'!$R$50),"")</f>
        <v/>
      </c>
      <c r="X171" s="100" t="str">
        <f>IF(AND('Mapa final'!$AB$51="Baja",'Mapa final'!$AD$51="Catastrófico"),CONCATENATE("R16C",'Mapa final'!$R$51),"")</f>
        <v/>
      </c>
      <c r="Y171" s="56"/>
      <c r="Z171" s="316"/>
      <c r="AA171" s="317"/>
      <c r="AB171" s="317"/>
      <c r="AC171" s="317"/>
      <c r="AD171" s="317"/>
      <c r="AE171" s="318"/>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row>
    <row r="172" spans="1:61" ht="15" customHeight="1" x14ac:dyDescent="0.35">
      <c r="A172" s="56"/>
      <c r="B172" s="311"/>
      <c r="C172" s="311"/>
      <c r="D172" s="312"/>
      <c r="E172" s="287"/>
      <c r="F172" s="283"/>
      <c r="G172" s="283"/>
      <c r="H172" s="283"/>
      <c r="I172" s="283"/>
      <c r="J172" s="115" t="str">
        <f>IF(AND('Mapa final'!$AB$52="Baja",'Mapa final'!$AD$52="Leve"),CONCATENATE("R17C",'Mapa final'!$R$52),"")</f>
        <v/>
      </c>
      <c r="K172" s="54" t="str">
        <f>IF(AND('Mapa final'!$AB$53="Baja",'Mapa final'!$AD$53="Leve"),CONCATENATE("R17C",'Mapa final'!$R$53),"")</f>
        <v/>
      </c>
      <c r="L172" s="116" t="str">
        <f>IF(AND('Mapa final'!$AB$54="Baja",'Mapa final'!$AD$54="Leve"),CONCATENATE("R17C",'Mapa final'!$R$54),"")</f>
        <v/>
      </c>
      <c r="M172" s="49" t="str">
        <f>IF(AND('Mapa final'!$AB$52="Baja",'Mapa final'!$AD$52="Menor"),CONCATENATE("R17C",'Mapa final'!$R$52),"")</f>
        <v/>
      </c>
      <c r="N172" s="50" t="str">
        <f>IF(AND('Mapa final'!$AB$53="Baja",'Mapa final'!$AD$53="Menor"),CONCATENATE("R17C",'Mapa final'!$R$53),"")</f>
        <v/>
      </c>
      <c r="O172" s="111" t="str">
        <f>IF(AND('Mapa final'!$AB$54="Baja",'Mapa final'!$AD$54="Menor"),CONCATENATE("R17C",'Mapa final'!$R$54),"")</f>
        <v/>
      </c>
      <c r="P172" s="49" t="str">
        <f>IF(AND('Mapa final'!$AB$52="Baja",'Mapa final'!$AD$52="Moderado"),CONCATENATE("R17C",'Mapa final'!$R$52),"")</f>
        <v/>
      </c>
      <c r="Q172" s="50" t="str">
        <f>IF(AND('Mapa final'!$AB$53="Baja",'Mapa final'!$AD$53="Moderado"),CONCATENATE("R17C",'Mapa final'!$R$53),"")</f>
        <v/>
      </c>
      <c r="R172" s="111" t="str">
        <f>IF(AND('Mapa final'!$AB$54="Baja",'Mapa final'!$AD$54="Moderado"),CONCATENATE("R17C",'Mapa final'!$R$54),"")</f>
        <v/>
      </c>
      <c r="S172" s="105" t="str">
        <f>IF(AND('Mapa final'!$AB$52="Baja",'Mapa final'!$AD$52="Mayor"),CONCATENATE("R17C",'Mapa final'!$R$52),"")</f>
        <v/>
      </c>
      <c r="T172" s="42" t="str">
        <f>IF(AND('Mapa final'!$AB$53="Baja",'Mapa final'!$AD$53="Mayor"),CONCATENATE("R17C",'Mapa final'!$R$53),"")</f>
        <v/>
      </c>
      <c r="U172" s="106" t="str">
        <f>IF(AND('Mapa final'!$AB$54="Baja",'Mapa final'!$AD$54="Mayor"),CONCATENATE("R17C",'Mapa final'!$R$54),"")</f>
        <v/>
      </c>
      <c r="V172" s="43" t="str">
        <f>IF(AND('Mapa final'!$AB$52="Baja",'Mapa final'!$AD$52="Catastrófico"),CONCATENATE("R17C",'Mapa final'!$R$52),"")</f>
        <v/>
      </c>
      <c r="W172" s="44" t="str">
        <f>IF(AND('Mapa final'!$AB$53="Baja",'Mapa final'!$AD$53="Catastrófico"),CONCATENATE("R17C",'Mapa final'!$R$53),"")</f>
        <v/>
      </c>
      <c r="X172" s="100" t="str">
        <f>IF(AND('Mapa final'!$AB$54="Baja",'Mapa final'!$AD$54="Catastrófico"),CONCATENATE("R17C",'Mapa final'!$R$54),"")</f>
        <v/>
      </c>
      <c r="Y172" s="56"/>
      <c r="Z172" s="316"/>
      <c r="AA172" s="317"/>
      <c r="AB172" s="317"/>
      <c r="AC172" s="317"/>
      <c r="AD172" s="317"/>
      <c r="AE172" s="318"/>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row>
    <row r="173" spans="1:61" ht="15" customHeight="1" x14ac:dyDescent="0.35">
      <c r="A173" s="56"/>
      <c r="B173" s="311"/>
      <c r="C173" s="311"/>
      <c r="D173" s="312"/>
      <c r="E173" s="287"/>
      <c r="F173" s="283"/>
      <c r="G173" s="283"/>
      <c r="H173" s="283"/>
      <c r="I173" s="283"/>
      <c r="J173" s="115" t="str">
        <f>IF(AND('Mapa final'!$AB$55="Baja",'Mapa final'!$AD$55="Leve"),CONCATENATE("R18C",'Mapa final'!$R$55),"")</f>
        <v/>
      </c>
      <c r="K173" s="54" t="str">
        <f>IF(AND('Mapa final'!$AB$56="Baja",'Mapa final'!$AD$56="Leve"),CONCATENATE("R18C",'Mapa final'!$R$56),"")</f>
        <v/>
      </c>
      <c r="L173" s="116" t="str">
        <f>IF(AND('Mapa final'!$AB$57="Baja",'Mapa final'!$AD$57="Leve"),CONCATENATE("R18C",'Mapa final'!$R$57),"")</f>
        <v/>
      </c>
      <c r="M173" s="49" t="str">
        <f>IF(AND('Mapa final'!$AB$55="Baja",'Mapa final'!$AD$55="Menor"),CONCATENATE("R18C",'Mapa final'!$R$55),"")</f>
        <v/>
      </c>
      <c r="N173" s="50" t="str">
        <f>IF(AND('Mapa final'!$AB$56="Baja",'Mapa final'!$AD$56="Menor"),CONCATENATE("R18C",'Mapa final'!$R$56),"")</f>
        <v/>
      </c>
      <c r="O173" s="111" t="str">
        <f>IF(AND('Mapa final'!$AB$57="Baja",'Mapa final'!$AD$57="Menor"),CONCATENATE("R18C",'Mapa final'!$R$57),"")</f>
        <v/>
      </c>
      <c r="P173" s="49" t="str">
        <f>IF(AND('Mapa final'!$AB$55="Baja",'Mapa final'!$AD$55="Moderado"),CONCATENATE("R18C",'Mapa final'!$R$55),"")</f>
        <v/>
      </c>
      <c r="Q173" s="50" t="str">
        <f>IF(AND('Mapa final'!$AB$56="Baja",'Mapa final'!$AD$56="Moderado"),CONCATENATE("R18C",'Mapa final'!$R$56),"")</f>
        <v>R18C2</v>
      </c>
      <c r="R173" s="111" t="str">
        <f>IF(AND('Mapa final'!$AB$57="Baja",'Mapa final'!$AD$57="Moderado"),CONCATENATE("R18C",'Mapa final'!$R$57),"")</f>
        <v/>
      </c>
      <c r="S173" s="105" t="str">
        <f>IF(AND('Mapa final'!$AB$55="Baja",'Mapa final'!$AD$55="Mayor"),CONCATENATE("R18C",'Mapa final'!$R$55),"")</f>
        <v/>
      </c>
      <c r="T173" s="42" t="str">
        <f>IF(AND('Mapa final'!$AB$56="Baja",'Mapa final'!$AD$56="Mayor"),CONCATENATE("R18C",'Mapa final'!$R$56),"")</f>
        <v/>
      </c>
      <c r="U173" s="106" t="str">
        <f>IF(AND('Mapa final'!$AB$57="Baja",'Mapa final'!$AD$57="Mayor"),CONCATENATE("R18C",'Mapa final'!$R$57),"")</f>
        <v/>
      </c>
      <c r="V173" s="43" t="str">
        <f>IF(AND('Mapa final'!$AB$55="Baja",'Mapa final'!$AD$55="Catastrófico"),CONCATENATE("R18C",'Mapa final'!$R$55),"")</f>
        <v/>
      </c>
      <c r="W173" s="44" t="str">
        <f>IF(AND('Mapa final'!$AB$56="Baja",'Mapa final'!$AD$56="Catastrófico"),CONCATENATE("R18C",'Mapa final'!$R$56),"")</f>
        <v/>
      </c>
      <c r="X173" s="100" t="str">
        <f>IF(AND('Mapa final'!$AB$57="Baja",'Mapa final'!$AD$57="Catastrófico"),CONCATENATE("R18C",'Mapa final'!$R$57),"")</f>
        <v/>
      </c>
      <c r="Y173" s="56"/>
      <c r="Z173" s="316"/>
      <c r="AA173" s="317"/>
      <c r="AB173" s="317"/>
      <c r="AC173" s="317"/>
      <c r="AD173" s="317"/>
      <c r="AE173" s="318"/>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row>
    <row r="174" spans="1:61" ht="15" customHeight="1" x14ac:dyDescent="0.35">
      <c r="A174" s="56"/>
      <c r="B174" s="311"/>
      <c r="C174" s="311"/>
      <c r="D174" s="312"/>
      <c r="E174" s="287"/>
      <c r="F174" s="283"/>
      <c r="G174" s="283"/>
      <c r="H174" s="283"/>
      <c r="I174" s="283"/>
      <c r="J174" s="115" t="str">
        <f>IF(AND('Mapa final'!$AB$58="Baja",'Mapa final'!$AD$58="Leve"),CONCATENATE("R19C",'Mapa final'!$R$58),"")</f>
        <v/>
      </c>
      <c r="K174" s="54" t="str">
        <f>IF(AND('Mapa final'!$AB$59="Baja",'Mapa final'!$AD$59="Leve"),CONCATENATE("R19C",'Mapa final'!$R$59),"")</f>
        <v/>
      </c>
      <c r="L174" s="116" t="str">
        <f>IF(AND('Mapa final'!$AB$60="Baja",'Mapa final'!$AD$60="Leve"),CONCATENATE("R19C",'Mapa final'!$R$60),"")</f>
        <v/>
      </c>
      <c r="M174" s="49" t="str">
        <f>IF(AND('Mapa final'!$AB$58="Baja",'Mapa final'!$AD$58="Menor"),CONCATENATE("R19C",'Mapa final'!$R$58),"")</f>
        <v/>
      </c>
      <c r="N174" s="50" t="str">
        <f>IF(AND('Mapa final'!$AB$59="Baja",'Mapa final'!$AD$59="Menor"),CONCATENATE("R19C",'Mapa final'!$R$59),"")</f>
        <v/>
      </c>
      <c r="O174" s="111" t="str">
        <f>IF(AND('Mapa final'!$AB$60="Baja",'Mapa final'!$AD$60="Menor"),CONCATENATE("R19C",'Mapa final'!$R$60),"")</f>
        <v/>
      </c>
      <c r="P174" s="49" t="str">
        <f>IF(AND('Mapa final'!$AB$58="Baja",'Mapa final'!$AD$58="Moderado"),CONCATENATE("R19C",'Mapa final'!$R$58),"")</f>
        <v/>
      </c>
      <c r="Q174" s="50" t="str">
        <f>IF(AND('Mapa final'!$AB$59="Baja",'Mapa final'!$AD$59="Moderado"),CONCATENATE("R19C",'Mapa final'!$R$59),"")</f>
        <v/>
      </c>
      <c r="R174" s="111" t="str">
        <f>IF(AND('Mapa final'!$AB$60="Baja",'Mapa final'!$AD$60="Moderado"),CONCATENATE("R19C",'Mapa final'!$R$60),"")</f>
        <v/>
      </c>
      <c r="S174" s="105" t="str">
        <f>IF(AND('Mapa final'!$AB$58="Baja",'Mapa final'!$AD$58="Mayor"),CONCATENATE("R19C",'Mapa final'!$R$58),"")</f>
        <v/>
      </c>
      <c r="T174" s="42" t="str">
        <f>IF(AND('Mapa final'!$AB$59="Baja",'Mapa final'!$AD$59="Mayor"),CONCATENATE("R19C",'Mapa final'!$R$59),"")</f>
        <v/>
      </c>
      <c r="U174" s="106" t="str">
        <f>IF(AND('Mapa final'!$AB$60="Baja",'Mapa final'!$AD$60="Mayor"),CONCATENATE("R19C",'Mapa final'!$R$60),"")</f>
        <v/>
      </c>
      <c r="V174" s="43" t="str">
        <f>IF(AND('Mapa final'!$AB$58="Baja",'Mapa final'!$AD$58="Catastrófico"),CONCATENATE("R19C",'Mapa final'!$R$58),"")</f>
        <v/>
      </c>
      <c r="W174" s="44" t="str">
        <f>IF(AND('Mapa final'!$AB$59="Baja",'Mapa final'!$AD$59="Catastrófico"),CONCATENATE("R19C",'Mapa final'!$R$59),"")</f>
        <v/>
      </c>
      <c r="X174" s="100" t="str">
        <f>IF(AND('Mapa final'!$AB$60="Baja",'Mapa final'!$AD$60="Catastrófico"),CONCATENATE("R19C",'Mapa final'!$R$60),"")</f>
        <v/>
      </c>
      <c r="Y174" s="56"/>
      <c r="Z174" s="316"/>
      <c r="AA174" s="317"/>
      <c r="AB174" s="317"/>
      <c r="AC174" s="317"/>
      <c r="AD174" s="317"/>
      <c r="AE174" s="318"/>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row>
    <row r="175" spans="1:61" ht="15" customHeight="1" x14ac:dyDescent="0.35">
      <c r="A175" s="56"/>
      <c r="B175" s="311"/>
      <c r="C175" s="311"/>
      <c r="D175" s="312"/>
      <c r="E175" s="287"/>
      <c r="F175" s="283"/>
      <c r="G175" s="283"/>
      <c r="H175" s="283"/>
      <c r="I175" s="283"/>
      <c r="J175" s="115" t="str">
        <f>IF(AND('Mapa final'!$AB$61="Baja",'Mapa final'!$AD$61="Leve"),CONCATENATE("R20C",'Mapa final'!$R$61),"")</f>
        <v/>
      </c>
      <c r="K175" s="54" t="str">
        <f>IF(AND('Mapa final'!$AB$62="Baja",'Mapa final'!$AD$62="Leve"),CONCATENATE("R20C",'Mapa final'!$R$62),"")</f>
        <v/>
      </c>
      <c r="L175" s="116" t="str">
        <f>IF(AND('Mapa final'!$AB$63="Baja",'Mapa final'!$AD$63="Leve"),CONCATENATE("R20C",'Mapa final'!$R$63),"")</f>
        <v/>
      </c>
      <c r="M175" s="49" t="str">
        <f>IF(AND('Mapa final'!$AB$61="Baja",'Mapa final'!$AD$61="Menor"),CONCATENATE("R20C",'Mapa final'!$R$61),"")</f>
        <v/>
      </c>
      <c r="N175" s="50" t="str">
        <f>IF(AND('Mapa final'!$AB$62="Baja",'Mapa final'!$AD$62="Menor"),CONCATENATE("R20C",'Mapa final'!$R$62),"")</f>
        <v/>
      </c>
      <c r="O175" s="111" t="str">
        <f>IF(AND('Mapa final'!$AB$63="Baja",'Mapa final'!$AD$63="Menor"),CONCATENATE("R20C",'Mapa final'!$R$63),"")</f>
        <v/>
      </c>
      <c r="P175" s="49" t="str">
        <f>IF(AND('Mapa final'!$AB$61="Baja",'Mapa final'!$AD$61="Moderado"),CONCATENATE("R20C",'Mapa final'!$R$61),"")</f>
        <v/>
      </c>
      <c r="Q175" s="50" t="str">
        <f>IF(AND('Mapa final'!$AB$62="Baja",'Mapa final'!$AD$62="Moderado"),CONCATENATE("R20C",'Mapa final'!$R$62),"")</f>
        <v/>
      </c>
      <c r="R175" s="111" t="str">
        <f>IF(AND('Mapa final'!$AB$63="Baja",'Mapa final'!$AD$63="Moderado"),CONCATENATE("R20C",'Mapa final'!$R$63),"")</f>
        <v/>
      </c>
      <c r="S175" s="105" t="str">
        <f>IF(AND('Mapa final'!$AB$61="Baja",'Mapa final'!$AD$61="Mayor"),CONCATENATE("R20C",'Mapa final'!$R$61),"")</f>
        <v>R20C1</v>
      </c>
      <c r="T175" s="42" t="str">
        <f>IF(AND('Mapa final'!$AB$62="Baja",'Mapa final'!$AD$62="Mayor"),CONCATENATE("R20C",'Mapa final'!$R$62),"")</f>
        <v/>
      </c>
      <c r="U175" s="106" t="str">
        <f>IF(AND('Mapa final'!$AB$63="Baja",'Mapa final'!$AD$63="Mayor"),CONCATENATE("R20C",'Mapa final'!$R$63),"")</f>
        <v/>
      </c>
      <c r="V175" s="43" t="str">
        <f>IF(AND('Mapa final'!$AB$61="Baja",'Mapa final'!$AD$61="Catastrófico"),CONCATENATE("R20C",'Mapa final'!$R$61),"")</f>
        <v/>
      </c>
      <c r="W175" s="44" t="str">
        <f>IF(AND('Mapa final'!$AB$62="Baja",'Mapa final'!$AD$62="Catastrófico"),CONCATENATE("R20C",'Mapa final'!$R$62),"")</f>
        <v/>
      </c>
      <c r="X175" s="100" t="str">
        <f>IF(AND('Mapa final'!$AB$63="Baja",'Mapa final'!$AD$63="Catastrófico"),CONCATENATE("R20C",'Mapa final'!$R$63),"")</f>
        <v/>
      </c>
      <c r="Y175" s="56"/>
      <c r="Z175" s="316"/>
      <c r="AA175" s="317"/>
      <c r="AB175" s="317"/>
      <c r="AC175" s="317"/>
      <c r="AD175" s="317"/>
      <c r="AE175" s="318"/>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row>
    <row r="176" spans="1:61" ht="15" customHeight="1" x14ac:dyDescent="0.35">
      <c r="A176" s="56"/>
      <c r="B176" s="311"/>
      <c r="C176" s="311"/>
      <c r="D176" s="312"/>
      <c r="E176" s="287"/>
      <c r="F176" s="283"/>
      <c r="G176" s="283"/>
      <c r="H176" s="283"/>
      <c r="I176" s="283"/>
      <c r="J176" s="115" t="str">
        <f>IF(AND('Mapa final'!$AB$64="Baja",'Mapa final'!$AD$64="Leve"),CONCATENATE("R21C",'Mapa final'!$R$64),"")</f>
        <v>R21C1</v>
      </c>
      <c r="K176" s="54" t="str">
        <f>IF(AND('Mapa final'!$AB$65="Baja",'Mapa final'!$AD$65="Leve"),CONCATENATE("R21C",'Mapa final'!$R$65),"")</f>
        <v/>
      </c>
      <c r="L176" s="116" t="str">
        <f>IF(AND('Mapa final'!$AB$66="Baja",'Mapa final'!$AD$66="Leve"),CONCATENATE("R21C",'Mapa final'!$R$66),"")</f>
        <v/>
      </c>
      <c r="M176" s="49" t="str">
        <f>IF(AND('Mapa final'!$AB$64="Baja",'Mapa final'!$AD$64="Menor"),CONCATENATE("R21C",'Mapa final'!$R$64),"")</f>
        <v/>
      </c>
      <c r="N176" s="50" t="str">
        <f>IF(AND('Mapa final'!$AB$65="Baja",'Mapa final'!$AD$65="Menor"),CONCATENATE("R21C",'Mapa final'!$R$65),"")</f>
        <v/>
      </c>
      <c r="O176" s="111" t="str">
        <f>IF(AND('Mapa final'!$AB$66="Baja",'Mapa final'!$AD$66="Menor"),CONCATENATE("R21C",'Mapa final'!$R$66),"")</f>
        <v/>
      </c>
      <c r="P176" s="49" t="str">
        <f>IF(AND('Mapa final'!$AB$64="Baja",'Mapa final'!$AD$64="Moderado"),CONCATENATE("R21C",'Mapa final'!$R$64),"")</f>
        <v/>
      </c>
      <c r="Q176" s="50" t="str">
        <f>IF(AND('Mapa final'!$AB$65="Baja",'Mapa final'!$AD$65="Moderado"),CONCATENATE("R21C",'Mapa final'!$R$65),"")</f>
        <v/>
      </c>
      <c r="R176" s="111" t="str">
        <f>IF(AND('Mapa final'!$AB$66="Baja",'Mapa final'!$AD$66="Moderado"),CONCATENATE("R21C",'Mapa final'!$R$66),"")</f>
        <v/>
      </c>
      <c r="S176" s="105" t="str">
        <f>IF(AND('Mapa final'!$AB$64="Baja",'Mapa final'!$AD$64="Mayor"),CONCATENATE("R21C",'Mapa final'!$R$64),"")</f>
        <v/>
      </c>
      <c r="T176" s="42" t="str">
        <f>IF(AND('Mapa final'!$AB$65="Baja",'Mapa final'!$AD$65="Mayor"),CONCATENATE("R21C",'Mapa final'!$R$65),"")</f>
        <v/>
      </c>
      <c r="U176" s="106" t="str">
        <f>IF(AND('Mapa final'!$AB$66="Baja",'Mapa final'!$AD$66="Mayor"),CONCATENATE("R21C",'Mapa final'!$R$66),"")</f>
        <v/>
      </c>
      <c r="V176" s="43" t="str">
        <f>IF(AND('Mapa final'!$AB$64="Baja",'Mapa final'!$AD$64="Catastrófico"),CONCATENATE("R21C",'Mapa final'!$R$64),"")</f>
        <v/>
      </c>
      <c r="W176" s="44" t="str">
        <f>IF(AND('Mapa final'!$AB$65="Baja",'Mapa final'!$AD$65="Catastrófico"),CONCATENATE("R21C",'Mapa final'!$R$65),"")</f>
        <v/>
      </c>
      <c r="X176" s="100" t="str">
        <f>IF(AND('Mapa final'!$AB$66="Baja",'Mapa final'!$AD$66="Catastrófico"),CONCATENATE("R21C",'Mapa final'!$R$66),"")</f>
        <v/>
      </c>
      <c r="Y176" s="56"/>
      <c r="Z176" s="316"/>
      <c r="AA176" s="317"/>
      <c r="AB176" s="317"/>
      <c r="AC176" s="317"/>
      <c r="AD176" s="317"/>
      <c r="AE176" s="318"/>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row>
    <row r="177" spans="1:61" ht="15" customHeight="1" x14ac:dyDescent="0.35">
      <c r="A177" s="56"/>
      <c r="B177" s="311"/>
      <c r="C177" s="311"/>
      <c r="D177" s="312"/>
      <c r="E177" s="287"/>
      <c r="F177" s="283"/>
      <c r="G177" s="283"/>
      <c r="H177" s="283"/>
      <c r="I177" s="283"/>
      <c r="J177" s="115" t="str">
        <f>IF(AND('Mapa final'!$AB$67="Baja",'Mapa final'!$AD$67="Leve"),CONCATENATE("R22C",'Mapa final'!$R$67),"")</f>
        <v/>
      </c>
      <c r="K177" s="54" t="str">
        <f>IF(AND('Mapa final'!$AB$68="Baja",'Mapa final'!$AD$68="Leve"),CONCATENATE("R22C",'Mapa final'!$R$68),"")</f>
        <v/>
      </c>
      <c r="L177" s="116" t="str">
        <f>IF(AND('Mapa final'!$AB$69="Baja",'Mapa final'!$AD$69="Leve"),CONCATENATE("R22C",'Mapa final'!$R$69),"")</f>
        <v/>
      </c>
      <c r="M177" s="49" t="str">
        <f>IF(AND('Mapa final'!$AB$67="Baja",'Mapa final'!$AD$67="Menor"),CONCATENATE("R22C",'Mapa final'!$R$67),"")</f>
        <v>R22C1</v>
      </c>
      <c r="N177" s="50" t="str">
        <f>IF(AND('Mapa final'!$AB$68="Baja",'Mapa final'!$AD$68="Menor"),CONCATENATE("R22C",'Mapa final'!$R$68),"")</f>
        <v/>
      </c>
      <c r="O177" s="111" t="str">
        <f>IF(AND('Mapa final'!$AB$69="Baja",'Mapa final'!$AD$69="Menor"),CONCATENATE("R22C",'Mapa final'!$R$69),"")</f>
        <v/>
      </c>
      <c r="P177" s="49" t="str">
        <f>IF(AND('Mapa final'!$AB$67="Baja",'Mapa final'!$AD$67="Moderado"),CONCATENATE("R22C",'Mapa final'!$R$67),"")</f>
        <v/>
      </c>
      <c r="Q177" s="50" t="str">
        <f>IF(AND('Mapa final'!$AB$68="Baja",'Mapa final'!$AD$68="Moderado"),CONCATENATE("R22C",'Mapa final'!$R$68),"")</f>
        <v/>
      </c>
      <c r="R177" s="111" t="str">
        <f>IF(AND('Mapa final'!$AB$69="Baja",'Mapa final'!$AD$69="Moderado"),CONCATENATE("R22C",'Mapa final'!$R$69),"")</f>
        <v/>
      </c>
      <c r="S177" s="105" t="str">
        <f>IF(AND('Mapa final'!$AB$67="Baja",'Mapa final'!$AD$67="Mayor"),CONCATENATE("R22C",'Mapa final'!$R$67),"")</f>
        <v/>
      </c>
      <c r="T177" s="42" t="str">
        <f>IF(AND('Mapa final'!$AB$68="Baja",'Mapa final'!$AD$68="Mayor"),CONCATENATE("R22C",'Mapa final'!$R$68),"")</f>
        <v/>
      </c>
      <c r="U177" s="106" t="str">
        <f>IF(AND('Mapa final'!$AB$69="Baja",'Mapa final'!$AD$69="Mayor"),CONCATENATE("R22C",'Mapa final'!$R$69),"")</f>
        <v/>
      </c>
      <c r="V177" s="43" t="str">
        <f>IF(AND('Mapa final'!$AB$67="Baja",'Mapa final'!$AD$67="Catastrófico"),CONCATENATE("R22C",'Mapa final'!$R$67),"")</f>
        <v/>
      </c>
      <c r="W177" s="44" t="str">
        <f>IF(AND('Mapa final'!$AB$68="Baja",'Mapa final'!$AD$68="Catastrófico"),CONCATENATE("R22C",'Mapa final'!$R$68),"")</f>
        <v/>
      </c>
      <c r="X177" s="100" t="str">
        <f>IF(AND('Mapa final'!$AB$69="Baja",'Mapa final'!$AD$69="Catastrófico"),CONCATENATE("R22C",'Mapa final'!$R$69),"")</f>
        <v/>
      </c>
      <c r="Y177" s="56"/>
      <c r="Z177" s="316"/>
      <c r="AA177" s="317"/>
      <c r="AB177" s="317"/>
      <c r="AC177" s="317"/>
      <c r="AD177" s="317"/>
      <c r="AE177" s="318"/>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row>
    <row r="178" spans="1:61" ht="15" customHeight="1" x14ac:dyDescent="0.35">
      <c r="A178" s="56"/>
      <c r="B178" s="311"/>
      <c r="C178" s="311"/>
      <c r="D178" s="312"/>
      <c r="E178" s="287"/>
      <c r="F178" s="283"/>
      <c r="G178" s="283"/>
      <c r="H178" s="283"/>
      <c r="I178" s="283"/>
      <c r="J178" s="115" t="str">
        <f>IF(AND('Mapa final'!$AB$73="Baja",'Mapa final'!$AD$73="Leve"),CONCATENATE("R23C",'Mapa final'!$R$73),"")</f>
        <v/>
      </c>
      <c r="K178" s="54" t="str">
        <f>IF(AND('Mapa final'!$AB$74="Baja",'Mapa final'!$AD$74="Leve"),CONCATENATE("R23C",'Mapa final'!$R$74),"")</f>
        <v/>
      </c>
      <c r="L178" s="116" t="str">
        <f>IF(AND('Mapa final'!$AB$75="Baja",'Mapa final'!$AD$75="Leve"),CONCATENATE("R23C",'Mapa final'!$R$75),"")</f>
        <v/>
      </c>
      <c r="M178" s="49" t="str">
        <f>IF(AND('Mapa final'!$AB$73="Baja",'Mapa final'!$AD$73="Menor"),CONCATENATE("R23C",'Mapa final'!$R$73),"")</f>
        <v/>
      </c>
      <c r="N178" s="50" t="str">
        <f>IF(AND('Mapa final'!$AB$74="Baja",'Mapa final'!$AD$74="Menor"),CONCATENATE("R23C",'Mapa final'!$R$74),"")</f>
        <v/>
      </c>
      <c r="O178" s="111" t="str">
        <f>IF(AND('Mapa final'!$AB$75="Baja",'Mapa final'!$AD$75="Menor"),CONCATENATE("R23C",'Mapa final'!$R$75),"")</f>
        <v/>
      </c>
      <c r="P178" s="49" t="str">
        <f>IF(AND('Mapa final'!$AB$73="Baja",'Mapa final'!$AD$73="Moderado"),CONCATENATE("R23C",'Mapa final'!$R$73),"")</f>
        <v/>
      </c>
      <c r="Q178" s="50" t="str">
        <f>IF(AND('Mapa final'!$AB$74="Baja",'Mapa final'!$AD$74="Moderado"),CONCATENATE("R23C",'Mapa final'!$R$74),"")</f>
        <v/>
      </c>
      <c r="R178" s="111" t="str">
        <f>IF(AND('Mapa final'!$AB$75="Baja",'Mapa final'!$AD$75="Moderado"),CONCATENATE("R23C",'Mapa final'!$R$75),"")</f>
        <v/>
      </c>
      <c r="S178" s="105" t="str">
        <f>IF(AND('Mapa final'!$AB$73="Baja",'Mapa final'!$AD$73="Mayor"),CONCATENATE("R23C",'Mapa final'!$R$73),"")</f>
        <v>R23C1</v>
      </c>
      <c r="T178" s="42" t="str">
        <f>IF(AND('Mapa final'!$AB$74="Baja",'Mapa final'!$AD$74="Mayor"),CONCATENATE("R23C",'Mapa final'!$R$74),"")</f>
        <v>R23C2</v>
      </c>
      <c r="U178" s="106" t="str">
        <f>IF(AND('Mapa final'!$AB$75="Baja",'Mapa final'!$AD$75="Mayor"),CONCATENATE("R23C",'Mapa final'!$R$75),"")</f>
        <v/>
      </c>
      <c r="V178" s="43" t="str">
        <f>IF(AND('Mapa final'!$AB$73="Baja",'Mapa final'!$AD$73="Catastrófico"),CONCATENATE("R23C",'Mapa final'!$R$73),"")</f>
        <v/>
      </c>
      <c r="W178" s="44" t="str">
        <f>IF(AND('Mapa final'!$AB$74="Baja",'Mapa final'!$AD$74="Catastrófico"),CONCATENATE("R23C",'Mapa final'!$R$74),"")</f>
        <v/>
      </c>
      <c r="X178" s="100" t="str">
        <f>IF(AND('Mapa final'!$AB$75="Baja",'Mapa final'!$AD$75="Catastrófico"),CONCATENATE("R23C",'Mapa final'!$R$75),"")</f>
        <v/>
      </c>
      <c r="Y178" s="56"/>
      <c r="Z178" s="316"/>
      <c r="AA178" s="317"/>
      <c r="AB178" s="317"/>
      <c r="AC178" s="317"/>
      <c r="AD178" s="317"/>
      <c r="AE178" s="318"/>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row>
    <row r="179" spans="1:61" ht="15" customHeight="1" x14ac:dyDescent="0.35">
      <c r="A179" s="56"/>
      <c r="B179" s="311"/>
      <c r="C179" s="311"/>
      <c r="D179" s="312"/>
      <c r="E179" s="287"/>
      <c r="F179" s="283"/>
      <c r="G179" s="283"/>
      <c r="H179" s="283"/>
      <c r="I179" s="283"/>
      <c r="J179" s="115" t="str">
        <f>IF(AND('Mapa final'!$AB$76="Baja",'Mapa final'!$AD$76="Leve"),CONCATENATE("R24C",'Mapa final'!$R$76),"")</f>
        <v/>
      </c>
      <c r="K179" s="54" t="str">
        <f>IF(AND('Mapa final'!$AB$77="Baja",'Mapa final'!$AD$77="Leve"),CONCATENATE("R24C",'Mapa final'!$R$77),"")</f>
        <v/>
      </c>
      <c r="L179" s="116" t="str">
        <f>IF(AND('Mapa final'!$AB$78="Baja",'Mapa final'!$AD$78="Leve"),CONCATENATE("R24C",'Mapa final'!$R$78),"")</f>
        <v/>
      </c>
      <c r="M179" s="49" t="str">
        <f>IF(AND('Mapa final'!$AB$76="Baja",'Mapa final'!$AD$76="Menor"),CONCATENATE("R24C",'Mapa final'!$R$76),"")</f>
        <v/>
      </c>
      <c r="N179" s="50" t="str">
        <f>IF(AND('Mapa final'!$AB$77="Baja",'Mapa final'!$AD$77="Menor"),CONCATENATE("R24C",'Mapa final'!$R$77),"")</f>
        <v/>
      </c>
      <c r="O179" s="111" t="str">
        <f>IF(AND('Mapa final'!$AB$78="Baja",'Mapa final'!$AD$78="Menor"),CONCATENATE("R24C",'Mapa final'!$R$78),"")</f>
        <v/>
      </c>
      <c r="P179" s="49" t="str">
        <f>IF(AND('Mapa final'!$AB$76="Baja",'Mapa final'!$AD$76="Moderado"),CONCATENATE("R24C",'Mapa final'!$R$76),"")</f>
        <v>R24C1</v>
      </c>
      <c r="Q179" s="50" t="str">
        <f>IF(AND('Mapa final'!$AB$77="Baja",'Mapa final'!$AD$77="Moderado"),CONCATENATE("R24C",'Mapa final'!$R$77),"")</f>
        <v/>
      </c>
      <c r="R179" s="111" t="str">
        <f>IF(AND('Mapa final'!$AB$78="Baja",'Mapa final'!$AD$78="Moderado"),CONCATENATE("R24C",'Mapa final'!$R$78),"")</f>
        <v/>
      </c>
      <c r="S179" s="105" t="str">
        <f>IF(AND('Mapa final'!$AB$76="Baja",'Mapa final'!$AD$76="Mayor"),CONCATENATE("R24C",'Mapa final'!$R$76),"")</f>
        <v/>
      </c>
      <c r="T179" s="42" t="str">
        <f>IF(AND('Mapa final'!$AB$77="Baja",'Mapa final'!$AD$77="Mayor"),CONCATENATE("R24C",'Mapa final'!$R$77),"")</f>
        <v/>
      </c>
      <c r="U179" s="106" t="str">
        <f>IF(AND('Mapa final'!$AB$78="Baja",'Mapa final'!$AD$78="Mayor"),CONCATENATE("R24C",'Mapa final'!$R$78),"")</f>
        <v/>
      </c>
      <c r="V179" s="43" t="str">
        <f>IF(AND('Mapa final'!$AB$76="Baja",'Mapa final'!$AD$76="Catastrófico"),CONCATENATE("R24C",'Mapa final'!$R$76),"")</f>
        <v/>
      </c>
      <c r="W179" s="44" t="str">
        <f>IF(AND('Mapa final'!$AB$77="Baja",'Mapa final'!$AD$77="Catastrófico"),CONCATENATE("R24C",'Mapa final'!$R$77),"")</f>
        <v/>
      </c>
      <c r="X179" s="100" t="str">
        <f>IF(AND('Mapa final'!$AB$78="Baja",'Mapa final'!$AD$78="Catastrófico"),CONCATENATE("R24C",'Mapa final'!$R$78),"")</f>
        <v/>
      </c>
      <c r="Y179" s="56"/>
      <c r="Z179" s="316"/>
      <c r="AA179" s="317"/>
      <c r="AB179" s="317"/>
      <c r="AC179" s="317"/>
      <c r="AD179" s="317"/>
      <c r="AE179" s="318"/>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row>
    <row r="180" spans="1:61" ht="15" customHeight="1" x14ac:dyDescent="0.35">
      <c r="A180" s="56"/>
      <c r="B180" s="311"/>
      <c r="C180" s="311"/>
      <c r="D180" s="312"/>
      <c r="E180" s="287"/>
      <c r="F180" s="283"/>
      <c r="G180" s="283"/>
      <c r="H180" s="283"/>
      <c r="I180" s="283"/>
      <c r="J180" s="115" t="str">
        <f>IF(AND('Mapa final'!$AB$79="Baja",'Mapa final'!$AD$79="Leve"),CONCATENATE("R25C",'Mapa final'!$R$79),"")</f>
        <v/>
      </c>
      <c r="K180" s="54" t="str">
        <f>IF(AND('Mapa final'!$AB$80="Baja",'Mapa final'!$AD$80="Leve"),CONCATENATE("R25C",'Mapa final'!$R$80),"")</f>
        <v/>
      </c>
      <c r="L180" s="116" t="str">
        <f>IF(AND('Mapa final'!$AB$81="Baja",'Mapa final'!$AD$81="Leve"),CONCATENATE("R25C",'Mapa final'!$R$81),"")</f>
        <v/>
      </c>
      <c r="M180" s="49" t="str">
        <f>IF(AND('Mapa final'!$AB$79="Baja",'Mapa final'!$AD$79="Menor"),CONCATENATE("R25C",'Mapa final'!$R$79),"")</f>
        <v/>
      </c>
      <c r="N180" s="50" t="str">
        <f>IF(AND('Mapa final'!$AB$80="Baja",'Mapa final'!$AD$80="Menor"),CONCATENATE("R25C",'Mapa final'!$R$80),"")</f>
        <v/>
      </c>
      <c r="O180" s="111" t="str">
        <f>IF(AND('Mapa final'!$AB$81="Baja",'Mapa final'!$AD$81="Menor"),CONCATENATE("R25C",'Mapa final'!$R$81),"")</f>
        <v/>
      </c>
      <c r="P180" s="49" t="str">
        <f>IF(AND('Mapa final'!$AB$79="Baja",'Mapa final'!$AD$79="Moderado"),CONCATENATE("R25C",'Mapa final'!$R$79),"")</f>
        <v>R25C1</v>
      </c>
      <c r="Q180" s="50" t="str">
        <f>IF(AND('Mapa final'!$AB$80="Baja",'Mapa final'!$AD$80="Moderado"),CONCATENATE("R25C",'Mapa final'!$R$80),"")</f>
        <v/>
      </c>
      <c r="R180" s="111" t="str">
        <f>IF(AND('Mapa final'!$AB$81="Baja",'Mapa final'!$AD$81="Moderado"),CONCATENATE("R25C",'Mapa final'!$R$81),"")</f>
        <v/>
      </c>
      <c r="S180" s="105" t="str">
        <f>IF(AND('Mapa final'!$AB$79="Baja",'Mapa final'!$AD$79="Mayor"),CONCATENATE("R25C",'Mapa final'!$R$79),"")</f>
        <v/>
      </c>
      <c r="T180" s="42" t="str">
        <f>IF(AND('Mapa final'!$AB$80="Baja",'Mapa final'!$AD$80="Mayor"),CONCATENATE("R25C",'Mapa final'!$R$80),"")</f>
        <v/>
      </c>
      <c r="U180" s="106" t="str">
        <f>IF(AND('Mapa final'!$AB$81="Baja",'Mapa final'!$AD$81="Mayor"),CONCATENATE("R25C",'Mapa final'!$R$81),"")</f>
        <v/>
      </c>
      <c r="V180" s="43" t="str">
        <f>IF(AND('Mapa final'!$AB$79="Baja",'Mapa final'!$AD$79="Catastrófico"),CONCATENATE("R25C",'Mapa final'!$R$79),"")</f>
        <v/>
      </c>
      <c r="W180" s="44" t="str">
        <f>IF(AND('Mapa final'!$AB$80="Baja",'Mapa final'!$AD$80="Catastrófico"),CONCATENATE("R25C",'Mapa final'!$R$80),"")</f>
        <v/>
      </c>
      <c r="X180" s="100" t="str">
        <f>IF(AND('Mapa final'!$AB$81="Baja",'Mapa final'!$AD$81="Catastrófico"),CONCATENATE("R25C",'Mapa final'!$R$81),"")</f>
        <v/>
      </c>
      <c r="Y180" s="56"/>
      <c r="Z180" s="316"/>
      <c r="AA180" s="317"/>
      <c r="AB180" s="317"/>
      <c r="AC180" s="317"/>
      <c r="AD180" s="317"/>
      <c r="AE180" s="318"/>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row>
    <row r="181" spans="1:61" ht="15" customHeight="1" x14ac:dyDescent="0.35">
      <c r="A181" s="56"/>
      <c r="B181" s="311"/>
      <c r="C181" s="311"/>
      <c r="D181" s="312"/>
      <c r="E181" s="287"/>
      <c r="F181" s="283"/>
      <c r="G181" s="283"/>
      <c r="H181" s="283"/>
      <c r="I181" s="283"/>
      <c r="J181" s="115" t="str">
        <f>IF(AND('Mapa final'!$AB$82="Baja",'Mapa final'!$AD$82="Leve"),CONCATENATE("R26C",'Mapa final'!$R$82),"")</f>
        <v/>
      </c>
      <c r="K181" s="54" t="str">
        <f>IF(AND('Mapa final'!$AB$83="Baja",'Mapa final'!$AD$83="Leve"),CONCATENATE("R26C",'Mapa final'!$R$83),"")</f>
        <v/>
      </c>
      <c r="L181" s="116" t="str">
        <f>IF(AND('Mapa final'!$AB$84="Baja",'Mapa final'!$AD$84="Leve"),CONCATENATE("R26C",'Mapa final'!$R$84),"")</f>
        <v/>
      </c>
      <c r="M181" s="49" t="str">
        <f>IF(AND('Mapa final'!$AB$82="Baja",'Mapa final'!$AD$82="Menor"),CONCATENATE("R26C",'Mapa final'!$R$82),"")</f>
        <v/>
      </c>
      <c r="N181" s="50" t="str">
        <f>IF(AND('Mapa final'!$AB$83="Baja",'Mapa final'!$AD$83="Menor"),CONCATENATE("R26C",'Mapa final'!$R$83),"")</f>
        <v/>
      </c>
      <c r="O181" s="111" t="str">
        <f>IF(AND('Mapa final'!$AB$84="Baja",'Mapa final'!$AD$84="Menor"),CONCATENATE("R26C",'Mapa final'!$R$84),"")</f>
        <v/>
      </c>
      <c r="P181" s="49" t="str">
        <f>IF(AND('Mapa final'!$AB$82="Baja",'Mapa final'!$AD$82="Moderado"),CONCATENATE("R26C",'Mapa final'!$R$82),"")</f>
        <v/>
      </c>
      <c r="Q181" s="50" t="str">
        <f>IF(AND('Mapa final'!$AB$83="Baja",'Mapa final'!$AD$83="Moderado"),CONCATENATE("R26C",'Mapa final'!$R$83),"")</f>
        <v/>
      </c>
      <c r="R181" s="111" t="str">
        <f>IF(AND('Mapa final'!$AB$84="Baja",'Mapa final'!$AD$84="Moderado"),CONCATENATE("R26C",'Mapa final'!$R$84),"")</f>
        <v/>
      </c>
      <c r="S181" s="105" t="str">
        <f>IF(AND('Mapa final'!$AB$82="Baja",'Mapa final'!$AD$82="Mayor"),CONCATENATE("R26C",'Mapa final'!$R$82),"")</f>
        <v/>
      </c>
      <c r="T181" s="42" t="str">
        <f>IF(AND('Mapa final'!$AB$83="Baja",'Mapa final'!$AD$83="Mayor"),CONCATENATE("R26C",'Mapa final'!$R$83),"")</f>
        <v/>
      </c>
      <c r="U181" s="106" t="str">
        <f>IF(AND('Mapa final'!$AB$84="Baja",'Mapa final'!$AD$84="Mayor"),CONCATENATE("R26C",'Mapa final'!$R$84),"")</f>
        <v/>
      </c>
      <c r="V181" s="43" t="str">
        <f>IF(AND('Mapa final'!$AB$82="Baja",'Mapa final'!$AD$82="Catastrófico"),CONCATENATE("R26C",'Mapa final'!$R$82),"")</f>
        <v/>
      </c>
      <c r="W181" s="44" t="str">
        <f>IF(AND('Mapa final'!$AB$83="Baja",'Mapa final'!$AD$83="Catastrófico"),CONCATENATE("R26C",'Mapa final'!$R$83),"")</f>
        <v/>
      </c>
      <c r="X181" s="100" t="str">
        <f>IF(AND('Mapa final'!$AB$84="Baja",'Mapa final'!$AD$84="Catastrófico"),CONCATENATE("R26C",'Mapa final'!$R$84),"")</f>
        <v/>
      </c>
      <c r="Y181" s="56"/>
      <c r="Z181" s="316"/>
      <c r="AA181" s="317"/>
      <c r="AB181" s="317"/>
      <c r="AC181" s="317"/>
      <c r="AD181" s="317"/>
      <c r="AE181" s="318"/>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row>
    <row r="182" spans="1:61" ht="15" customHeight="1" x14ac:dyDescent="0.35">
      <c r="A182" s="56"/>
      <c r="B182" s="311"/>
      <c r="C182" s="311"/>
      <c r="D182" s="312"/>
      <c r="E182" s="287"/>
      <c r="F182" s="283"/>
      <c r="G182" s="283"/>
      <c r="H182" s="283"/>
      <c r="I182" s="283"/>
      <c r="J182" s="115" t="str">
        <f>IF(AND('Mapa final'!$AB$85="Baja",'Mapa final'!$AD$85="Leve"),CONCATENATE("R27C",'Mapa final'!$R$85),"")</f>
        <v/>
      </c>
      <c r="K182" s="54" t="str">
        <f>IF(AND('Mapa final'!$AB$86="Baja",'Mapa final'!$AD$86="Leve"),CONCATENATE("R27C",'Mapa final'!$R$86),"")</f>
        <v/>
      </c>
      <c r="L182" s="116" t="str">
        <f>IF(AND('Mapa final'!$AB$87="Baja",'Mapa final'!$AD$87="Leve"),CONCATENATE("R27C",'Mapa final'!$R$87),"")</f>
        <v/>
      </c>
      <c r="M182" s="49" t="str">
        <f>IF(AND('Mapa final'!$AB$85="Baja",'Mapa final'!$AD$85="Menor"),CONCATENATE("R27C",'Mapa final'!$R$85),"")</f>
        <v/>
      </c>
      <c r="N182" s="50" t="str">
        <f>IF(AND('Mapa final'!$AB$86="Baja",'Mapa final'!$AD$86="Menor"),CONCATENATE("R27C",'Mapa final'!$R$86),"")</f>
        <v/>
      </c>
      <c r="O182" s="111" t="str">
        <f>IF(AND('Mapa final'!$AB$87="Baja",'Mapa final'!$AD$87="Menor"),CONCATENATE("R27C",'Mapa final'!$R$87),"")</f>
        <v/>
      </c>
      <c r="P182" s="49" t="str">
        <f>IF(AND('Mapa final'!$AB$85="Baja",'Mapa final'!$AD$85="Moderado"),CONCATENATE("R27C",'Mapa final'!$R$85),"")</f>
        <v>R27C1</v>
      </c>
      <c r="Q182" s="50" t="str">
        <f>IF(AND('Mapa final'!$AB$86="Baja",'Mapa final'!$AD$86="Moderado"),CONCATENATE("R27C",'Mapa final'!$R$86),"")</f>
        <v/>
      </c>
      <c r="R182" s="111" t="str">
        <f>IF(AND('Mapa final'!$AB$87="Baja",'Mapa final'!$AD$87="Moderado"),CONCATENATE("R27C",'Mapa final'!$R$87),"")</f>
        <v/>
      </c>
      <c r="S182" s="105" t="str">
        <f>IF(AND('Mapa final'!$AB$85="Baja",'Mapa final'!$AD$85="Mayor"),CONCATENATE("R27C",'Mapa final'!$R$85),"")</f>
        <v/>
      </c>
      <c r="T182" s="42" t="str">
        <f>IF(AND('Mapa final'!$AB$86="Baja",'Mapa final'!$AD$86="Mayor"),CONCATENATE("R27C",'Mapa final'!$R$86),"")</f>
        <v/>
      </c>
      <c r="U182" s="106" t="str">
        <f>IF(AND('Mapa final'!$AB$87="Baja",'Mapa final'!$AD$87="Mayor"),CONCATENATE("R27C",'Mapa final'!$R$87),"")</f>
        <v/>
      </c>
      <c r="V182" s="43" t="str">
        <f>IF(AND('Mapa final'!$AB$85="Baja",'Mapa final'!$AD$85="Catastrófico"),CONCATENATE("R27C",'Mapa final'!$R$85),"")</f>
        <v/>
      </c>
      <c r="W182" s="44" t="str">
        <f>IF(AND('Mapa final'!$AB$86="Baja",'Mapa final'!$AD$86="Catastrófico"),CONCATENATE("R27C",'Mapa final'!$R$86),"")</f>
        <v/>
      </c>
      <c r="X182" s="100" t="str">
        <f>IF(AND('Mapa final'!$AB$87="Baja",'Mapa final'!$AD$87="Catastrófico"),CONCATENATE("R27C",'Mapa final'!$R$87),"")</f>
        <v/>
      </c>
      <c r="Y182" s="56"/>
      <c r="Z182" s="316"/>
      <c r="AA182" s="317"/>
      <c r="AB182" s="317"/>
      <c r="AC182" s="317"/>
      <c r="AD182" s="317"/>
      <c r="AE182" s="318"/>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row>
    <row r="183" spans="1:61" ht="15" customHeight="1" x14ac:dyDescent="0.35">
      <c r="A183" s="56"/>
      <c r="B183" s="311"/>
      <c r="C183" s="311"/>
      <c r="D183" s="312"/>
      <c r="E183" s="287"/>
      <c r="F183" s="283"/>
      <c r="G183" s="283"/>
      <c r="H183" s="283"/>
      <c r="I183" s="283"/>
      <c r="J183" s="115" t="str">
        <f>IF(AND('Mapa final'!$AB$88="Baja",'Mapa final'!$AD$88="Leve"),CONCATENATE("R28C",'Mapa final'!$R$88),"")</f>
        <v/>
      </c>
      <c r="K183" s="54" t="str">
        <f>IF(AND('Mapa final'!$AB$89="Baja",'Mapa final'!$AD$89="Leve"),CONCATENATE("R28C",'Mapa final'!$R$89),"")</f>
        <v/>
      </c>
      <c r="L183" s="116" t="str">
        <f>IF(AND('Mapa final'!$AB$90="Baja",'Mapa final'!$AD$90="Leve"),CONCATENATE("R28C",'Mapa final'!$R$90),"")</f>
        <v/>
      </c>
      <c r="M183" s="49" t="str">
        <f>IF(AND('Mapa final'!$AB$88="Baja",'Mapa final'!$AD$88="Menor"),CONCATENATE("R28C",'Mapa final'!$R$88),"")</f>
        <v/>
      </c>
      <c r="N183" s="50" t="str">
        <f>IF(AND('Mapa final'!$AB$89="Baja",'Mapa final'!$AD$89="Menor"),CONCATENATE("R28C",'Mapa final'!$R$89),"")</f>
        <v/>
      </c>
      <c r="O183" s="111" t="str">
        <f>IF(AND('Mapa final'!$AB$90="Baja",'Mapa final'!$AD$90="Menor"),CONCATENATE("R28C",'Mapa final'!$R$90),"")</f>
        <v/>
      </c>
      <c r="P183" s="49" t="str">
        <f>IF(AND('Mapa final'!$AB$88="Baja",'Mapa final'!$AD$88="Moderado"),CONCATENATE("R28C",'Mapa final'!$R$88),"")</f>
        <v/>
      </c>
      <c r="Q183" s="50" t="str">
        <f>IF(AND('Mapa final'!$AB$89="Baja",'Mapa final'!$AD$89="Moderado"),CONCATENATE("R28C",'Mapa final'!$R$89),"")</f>
        <v/>
      </c>
      <c r="R183" s="111" t="str">
        <f>IF(AND('Mapa final'!$AB$90="Baja",'Mapa final'!$AD$90="Moderado"),CONCATENATE("R28C",'Mapa final'!$R$90),"")</f>
        <v/>
      </c>
      <c r="S183" s="105" t="str">
        <f>IF(AND('Mapa final'!$AB$88="Baja",'Mapa final'!$AD$88="Mayor"),CONCATENATE("R28C",'Mapa final'!$R$88),"")</f>
        <v>R28C1</v>
      </c>
      <c r="T183" s="42" t="str">
        <f>IF(AND('Mapa final'!$AB$89="Baja",'Mapa final'!$AD$89="Mayor"),CONCATENATE("R28C",'Mapa final'!$R$89),"")</f>
        <v/>
      </c>
      <c r="U183" s="106" t="str">
        <f>IF(AND('Mapa final'!$AB$90="Baja",'Mapa final'!$AD$90="Mayor"),CONCATENATE("R28C",'Mapa final'!$R$90),"")</f>
        <v/>
      </c>
      <c r="V183" s="43" t="str">
        <f>IF(AND('Mapa final'!$AB$88="Baja",'Mapa final'!$AD$88="Catastrófico"),CONCATENATE("R28C",'Mapa final'!$R$88),"")</f>
        <v/>
      </c>
      <c r="W183" s="44" t="str">
        <f>IF(AND('Mapa final'!$AB$89="Baja",'Mapa final'!$AD$89="Catastrófico"),CONCATENATE("R28C",'Mapa final'!$R$89),"")</f>
        <v/>
      </c>
      <c r="X183" s="100" t="str">
        <f>IF(AND('Mapa final'!$AB$90="Baja",'Mapa final'!$AD$90="Catastrófico"),CONCATENATE("R28C",'Mapa final'!$R$90),"")</f>
        <v/>
      </c>
      <c r="Y183" s="56"/>
      <c r="Z183" s="316"/>
      <c r="AA183" s="317"/>
      <c r="AB183" s="317"/>
      <c r="AC183" s="317"/>
      <c r="AD183" s="317"/>
      <c r="AE183" s="318"/>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row>
    <row r="184" spans="1:61" ht="15" customHeight="1" x14ac:dyDescent="0.35">
      <c r="A184" s="56"/>
      <c r="B184" s="311"/>
      <c r="C184" s="311"/>
      <c r="D184" s="312"/>
      <c r="E184" s="288"/>
      <c r="F184" s="301"/>
      <c r="G184" s="301"/>
      <c r="H184" s="301"/>
      <c r="I184" s="283"/>
      <c r="J184" s="115" t="str">
        <f>IF(AND('Mapa final'!$AB$91="Baja",'Mapa final'!$AD$91="Leve"),CONCATENATE("R29C",'Mapa final'!$R$91),"")</f>
        <v/>
      </c>
      <c r="K184" s="54" t="str">
        <f>IF(AND('Mapa final'!$AB$92="Baja",'Mapa final'!$AD$92="Leve"),CONCATENATE("R29C",'Mapa final'!$R$92),"")</f>
        <v/>
      </c>
      <c r="L184" s="116" t="str">
        <f>IF(AND('Mapa final'!$AB$93="Baja",'Mapa final'!$AD$93="Leve"),CONCATENATE("R29C",'Mapa final'!$R$93),"")</f>
        <v/>
      </c>
      <c r="M184" s="49" t="str">
        <f>IF(AND('Mapa final'!$AB$91="Baja",'Mapa final'!$AD$91="Menor"),CONCATENATE("R29C",'Mapa final'!$R$91),"")</f>
        <v/>
      </c>
      <c r="N184" s="50" t="str">
        <f>IF(AND('Mapa final'!$AB$92="Baja",'Mapa final'!$AD$92="Menor"),CONCATENATE("R29C",'Mapa final'!$R$92),"")</f>
        <v/>
      </c>
      <c r="O184" s="111" t="str">
        <f>IF(AND('Mapa final'!$AB$93="Baja",'Mapa final'!$AD$93="Menor"),CONCATENATE("R29C",'Mapa final'!$R$93),"")</f>
        <v/>
      </c>
      <c r="P184" s="49" t="str">
        <f>IF(AND('Mapa final'!$AB$91="Baja",'Mapa final'!$AD$91="Moderado"),CONCATENATE("R29C",'Mapa final'!$R$91),"")</f>
        <v/>
      </c>
      <c r="Q184" s="50" t="str">
        <f>IF(AND('Mapa final'!$AB$92="Baja",'Mapa final'!$AD$92="Moderado"),CONCATENATE("R29C",'Mapa final'!$R$92),"")</f>
        <v/>
      </c>
      <c r="R184" s="111" t="str">
        <f>IF(AND('Mapa final'!$AB$93="Baja",'Mapa final'!$AD$93="Moderado"),CONCATENATE("R29C",'Mapa final'!$R$93),"")</f>
        <v/>
      </c>
      <c r="S184" s="105" t="str">
        <f>IF(AND('Mapa final'!$AB$91="Baja",'Mapa final'!$AD$91="Mayor"),CONCATENATE("R29C",'Mapa final'!$R$91),"")</f>
        <v>R29C1</v>
      </c>
      <c r="T184" s="42" t="str">
        <f>IF(AND('Mapa final'!$AB$92="Baja",'Mapa final'!$AD$92="Mayor"),CONCATENATE("R29C",'Mapa final'!$R$92),"")</f>
        <v/>
      </c>
      <c r="U184" s="106" t="str">
        <f>IF(AND('Mapa final'!$AB$93="Baja",'Mapa final'!$AD$93="Mayor"),CONCATENATE("R29C",'Mapa final'!$R$93),"")</f>
        <v/>
      </c>
      <c r="V184" s="43" t="str">
        <f>IF(AND('Mapa final'!$AB$91="Baja",'Mapa final'!$AD$91="Catastrófico"),CONCATENATE("R29C",'Mapa final'!$R$91),"")</f>
        <v/>
      </c>
      <c r="W184" s="44" t="str">
        <f>IF(AND('Mapa final'!$AB$92="Baja",'Mapa final'!$AD$92="Catastrófico"),CONCATENATE("R29C",'Mapa final'!$R$92),"")</f>
        <v/>
      </c>
      <c r="X184" s="100" t="str">
        <f>IF(AND('Mapa final'!$AB$93="Baja",'Mapa final'!$AD$93="Catastrófico"),CONCATENATE("R29C",'Mapa final'!$R$93),"")</f>
        <v/>
      </c>
      <c r="Y184" s="56"/>
      <c r="Z184" s="316"/>
      <c r="AA184" s="317"/>
      <c r="AB184" s="317"/>
      <c r="AC184" s="317"/>
      <c r="AD184" s="317"/>
      <c r="AE184" s="318"/>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row>
    <row r="185" spans="1:61" ht="15" customHeight="1" x14ac:dyDescent="0.35">
      <c r="A185" s="56"/>
      <c r="B185" s="311"/>
      <c r="C185" s="311"/>
      <c r="D185" s="312"/>
      <c r="E185" s="288"/>
      <c r="F185" s="301"/>
      <c r="G185" s="301"/>
      <c r="H185" s="301"/>
      <c r="I185" s="283"/>
      <c r="J185" s="115" t="str">
        <f>IF(AND('Mapa final'!$AB$94="Baja",'Mapa final'!$AD$94="Leve"),CONCATENATE("R30C",'Mapa final'!$R$94),"")</f>
        <v/>
      </c>
      <c r="K185" s="54" t="str">
        <f>IF(AND('Mapa final'!$AB$95="Baja",'Mapa final'!$AD$95="Leve"),CONCATENATE("R30C",'Mapa final'!$R$95),"")</f>
        <v/>
      </c>
      <c r="L185" s="116" t="str">
        <f>IF(AND('Mapa final'!$AB$96="Baja",'Mapa final'!$AD$96="Leve"),CONCATENATE("R30C",'Mapa final'!$R$96),"")</f>
        <v/>
      </c>
      <c r="M185" s="49" t="str">
        <f>IF(AND('Mapa final'!$AB$94="Baja",'Mapa final'!$AD$94="Menor"),CONCATENATE("R30C",'Mapa final'!$R$94),"")</f>
        <v/>
      </c>
      <c r="N185" s="50" t="str">
        <f>IF(AND('Mapa final'!$AB$95="Baja",'Mapa final'!$AD$95="Menor"),CONCATENATE("R30C",'Mapa final'!$R$95),"")</f>
        <v/>
      </c>
      <c r="O185" s="111" t="str">
        <f>IF(AND('Mapa final'!$AB$96="Baja",'Mapa final'!$AD$96="Menor"),CONCATENATE("R30C",'Mapa final'!$R$96),"")</f>
        <v/>
      </c>
      <c r="P185" s="49" t="str">
        <f>IF(AND('Mapa final'!$AB$94="Baja",'Mapa final'!$AD$94="Moderado"),CONCATENATE("R30C",'Mapa final'!$R$94),"")</f>
        <v/>
      </c>
      <c r="Q185" s="50" t="str">
        <f>IF(AND('Mapa final'!$AB$95="Baja",'Mapa final'!$AD$95="Moderado"),CONCATENATE("R30C",'Mapa final'!$R$95),"")</f>
        <v/>
      </c>
      <c r="R185" s="111" t="str">
        <f>IF(AND('Mapa final'!$AB$96="Baja",'Mapa final'!$AD$96="Moderado"),CONCATENATE("R30C",'Mapa final'!$R$96),"")</f>
        <v/>
      </c>
      <c r="S185" s="105" t="str">
        <f>IF(AND('Mapa final'!$AB$94="Baja",'Mapa final'!$AD$94="Mayor"),CONCATENATE("R30C",'Mapa final'!$R$94),"")</f>
        <v/>
      </c>
      <c r="T185" s="42" t="str">
        <f>IF(AND('Mapa final'!$AB$95="Baja",'Mapa final'!$AD$95="Mayor"),CONCATENATE("R30C",'Mapa final'!$R$95),"")</f>
        <v>R30C2</v>
      </c>
      <c r="U185" s="106" t="str">
        <f>IF(AND('Mapa final'!$AB$96="Baja",'Mapa final'!$AD$96="Mayor"),CONCATENATE("R30C",'Mapa final'!$R$96),"")</f>
        <v/>
      </c>
      <c r="V185" s="43" t="str">
        <f>IF(AND('Mapa final'!$AB$94="Baja",'Mapa final'!$AD$94="Catastrófico"),CONCATENATE("R30C",'Mapa final'!$R$94),"")</f>
        <v/>
      </c>
      <c r="W185" s="44" t="str">
        <f>IF(AND('Mapa final'!$AB$95="Baja",'Mapa final'!$AD$95="Catastrófico"),CONCATENATE("R30C",'Mapa final'!$R$95),"")</f>
        <v/>
      </c>
      <c r="X185" s="100" t="str">
        <f>IF(AND('Mapa final'!$AB$96="Baja",'Mapa final'!$AD$96="Catastrófico"),CONCATENATE("R30C",'Mapa final'!$R$96),"")</f>
        <v/>
      </c>
      <c r="Y185" s="56"/>
      <c r="Z185" s="316"/>
      <c r="AA185" s="317"/>
      <c r="AB185" s="317"/>
      <c r="AC185" s="317"/>
      <c r="AD185" s="317"/>
      <c r="AE185" s="318"/>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row>
    <row r="186" spans="1:61" ht="15" customHeight="1" x14ac:dyDescent="0.35">
      <c r="A186" s="56"/>
      <c r="B186" s="311"/>
      <c r="C186" s="311"/>
      <c r="D186" s="312"/>
      <c r="E186" s="288"/>
      <c r="F186" s="301"/>
      <c r="G186" s="301"/>
      <c r="H186" s="301"/>
      <c r="I186" s="283"/>
      <c r="J186" s="115" t="str">
        <f>IF(AND('Mapa final'!$AB$97="Baja",'Mapa final'!$AD$97="Leve"),CONCATENATE("R31C",'Mapa final'!$R$97),"")</f>
        <v/>
      </c>
      <c r="K186" s="54" t="str">
        <f>IF(AND('Mapa final'!$AB$98="Baja",'Mapa final'!$AD$98="Leve"),CONCATENATE("R31C",'Mapa final'!$R$98),"")</f>
        <v/>
      </c>
      <c r="L186" s="116" t="str">
        <f>IF(AND('Mapa final'!$AB$99="Baja",'Mapa final'!$AD$99="Leve"),CONCATENATE("R31C",'Mapa final'!$R$99),"")</f>
        <v/>
      </c>
      <c r="M186" s="49" t="str">
        <f>IF(AND('Mapa final'!$AB$97="Baja",'Mapa final'!$AD$97="Menor"),CONCATENATE("R31C",'Mapa final'!$R$97),"")</f>
        <v/>
      </c>
      <c r="N186" s="50" t="str">
        <f>IF(AND('Mapa final'!$AB$98="Baja",'Mapa final'!$AD$98="Menor"),CONCATENATE("R31C",'Mapa final'!$R$98),"")</f>
        <v/>
      </c>
      <c r="O186" s="111" t="str">
        <f>IF(AND('Mapa final'!$AB$99="Baja",'Mapa final'!$AD$99="Menor"),CONCATENATE("R31C",'Mapa final'!$R$99),"")</f>
        <v/>
      </c>
      <c r="P186" s="49" t="str">
        <f>IF(AND('Mapa final'!$AB$97="Baja",'Mapa final'!$AD$97="Moderado"),CONCATENATE("R31C",'Mapa final'!$R$97),"")</f>
        <v>R31C1</v>
      </c>
      <c r="Q186" s="50" t="str">
        <f>IF(AND('Mapa final'!$AB$98="Baja",'Mapa final'!$AD$98="Moderado"),CONCATENATE("R31C",'Mapa final'!$R$98),"")</f>
        <v/>
      </c>
      <c r="R186" s="111" t="str">
        <f>IF(AND('Mapa final'!$AB$99="Baja",'Mapa final'!$AD$99="Moderado"),CONCATENATE("R31C",'Mapa final'!$R$99),"")</f>
        <v/>
      </c>
      <c r="S186" s="105" t="str">
        <f>IF(AND('Mapa final'!$AB$97="Baja",'Mapa final'!$AD$97="Mayor"),CONCATENATE("R31C",'Mapa final'!$R$97),"")</f>
        <v/>
      </c>
      <c r="T186" s="42" t="str">
        <f>IF(AND('Mapa final'!$AB$98="Baja",'Mapa final'!$AD$98="Mayor"),CONCATENATE("R31C",'Mapa final'!$R$98),"")</f>
        <v/>
      </c>
      <c r="U186" s="106" t="str">
        <f>IF(AND('Mapa final'!$AB$99="Baja",'Mapa final'!$AD$99="Mayor"),CONCATENATE("R31C",'Mapa final'!$R$99),"")</f>
        <v/>
      </c>
      <c r="V186" s="43" t="str">
        <f>IF(AND('Mapa final'!$AB$97="Baja",'Mapa final'!$AD$97="Catastrófico"),CONCATENATE("R31C",'Mapa final'!$R$97),"")</f>
        <v/>
      </c>
      <c r="W186" s="44" t="str">
        <f>IF(AND('Mapa final'!$AB$98="Baja",'Mapa final'!$AD$98="Catastrófico"),CONCATENATE("R31C",'Mapa final'!$R$98),"")</f>
        <v/>
      </c>
      <c r="X186" s="100" t="str">
        <f>IF(AND('Mapa final'!$AB$99="Baja",'Mapa final'!$AD$99="Catastrófico"),CONCATENATE("R31C",'Mapa final'!$R$99),"")</f>
        <v/>
      </c>
      <c r="Y186" s="56"/>
      <c r="Z186" s="316"/>
      <c r="AA186" s="317"/>
      <c r="AB186" s="317"/>
      <c r="AC186" s="317"/>
      <c r="AD186" s="317"/>
      <c r="AE186" s="318"/>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row>
    <row r="187" spans="1:61" ht="15" customHeight="1" x14ac:dyDescent="0.35">
      <c r="A187" s="56"/>
      <c r="B187" s="311"/>
      <c r="C187" s="311"/>
      <c r="D187" s="312"/>
      <c r="E187" s="288"/>
      <c r="F187" s="301"/>
      <c r="G187" s="301"/>
      <c r="H187" s="301"/>
      <c r="I187" s="283"/>
      <c r="J187" s="115" t="str">
        <f>IF(AND('Mapa final'!$AB$100="Baja",'Mapa final'!$AD$100="Leve"),CONCATENATE("R32C",'Mapa final'!$R$100),"")</f>
        <v/>
      </c>
      <c r="K187" s="54" t="str">
        <f>IF(AND('Mapa final'!$AB$101="Baja",'Mapa final'!$AD$101="Leve"),CONCATENATE("R32C",'Mapa final'!$R$101),"")</f>
        <v/>
      </c>
      <c r="L187" s="116" t="str">
        <f>IF(AND('Mapa final'!$AB$102="Baja",'Mapa final'!$AD$102="Leve"),CONCATENATE("R32C",'Mapa final'!$R$102),"")</f>
        <v/>
      </c>
      <c r="M187" s="49" t="str">
        <f>IF(AND('Mapa final'!$AB$100="Baja",'Mapa final'!$AD$100="Menor"),CONCATENATE("R32C",'Mapa final'!$R$100),"")</f>
        <v/>
      </c>
      <c r="N187" s="50" t="str">
        <f>IF(AND('Mapa final'!$AB$101="Baja",'Mapa final'!$AD$101="Menor"),CONCATENATE("R32C",'Mapa final'!$R$101),"")</f>
        <v/>
      </c>
      <c r="O187" s="111" t="str">
        <f>IF(AND('Mapa final'!$AB$102="Baja",'Mapa final'!$AD$102="Menor"),CONCATENATE("R32C",'Mapa final'!$R$102),"")</f>
        <v/>
      </c>
      <c r="P187" s="49" t="str">
        <f>IF(AND('Mapa final'!$AB$100="Baja",'Mapa final'!$AD$100="Moderado"),CONCATENATE("R32C",'Mapa final'!$R$100),"")</f>
        <v/>
      </c>
      <c r="Q187" s="50" t="str">
        <f>IF(AND('Mapa final'!$AB$101="Baja",'Mapa final'!$AD$101="Moderado"),CONCATENATE("R32C",'Mapa final'!$R$101),"")</f>
        <v/>
      </c>
      <c r="R187" s="111" t="str">
        <f>IF(AND('Mapa final'!$AB$102="Baja",'Mapa final'!$AD$102="Moderado"),CONCATENATE("R32C",'Mapa final'!$R$102),"")</f>
        <v/>
      </c>
      <c r="S187" s="105" t="str">
        <f>IF(AND('Mapa final'!$AB$100="Baja",'Mapa final'!$AD$100="Mayor"),CONCATENATE("R32C",'Mapa final'!$R$100),"")</f>
        <v/>
      </c>
      <c r="T187" s="42" t="str">
        <f>IF(AND('Mapa final'!$AB$101="Baja",'Mapa final'!$AD$101="Mayor"),CONCATENATE("R32C",'Mapa final'!$R$101),"")</f>
        <v/>
      </c>
      <c r="U187" s="106" t="str">
        <f>IF(AND('Mapa final'!$AB$102="Baja",'Mapa final'!$AD$102="Mayor"),CONCATENATE("R32C",'Mapa final'!$R$102),"")</f>
        <v/>
      </c>
      <c r="V187" s="43" t="str">
        <f>IF(AND('Mapa final'!$AB$100="Baja",'Mapa final'!$AD$100="Catastrófico"),CONCATENATE("R32C",'Mapa final'!$R$100),"")</f>
        <v/>
      </c>
      <c r="W187" s="44" t="str">
        <f>IF(AND('Mapa final'!$AB$101="Baja",'Mapa final'!$AD$101="Catastrófico"),CONCATENATE("R32C",'Mapa final'!$R$101),"")</f>
        <v/>
      </c>
      <c r="X187" s="100" t="str">
        <f>IF(AND('Mapa final'!$AB$102="Baja",'Mapa final'!$AD$102="Catastrófico"),CONCATENATE("R32C",'Mapa final'!$R$102),"")</f>
        <v/>
      </c>
      <c r="Y187" s="56"/>
      <c r="Z187" s="316"/>
      <c r="AA187" s="317"/>
      <c r="AB187" s="317"/>
      <c r="AC187" s="317"/>
      <c r="AD187" s="317"/>
      <c r="AE187" s="318"/>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row>
    <row r="188" spans="1:61" ht="15" customHeight="1" x14ac:dyDescent="0.35">
      <c r="A188" s="56"/>
      <c r="B188" s="311"/>
      <c r="C188" s="311"/>
      <c r="D188" s="312"/>
      <c r="E188" s="288"/>
      <c r="F188" s="301"/>
      <c r="G188" s="301"/>
      <c r="H188" s="301"/>
      <c r="I188" s="283"/>
      <c r="J188" s="115" t="str">
        <f>IF(AND('Mapa final'!$AB$103="Baja",'Mapa final'!$AD$103="Leve"),CONCATENATE("R33C",'Mapa final'!$R$103),"")</f>
        <v/>
      </c>
      <c r="K188" s="54" t="str">
        <f>IF(AND('Mapa final'!$AB$104="Baja",'Mapa final'!$AD$104="Leve"),CONCATENATE("R33C",'Mapa final'!$R$104),"")</f>
        <v/>
      </c>
      <c r="L188" s="116" t="str">
        <f>IF(AND('Mapa final'!$AB$105="Baja",'Mapa final'!$AD$105="Leve"),CONCATENATE("R33C",'Mapa final'!$R$105),"")</f>
        <v/>
      </c>
      <c r="M188" s="49" t="str">
        <f>IF(AND('Mapa final'!$AB$103="Baja",'Mapa final'!$AD$103="Menor"),CONCATENATE("R33C",'Mapa final'!$R$103),"")</f>
        <v/>
      </c>
      <c r="N188" s="50" t="str">
        <f>IF(AND('Mapa final'!$AB$104="Baja",'Mapa final'!$AD$104="Menor"),CONCATENATE("R33C",'Mapa final'!$R$104),"")</f>
        <v/>
      </c>
      <c r="O188" s="111" t="str">
        <f>IF(AND('Mapa final'!$AB$105="Baja",'Mapa final'!$AD$105="Menor"),CONCATENATE("R33C",'Mapa final'!$R$105),"")</f>
        <v/>
      </c>
      <c r="P188" s="49" t="str">
        <f>IF(AND('Mapa final'!$AB$103="Baja",'Mapa final'!$AD$103="Moderado"),CONCATENATE("R33C",'Mapa final'!$R$103),"")</f>
        <v/>
      </c>
      <c r="Q188" s="50" t="str">
        <f>IF(AND('Mapa final'!$AB$104="Baja",'Mapa final'!$AD$104="Moderado"),CONCATENATE("R33C",'Mapa final'!$R$104),"")</f>
        <v/>
      </c>
      <c r="R188" s="111" t="str">
        <f>IF(AND('Mapa final'!$AB$105="Baja",'Mapa final'!$AD$105="Moderado"),CONCATENATE("R33C",'Mapa final'!$R$105),"")</f>
        <v/>
      </c>
      <c r="S188" s="105" t="str">
        <f>IF(AND('Mapa final'!$AB$103="Baja",'Mapa final'!$AD$103="Mayor"),CONCATENATE("R33C",'Mapa final'!$R$103),"")</f>
        <v/>
      </c>
      <c r="T188" s="42" t="str">
        <f>IF(AND('Mapa final'!$AB$104="Baja",'Mapa final'!$AD$104="Mayor"),CONCATENATE("R33C",'Mapa final'!$R$104),"")</f>
        <v/>
      </c>
      <c r="U188" s="106" t="str">
        <f>IF(AND('Mapa final'!$AB$105="Baja",'Mapa final'!$AD$105="Mayor"),CONCATENATE("R33C",'Mapa final'!$R$105),"")</f>
        <v/>
      </c>
      <c r="V188" s="43" t="str">
        <f>IF(AND('Mapa final'!$AB$103="Baja",'Mapa final'!$AD$103="Catastrófico"),CONCATENATE("R33C",'Mapa final'!$R$103),"")</f>
        <v/>
      </c>
      <c r="W188" s="44" t="str">
        <f>IF(AND('Mapa final'!$AB$104="Baja",'Mapa final'!$AD$104="Catastrófico"),CONCATENATE("R33C",'Mapa final'!$R$104),"")</f>
        <v/>
      </c>
      <c r="X188" s="100" t="str">
        <f>IF(AND('Mapa final'!$AB$105="Baja",'Mapa final'!$AD$105="Catastrófico"),CONCATENATE("R33C",'Mapa final'!$R$105),"")</f>
        <v/>
      </c>
      <c r="Y188" s="56"/>
      <c r="Z188" s="316"/>
      <c r="AA188" s="317"/>
      <c r="AB188" s="317"/>
      <c r="AC188" s="317"/>
      <c r="AD188" s="317"/>
      <c r="AE188" s="318"/>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row>
    <row r="189" spans="1:61" ht="15" customHeight="1" x14ac:dyDescent="0.35">
      <c r="A189" s="56"/>
      <c r="B189" s="311"/>
      <c r="C189" s="311"/>
      <c r="D189" s="312"/>
      <c r="E189" s="288"/>
      <c r="F189" s="301"/>
      <c r="G189" s="301"/>
      <c r="H189" s="301"/>
      <c r="I189" s="283"/>
      <c r="J189" s="115" t="str">
        <f>IF(AND('Mapa final'!$AB$106="Baja",'Mapa final'!$AD$106="Leve"),CONCATENATE("R34C",'Mapa final'!$R$106),"")</f>
        <v/>
      </c>
      <c r="K189" s="54" t="str">
        <f>IF(AND('Mapa final'!$AB$107="Baja",'Mapa final'!$AD$107="Leve"),CONCATENATE("R34C",'Mapa final'!$R$107),"")</f>
        <v/>
      </c>
      <c r="L189" s="116" t="str">
        <f>IF(AND('Mapa final'!$AB$108="Baja",'Mapa final'!$AD$108="Leve"),CONCATENATE("R34C",'Mapa final'!$R$108),"")</f>
        <v/>
      </c>
      <c r="M189" s="49" t="str">
        <f>IF(AND('Mapa final'!$AB$106="Baja",'Mapa final'!$AD$106="Menor"),CONCATENATE("R34C",'Mapa final'!$R$106),"")</f>
        <v/>
      </c>
      <c r="N189" s="50" t="str">
        <f>IF(AND('Mapa final'!$AB$107="Baja",'Mapa final'!$AD$107="Menor"),CONCATENATE("R34C",'Mapa final'!$R$107),"")</f>
        <v/>
      </c>
      <c r="O189" s="111" t="str">
        <f>IF(AND('Mapa final'!$AB$108="Baja",'Mapa final'!$AD$108="Menor"),CONCATENATE("R34C",'Mapa final'!$R$108),"")</f>
        <v/>
      </c>
      <c r="P189" s="49" t="str">
        <f>IF(AND('Mapa final'!$AB$106="Baja",'Mapa final'!$AD$106="Moderado"),CONCATENATE("R34C",'Mapa final'!$R$106),"")</f>
        <v/>
      </c>
      <c r="Q189" s="50" t="str">
        <f>IF(AND('Mapa final'!$AB$107="Baja",'Mapa final'!$AD$107="Moderado"),CONCATENATE("R34C",'Mapa final'!$R$107),"")</f>
        <v>R34C2</v>
      </c>
      <c r="R189" s="111" t="str">
        <f>IF(AND('Mapa final'!$AB$108="Baja",'Mapa final'!$AD$108="Moderado"),CONCATENATE("R34C",'Mapa final'!$R$108),"")</f>
        <v/>
      </c>
      <c r="S189" s="105" t="str">
        <f>IF(AND('Mapa final'!$AB$106="Baja",'Mapa final'!$AD$106="Mayor"),CONCATENATE("R34C",'Mapa final'!$R$106),"")</f>
        <v/>
      </c>
      <c r="T189" s="42" t="str">
        <f>IF(AND('Mapa final'!$AB$107="Baja",'Mapa final'!$AD$107="Mayor"),CONCATENATE("R34C",'Mapa final'!$R$107),"")</f>
        <v/>
      </c>
      <c r="U189" s="106" t="str">
        <f>IF(AND('Mapa final'!$AB$108="Baja",'Mapa final'!$AD$108="Mayor"),CONCATENATE("R34C",'Mapa final'!$R$108),"")</f>
        <v/>
      </c>
      <c r="V189" s="43" t="str">
        <f>IF(AND('Mapa final'!$AB$106="Baja",'Mapa final'!$AD$106="Catastrófico"),CONCATENATE("R34C",'Mapa final'!$R$106),"")</f>
        <v/>
      </c>
      <c r="W189" s="44" t="str">
        <f>IF(AND('Mapa final'!$AB$107="Baja",'Mapa final'!$AD$107="Catastrófico"),CONCATENATE("R34C",'Mapa final'!$R$107),"")</f>
        <v/>
      </c>
      <c r="X189" s="100" t="str">
        <f>IF(AND('Mapa final'!$AB$108="Baja",'Mapa final'!$AD$108="Catastrófico"),CONCATENATE("R34C",'Mapa final'!$R$108),"")</f>
        <v/>
      </c>
      <c r="Y189" s="56"/>
      <c r="Z189" s="316"/>
      <c r="AA189" s="317"/>
      <c r="AB189" s="317"/>
      <c r="AC189" s="317"/>
      <c r="AD189" s="317"/>
      <c r="AE189" s="318"/>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row>
    <row r="190" spans="1:61" ht="15" customHeight="1" x14ac:dyDescent="0.35">
      <c r="A190" s="56"/>
      <c r="B190" s="311"/>
      <c r="C190" s="311"/>
      <c r="D190" s="312"/>
      <c r="E190" s="288"/>
      <c r="F190" s="301"/>
      <c r="G190" s="301"/>
      <c r="H190" s="301"/>
      <c r="I190" s="283"/>
      <c r="J190" s="115" t="str">
        <f>IF(AND('Mapa final'!$AB$109="Baja",'Mapa final'!$AD$109="Leve"),CONCATENATE("R35C",'Mapa final'!$R$109),"")</f>
        <v/>
      </c>
      <c r="K190" s="54" t="str">
        <f>IF(AND('Mapa final'!$AB$110="Baja",'Mapa final'!$AD$110="Leve"),CONCATENATE("R35C",'Mapa final'!$R$110),"")</f>
        <v/>
      </c>
      <c r="L190" s="116" t="str">
        <f>IF(AND('Mapa final'!$AB$111="Baja",'Mapa final'!$AD$111="Leve"),CONCATENATE("R35C",'Mapa final'!$R$111),"")</f>
        <v/>
      </c>
      <c r="M190" s="49" t="str">
        <f>IF(AND('Mapa final'!$AB$109="Baja",'Mapa final'!$AD$109="Menor"),CONCATENATE("R35C",'Mapa final'!$R$109),"")</f>
        <v/>
      </c>
      <c r="N190" s="50" t="str">
        <f>IF(AND('Mapa final'!$AB$110="Baja",'Mapa final'!$AD$110="Menor"),CONCATENATE("R35C",'Mapa final'!$R$110),"")</f>
        <v/>
      </c>
      <c r="O190" s="111" t="str">
        <f>IF(AND('Mapa final'!$AB$111="Baja",'Mapa final'!$AD$111="Menor"),CONCATENATE("R35C",'Mapa final'!$R$111),"")</f>
        <v/>
      </c>
      <c r="P190" s="49" t="str">
        <f>IF(AND('Mapa final'!$AB$109="Baja",'Mapa final'!$AD$109="Moderado"),CONCATENATE("R35C",'Mapa final'!$R$109),"")</f>
        <v>R35C1</v>
      </c>
      <c r="Q190" s="50" t="str">
        <f>IF(AND('Mapa final'!$AB$110="Baja",'Mapa final'!$AD$110="Moderado"),CONCATENATE("R35C",'Mapa final'!$R$110),"")</f>
        <v>R35C2</v>
      </c>
      <c r="R190" s="111" t="str">
        <f>IF(AND('Mapa final'!$AB$111="Baja",'Mapa final'!$AD$111="Moderado"),CONCATENATE("R35C",'Mapa final'!$R$111),"")</f>
        <v/>
      </c>
      <c r="S190" s="105" t="str">
        <f>IF(AND('Mapa final'!$AB$109="Baja",'Mapa final'!$AD$109="Mayor"),CONCATENATE("R35C",'Mapa final'!$R$109),"")</f>
        <v/>
      </c>
      <c r="T190" s="42" t="str">
        <f>IF(AND('Mapa final'!$AB$110="Baja",'Mapa final'!$AD$110="Mayor"),CONCATENATE("R35C",'Mapa final'!$R$110),"")</f>
        <v/>
      </c>
      <c r="U190" s="106" t="str">
        <f>IF(AND('Mapa final'!$AB$111="Baja",'Mapa final'!$AD$111="Mayor"),CONCATENATE("R35C",'Mapa final'!$R$111),"")</f>
        <v/>
      </c>
      <c r="V190" s="43" t="str">
        <f>IF(AND('Mapa final'!$AB$109="Baja",'Mapa final'!$AD$109="Catastrófico"),CONCATENATE("R35C",'Mapa final'!$R$109),"")</f>
        <v/>
      </c>
      <c r="W190" s="44" t="str">
        <f>IF(AND('Mapa final'!$AB$110="Baja",'Mapa final'!$AD$110="Catastrófico"),CONCATENATE("R35C",'Mapa final'!$R$110),"")</f>
        <v/>
      </c>
      <c r="X190" s="100" t="str">
        <f>IF(AND('Mapa final'!$AB$111="Baja",'Mapa final'!$AD$111="Catastrófico"),CONCATENATE("R35C",'Mapa final'!$R$111),"")</f>
        <v/>
      </c>
      <c r="Y190" s="56"/>
      <c r="Z190" s="316"/>
      <c r="AA190" s="317"/>
      <c r="AB190" s="317"/>
      <c r="AC190" s="317"/>
      <c r="AD190" s="317"/>
      <c r="AE190" s="318"/>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row>
    <row r="191" spans="1:61" ht="15" customHeight="1" x14ac:dyDescent="0.35">
      <c r="A191" s="56"/>
      <c r="B191" s="311"/>
      <c r="C191" s="311"/>
      <c r="D191" s="312"/>
      <c r="E191" s="288"/>
      <c r="F191" s="301"/>
      <c r="G191" s="301"/>
      <c r="H191" s="301"/>
      <c r="I191" s="283"/>
      <c r="J191" s="115" t="str">
        <f>IF(AND('Mapa final'!$AB$112="Baja",'Mapa final'!$AD$112="Leve"),CONCATENATE("R36C",'Mapa final'!$R$112),"")</f>
        <v/>
      </c>
      <c r="K191" s="54" t="str">
        <f>IF(AND('Mapa final'!$AB$113="Baja",'Mapa final'!$AD$113="Leve"),CONCATENATE("R36C",'Mapa final'!$R$113),"")</f>
        <v/>
      </c>
      <c r="L191" s="116" t="str">
        <f>IF(AND('Mapa final'!$AB$114="Baja",'Mapa final'!$AD$114="Leve"),CONCATENATE("R36C",'Mapa final'!$R$114),"")</f>
        <v/>
      </c>
      <c r="M191" s="49" t="str">
        <f>IF(AND('Mapa final'!$AB$112="Baja",'Mapa final'!$AD$112="Menor"),CONCATENATE("R36C",'Mapa final'!$R$112),"")</f>
        <v/>
      </c>
      <c r="N191" s="50" t="str">
        <f>IF(AND('Mapa final'!$AB$113="Baja",'Mapa final'!$AD$113="Menor"),CONCATENATE("R36C",'Mapa final'!$R$113),"")</f>
        <v/>
      </c>
      <c r="O191" s="111" t="str">
        <f>IF(AND('Mapa final'!$AB$114="Baja",'Mapa final'!$AD$114="Menor"),CONCATENATE("R36C",'Mapa final'!$R$114),"")</f>
        <v/>
      </c>
      <c r="P191" s="49" t="str">
        <f>IF(AND('Mapa final'!$AB$112="Baja",'Mapa final'!$AD$112="Moderado"),CONCATENATE("R36C",'Mapa final'!$R$112),"")</f>
        <v/>
      </c>
      <c r="Q191" s="50" t="str">
        <f>IF(AND('Mapa final'!$AB$113="Baja",'Mapa final'!$AD$113="Moderado"),CONCATENATE("R36C",'Mapa final'!$R$113),"")</f>
        <v/>
      </c>
      <c r="R191" s="111" t="str">
        <f>IF(AND('Mapa final'!$AB$114="Baja",'Mapa final'!$AD$114="Moderado"),CONCATENATE("R36C",'Mapa final'!$R$114),"")</f>
        <v/>
      </c>
      <c r="S191" s="105" t="str">
        <f>IF(AND('Mapa final'!$AB$112="Baja",'Mapa final'!$AD$112="Mayor"),CONCATENATE("R36C",'Mapa final'!$R$112),"")</f>
        <v>R36C1</v>
      </c>
      <c r="T191" s="42" t="str">
        <f>IF(AND('Mapa final'!$AB$113="Baja",'Mapa final'!$AD$113="Mayor"),CONCATENATE("R36C",'Mapa final'!$R$113),"")</f>
        <v>R36C2</v>
      </c>
      <c r="U191" s="106" t="str">
        <f>IF(AND('Mapa final'!$AB$114="Baja",'Mapa final'!$AD$114="Mayor"),CONCATENATE("R36C",'Mapa final'!$R$114),"")</f>
        <v/>
      </c>
      <c r="V191" s="43" t="str">
        <f>IF(AND('Mapa final'!$AB$112="Baja",'Mapa final'!$AD$112="Catastrófico"),CONCATENATE("R36C",'Mapa final'!$R$112),"")</f>
        <v/>
      </c>
      <c r="W191" s="44" t="str">
        <f>IF(AND('Mapa final'!$AB$113="Baja",'Mapa final'!$AD$113="Catastrófico"),CONCATENATE("R36C",'Mapa final'!$R$113),"")</f>
        <v/>
      </c>
      <c r="X191" s="100" t="str">
        <f>IF(AND('Mapa final'!$AB$114="Baja",'Mapa final'!$AD$114="Catastrófico"),CONCATENATE("R36C",'Mapa final'!$R$114),"")</f>
        <v/>
      </c>
      <c r="Y191" s="56"/>
      <c r="Z191" s="316"/>
      <c r="AA191" s="317"/>
      <c r="AB191" s="317"/>
      <c r="AC191" s="317"/>
      <c r="AD191" s="317"/>
      <c r="AE191" s="318"/>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row>
    <row r="192" spans="1:61" ht="15" customHeight="1" x14ac:dyDescent="0.35">
      <c r="A192" s="56"/>
      <c r="B192" s="311"/>
      <c r="C192" s="311"/>
      <c r="D192" s="312"/>
      <c r="E192" s="288"/>
      <c r="F192" s="301"/>
      <c r="G192" s="301"/>
      <c r="H192" s="301"/>
      <c r="I192" s="283"/>
      <c r="J192" s="115" t="str">
        <f>IF(AND('Mapa final'!$AB$115="Baja",'Mapa final'!$AD$115="Leve"),CONCATENATE("R37C",'Mapa final'!$R$115),"")</f>
        <v/>
      </c>
      <c r="K192" s="54" t="str">
        <f>IF(AND('Mapa final'!$AB$116="Baja",'Mapa final'!$AD$116="Leve"),CONCATENATE("R37C",'Mapa final'!$R$116),"")</f>
        <v/>
      </c>
      <c r="L192" s="116" t="str">
        <f>IF(AND('Mapa final'!$AB$117="Baja",'Mapa final'!$AD$117="Leve"),CONCATENATE("R37C",'Mapa final'!$R$117),"")</f>
        <v/>
      </c>
      <c r="M192" s="49" t="str">
        <f>IF(AND('Mapa final'!$AB$115="Baja",'Mapa final'!$AD$115="Menor"),CONCATENATE("R37C",'Mapa final'!$R$115),"")</f>
        <v>R37C1</v>
      </c>
      <c r="N192" s="50" t="str">
        <f>IF(AND('Mapa final'!$AB$116="Baja",'Mapa final'!$AD$116="Menor"),CONCATENATE("R37C",'Mapa final'!$R$116),"")</f>
        <v>R37C2</v>
      </c>
      <c r="O192" s="111" t="str">
        <f>IF(AND('Mapa final'!$AB$117="Baja",'Mapa final'!$AD$117="Menor"),CONCATENATE("R37C",'Mapa final'!$R$117),"")</f>
        <v/>
      </c>
      <c r="P192" s="49" t="str">
        <f>IF(AND('Mapa final'!$AB$115="Baja",'Mapa final'!$AD$115="Moderado"),CONCATENATE("R37C",'Mapa final'!$R$115),"")</f>
        <v/>
      </c>
      <c r="Q192" s="50" t="str">
        <f>IF(AND('Mapa final'!$AB$116="Baja",'Mapa final'!$AD$116="Moderado"),CONCATENATE("R37C",'Mapa final'!$R$116),"")</f>
        <v/>
      </c>
      <c r="R192" s="111" t="str">
        <f>IF(AND('Mapa final'!$AB$117="Baja",'Mapa final'!$AD$117="Moderado"),CONCATENATE("R37C",'Mapa final'!$R$117),"")</f>
        <v/>
      </c>
      <c r="S192" s="105" t="str">
        <f>IF(AND('Mapa final'!$AB$115="Baja",'Mapa final'!$AD$115="Mayor"),CONCATENATE("R37C",'Mapa final'!$R$115),"")</f>
        <v/>
      </c>
      <c r="T192" s="42" t="str">
        <f>IF(AND('Mapa final'!$AB$116="Baja",'Mapa final'!$AD$116="Mayor"),CONCATENATE("R37C",'Mapa final'!$R$116),"")</f>
        <v/>
      </c>
      <c r="U192" s="106" t="str">
        <f>IF(AND('Mapa final'!$AB$117="Baja",'Mapa final'!$AD$117="Mayor"),CONCATENATE("R37C",'Mapa final'!$R$117),"")</f>
        <v/>
      </c>
      <c r="V192" s="43" t="str">
        <f>IF(AND('Mapa final'!$AB$115="Baja",'Mapa final'!$AD$115="Catastrófico"),CONCATENATE("R37C",'Mapa final'!$R$115),"")</f>
        <v/>
      </c>
      <c r="W192" s="44" t="str">
        <f>IF(AND('Mapa final'!$AB$116="Baja",'Mapa final'!$AD$116="Catastrófico"),CONCATENATE("R37C",'Mapa final'!$R$116),"")</f>
        <v/>
      </c>
      <c r="X192" s="100" t="str">
        <f>IF(AND('Mapa final'!$AB$117="Baja",'Mapa final'!$AD$117="Catastrófico"),CONCATENATE("R37C",'Mapa final'!$R$117),"")</f>
        <v/>
      </c>
      <c r="Y192" s="56"/>
      <c r="Z192" s="316"/>
      <c r="AA192" s="317"/>
      <c r="AB192" s="317"/>
      <c r="AC192" s="317"/>
      <c r="AD192" s="317"/>
      <c r="AE192" s="318"/>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row>
    <row r="193" spans="1:65" ht="15" customHeight="1" x14ac:dyDescent="0.35">
      <c r="A193" s="56"/>
      <c r="B193" s="311"/>
      <c r="C193" s="311"/>
      <c r="D193" s="312"/>
      <c r="E193" s="288"/>
      <c r="F193" s="301"/>
      <c r="G193" s="301"/>
      <c r="H193" s="301"/>
      <c r="I193" s="283"/>
      <c r="J193" s="115" t="str">
        <f>IF(AND('Mapa final'!$AB$118="Baja",'Mapa final'!$AD$118="Leve"),CONCATENATE("R38C",'Mapa final'!$R$118),"")</f>
        <v/>
      </c>
      <c r="K193" s="54" t="str">
        <f>IF(AND('Mapa final'!$AB$119="Baja",'Mapa final'!$AD$119="Leve"),CONCATENATE("R38C",'Mapa final'!$R$119),"")</f>
        <v/>
      </c>
      <c r="L193" s="116" t="str">
        <f>IF(AND('Mapa final'!$AB$120="Baja",'Mapa final'!$AD$120="Leve"),CONCATENATE("R38C",'Mapa final'!$R$120),"")</f>
        <v/>
      </c>
      <c r="M193" s="49" t="str">
        <f>IF(AND('Mapa final'!$AB$118="Baja",'Mapa final'!$AD$118="Menor"),CONCATENATE("R38C",'Mapa final'!$R$118),"")</f>
        <v>R38C1</v>
      </c>
      <c r="N193" s="50" t="str">
        <f>IF(AND('Mapa final'!$AB$119="Baja",'Mapa final'!$AD$119="Menor"),CONCATENATE("R38C",'Mapa final'!$R$119),"")</f>
        <v/>
      </c>
      <c r="O193" s="111" t="str">
        <f>IF(AND('Mapa final'!$AB$120="Baja",'Mapa final'!$AD$120="Menor"),CONCATENATE("R38C",'Mapa final'!$R$120),"")</f>
        <v/>
      </c>
      <c r="P193" s="49" t="str">
        <f>IF(AND('Mapa final'!$AB$118="Baja",'Mapa final'!$AD$118="Moderado"),CONCATENATE("R38C",'Mapa final'!$R$118),"")</f>
        <v/>
      </c>
      <c r="Q193" s="50" t="str">
        <f>IF(AND('Mapa final'!$AB$119="Baja",'Mapa final'!$AD$119="Moderado"),CONCATENATE("R38C",'Mapa final'!$R$119),"")</f>
        <v/>
      </c>
      <c r="R193" s="111" t="str">
        <f>IF(AND('Mapa final'!$AB$120="Baja",'Mapa final'!$AD$120="Moderado"),CONCATENATE("R38C",'Mapa final'!$R$120),"")</f>
        <v/>
      </c>
      <c r="S193" s="105" t="str">
        <f>IF(AND('Mapa final'!$AB$118="Baja",'Mapa final'!$AD$118="Mayor"),CONCATENATE("R38C",'Mapa final'!$R$118),"")</f>
        <v/>
      </c>
      <c r="T193" s="42" t="str">
        <f>IF(AND('Mapa final'!$AB$119="Baja",'Mapa final'!$AD$119="Mayor"),CONCATENATE("R38C",'Mapa final'!$R$119),"")</f>
        <v/>
      </c>
      <c r="U193" s="106" t="str">
        <f>IF(AND('Mapa final'!$AB$120="Baja",'Mapa final'!$AD$120="Mayor"),CONCATENATE("R38C",'Mapa final'!$R$120),"")</f>
        <v/>
      </c>
      <c r="V193" s="43" t="str">
        <f>IF(AND('Mapa final'!$AB$118="Baja",'Mapa final'!$AD$118="Catastrófico"),CONCATENATE("R38C",'Mapa final'!$R$118),"")</f>
        <v/>
      </c>
      <c r="W193" s="44" t="str">
        <f>IF(AND('Mapa final'!$AB$119="Baja",'Mapa final'!$AD$119="Catastrófico"),CONCATENATE("R38C",'Mapa final'!$R$119),"")</f>
        <v/>
      </c>
      <c r="X193" s="100" t="str">
        <f>IF(AND('Mapa final'!$AB$120="Baja",'Mapa final'!$AD$120="Catastrófico"),CONCATENATE("R38C",'Mapa final'!$R$120),"")</f>
        <v/>
      </c>
      <c r="Y193" s="56"/>
      <c r="Z193" s="316"/>
      <c r="AA193" s="317"/>
      <c r="AB193" s="317"/>
      <c r="AC193" s="317"/>
      <c r="AD193" s="317"/>
      <c r="AE193" s="318"/>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row>
    <row r="194" spans="1:65" ht="15" customHeight="1" x14ac:dyDescent="0.35">
      <c r="A194" s="56"/>
      <c r="B194" s="311"/>
      <c r="C194" s="311"/>
      <c r="D194" s="312"/>
      <c r="E194" s="288"/>
      <c r="F194" s="301"/>
      <c r="G194" s="301"/>
      <c r="H194" s="301"/>
      <c r="I194" s="283"/>
      <c r="J194" s="115" t="str">
        <f>IF(AND('Mapa final'!$AB$121="Baja",'Mapa final'!$AD$121="Leve"),CONCATENATE("R39C",'Mapa final'!$R$121),"")</f>
        <v/>
      </c>
      <c r="K194" s="54" t="str">
        <f>IF(AND('Mapa final'!$AB$122="Baja",'Mapa final'!$AD$122="Leve"),CONCATENATE("R39C",'Mapa final'!$R$122),"")</f>
        <v/>
      </c>
      <c r="L194" s="116" t="str">
        <f>IF(AND('Mapa final'!$AB$123="Baja",'Mapa final'!$AD$123="Leve"),CONCATENATE("R39C",'Mapa final'!$R$123),"")</f>
        <v/>
      </c>
      <c r="M194" s="49" t="str">
        <f>IF(AND('Mapa final'!$AB$121="Baja",'Mapa final'!$AD$121="Menor"),CONCATENATE("R39C",'Mapa final'!$R$121),"")</f>
        <v/>
      </c>
      <c r="N194" s="50" t="str">
        <f>IF(AND('Mapa final'!$AB$122="Baja",'Mapa final'!$AD$122="Menor"),CONCATENATE("R39C",'Mapa final'!$R$122),"")</f>
        <v>R39C2</v>
      </c>
      <c r="O194" s="111" t="str">
        <f>IF(AND('Mapa final'!$AB$123="Baja",'Mapa final'!$AD$123="Menor"),CONCATENATE("R39C",'Mapa final'!$R$123),"")</f>
        <v>R39C3</v>
      </c>
      <c r="P194" s="49" t="str">
        <f>IF(AND('Mapa final'!$AB$121="Baja",'Mapa final'!$AD$121="Moderado"),CONCATENATE("R39C",'Mapa final'!$R$121),"")</f>
        <v/>
      </c>
      <c r="Q194" s="50" t="str">
        <f>IF(AND('Mapa final'!$AB$122="Baja",'Mapa final'!$AD$122="Moderado"),CONCATENATE("R39C",'Mapa final'!$R$122),"")</f>
        <v/>
      </c>
      <c r="R194" s="111" t="str">
        <f>IF(AND('Mapa final'!$AB$123="Baja",'Mapa final'!$AD$123="Moderado"),CONCATENATE("R39C",'Mapa final'!$R$123),"")</f>
        <v/>
      </c>
      <c r="S194" s="105" t="str">
        <f>IF(AND('Mapa final'!$AB$121="Baja",'Mapa final'!$AD$121="Mayor"),CONCATENATE("R39C",'Mapa final'!$R$121),"")</f>
        <v/>
      </c>
      <c r="T194" s="42" t="str">
        <f>IF(AND('Mapa final'!$AB$122="Baja",'Mapa final'!$AD$122="Mayor"),CONCATENATE("R39C",'Mapa final'!$R$122),"")</f>
        <v/>
      </c>
      <c r="U194" s="106" t="str">
        <f>IF(AND('Mapa final'!$AB$123="Baja",'Mapa final'!$AD$123="Mayor"),CONCATENATE("R39C",'Mapa final'!$R$123),"")</f>
        <v/>
      </c>
      <c r="V194" s="43" t="str">
        <f>IF(AND('Mapa final'!$AB$121="Baja",'Mapa final'!$AD$121="Catastrófico"),CONCATENATE("R39C",'Mapa final'!$R$121),"")</f>
        <v/>
      </c>
      <c r="W194" s="44" t="str">
        <f>IF(AND('Mapa final'!$AB$122="Baja",'Mapa final'!$AD$122="Catastrófico"),CONCATENATE("R39C",'Mapa final'!$R$122),"")</f>
        <v/>
      </c>
      <c r="X194" s="100" t="str">
        <f>IF(AND('Mapa final'!$AB$123="Baja",'Mapa final'!$AD$123="Catastrófico"),CONCATENATE("R39C",'Mapa final'!$R$123),"")</f>
        <v/>
      </c>
      <c r="Y194" s="56"/>
      <c r="Z194" s="316"/>
      <c r="AA194" s="317"/>
      <c r="AB194" s="317"/>
      <c r="AC194" s="317"/>
      <c r="AD194" s="317"/>
      <c r="AE194" s="318"/>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row>
    <row r="195" spans="1:65" ht="15" customHeight="1" x14ac:dyDescent="0.35">
      <c r="A195" s="56"/>
      <c r="B195" s="311"/>
      <c r="C195" s="311"/>
      <c r="D195" s="312"/>
      <c r="E195" s="288"/>
      <c r="F195" s="301"/>
      <c r="G195" s="301"/>
      <c r="H195" s="301"/>
      <c r="I195" s="283"/>
      <c r="J195" s="115" t="str">
        <f>IF(AND('Mapa final'!$AB$124="Baja",'Mapa final'!$AD$124="Leve"),CONCATENATE("R40C",'Mapa final'!$R$124),"")</f>
        <v/>
      </c>
      <c r="K195" s="54" t="str">
        <f>IF(AND('Mapa final'!$AB$125="Baja",'Mapa final'!$AD$125="Leve"),CONCATENATE("R40C",'Mapa final'!$R$125),"")</f>
        <v>R40C2</v>
      </c>
      <c r="L195" s="116" t="str">
        <f>IF(AND('Mapa final'!$AB$126="Baja",'Mapa final'!$AD$126="Leve"),CONCATENATE("R40C",'Mapa final'!$R$126),"")</f>
        <v/>
      </c>
      <c r="M195" s="49" t="str">
        <f>IF(AND('Mapa final'!$AB$124="Baja",'Mapa final'!$AD$124="Menor"),CONCATENATE("R40C",'Mapa final'!$R$124),"")</f>
        <v/>
      </c>
      <c r="N195" s="50" t="str">
        <f>IF(AND('Mapa final'!$AB$125="Baja",'Mapa final'!$AD$125="Menor"),CONCATENATE("R40C",'Mapa final'!$R$125),"")</f>
        <v/>
      </c>
      <c r="O195" s="111" t="str">
        <f>IF(AND('Mapa final'!$AB$126="Baja",'Mapa final'!$AD$126="Menor"),CONCATENATE("R40C",'Mapa final'!$R$126),"")</f>
        <v/>
      </c>
      <c r="P195" s="49" t="str">
        <f>IF(AND('Mapa final'!$AB$124="Baja",'Mapa final'!$AD$124="Moderado"),CONCATENATE("R40C",'Mapa final'!$R$124),"")</f>
        <v>R40C1</v>
      </c>
      <c r="Q195" s="50" t="str">
        <f>IF(AND('Mapa final'!$AB$125="Baja",'Mapa final'!$AD$125="Moderado"),CONCATENATE("R40C",'Mapa final'!$R$125),"")</f>
        <v/>
      </c>
      <c r="R195" s="111" t="str">
        <f>IF(AND('Mapa final'!$AB$126="Baja",'Mapa final'!$AD$126="Moderado"),CONCATENATE("R40C",'Mapa final'!$R$126),"")</f>
        <v/>
      </c>
      <c r="S195" s="105" t="str">
        <f>IF(AND('Mapa final'!$AB$124="Baja",'Mapa final'!$AD$124="Mayor"),CONCATENATE("R40C",'Mapa final'!$R$124),"")</f>
        <v/>
      </c>
      <c r="T195" s="42" t="str">
        <f>IF(AND('Mapa final'!$AB$125="Baja",'Mapa final'!$AD$125="Mayor"),CONCATENATE("R40C",'Mapa final'!$R$125),"")</f>
        <v/>
      </c>
      <c r="U195" s="106" t="str">
        <f>IF(AND('Mapa final'!$AB$126="Baja",'Mapa final'!$AD$126="Mayor"),CONCATENATE("R40C",'Mapa final'!$R$126),"")</f>
        <v/>
      </c>
      <c r="V195" s="43" t="str">
        <f>IF(AND('Mapa final'!$AB$124="Baja",'Mapa final'!$AD$124="Catastrófico"),CONCATENATE("R40C",'Mapa final'!$R$124),"")</f>
        <v/>
      </c>
      <c r="W195" s="44" t="str">
        <f>IF(AND('Mapa final'!$AB$125="Baja",'Mapa final'!$AD$125="Catastrófico"),CONCATENATE("R40C",'Mapa final'!$R$125),"")</f>
        <v/>
      </c>
      <c r="X195" s="100" t="str">
        <f>IF(AND('Mapa final'!$AB$126="Baja",'Mapa final'!$AD$126="Catastrófico"),CONCATENATE("R40C",'Mapa final'!$R$126),"")</f>
        <v/>
      </c>
      <c r="Y195" s="56"/>
      <c r="Z195" s="316"/>
      <c r="AA195" s="317"/>
      <c r="AB195" s="317"/>
      <c r="AC195" s="317"/>
      <c r="AD195" s="317"/>
      <c r="AE195" s="318"/>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row>
    <row r="196" spans="1:65" ht="15" customHeight="1" x14ac:dyDescent="0.35">
      <c r="A196" s="56"/>
      <c r="B196" s="311"/>
      <c r="C196" s="311"/>
      <c r="D196" s="312"/>
      <c r="E196" s="288"/>
      <c r="F196" s="301"/>
      <c r="G196" s="301"/>
      <c r="H196" s="301"/>
      <c r="I196" s="283"/>
      <c r="J196" s="115" t="str">
        <f>IF(AND('Mapa final'!$AB$127="Baja",'Mapa final'!$AD$127="Leve"),CONCATENATE("R41C",'Mapa final'!$R$127),"")</f>
        <v/>
      </c>
      <c r="K196" s="54" t="str">
        <f>IF(AND('Mapa final'!$AB$128="Baja",'Mapa final'!$AD$128="Leve"),CONCATENATE("R41C",'Mapa final'!$R$128),"")</f>
        <v/>
      </c>
      <c r="L196" s="116" t="str">
        <f>IF(AND('Mapa final'!$AB$129="Baja",'Mapa final'!$AD$129="Leve"),CONCATENATE("R41C",'Mapa final'!$R$129),"")</f>
        <v/>
      </c>
      <c r="M196" s="49" t="str">
        <f>IF(AND('Mapa final'!$AB$127="Baja",'Mapa final'!$AD$127="Menor"),CONCATENATE("R41C",'Mapa final'!$R$127),"")</f>
        <v/>
      </c>
      <c r="N196" s="50" t="str">
        <f>IF(AND('Mapa final'!$AB$128="Baja",'Mapa final'!$AD$128="Menor"),CONCATENATE("R41C",'Mapa final'!$R$128),"")</f>
        <v/>
      </c>
      <c r="O196" s="111" t="str">
        <f>IF(AND('Mapa final'!$AB$129="Baja",'Mapa final'!$AD$129="Menor"),CONCATENATE("R41C",'Mapa final'!$R$129),"")</f>
        <v/>
      </c>
      <c r="P196" s="49" t="str">
        <f>IF(AND('Mapa final'!$AB$127="Baja",'Mapa final'!$AD$127="Moderado"),CONCATENATE("R41C",'Mapa final'!$R$127),"")</f>
        <v/>
      </c>
      <c r="Q196" s="50" t="str">
        <f>IF(AND('Mapa final'!$AB$128="Baja",'Mapa final'!$AD$128="Moderado"),CONCATENATE("R41C",'Mapa final'!$R$128),"")</f>
        <v/>
      </c>
      <c r="R196" s="111" t="str">
        <f>IF(AND('Mapa final'!$AB$129="Baja",'Mapa final'!$AD$129="Moderado"),CONCATENATE("R41C",'Mapa final'!$R$129),"")</f>
        <v/>
      </c>
      <c r="S196" s="105" t="str">
        <f>IF(AND('Mapa final'!$AB$127="Baja",'Mapa final'!$AD$127="Mayor"),CONCATENATE("R41C",'Mapa final'!$R$127),"")</f>
        <v/>
      </c>
      <c r="T196" s="42" t="str">
        <f>IF(AND('Mapa final'!$AB$128="Baja",'Mapa final'!$AD$128="Mayor"),CONCATENATE("R41C",'Mapa final'!$R$128),"")</f>
        <v/>
      </c>
      <c r="U196" s="106" t="str">
        <f>IF(AND('Mapa final'!$AB$129="Baja",'Mapa final'!$AD$129="Mayor"),CONCATENATE("R41C",'Mapa final'!$R$129),"")</f>
        <v/>
      </c>
      <c r="V196" s="43" t="str">
        <f>IF(AND('Mapa final'!$AB$127="Baja",'Mapa final'!$AD$127="Catastrófico"),CONCATENATE("R41C",'Mapa final'!$R$127),"")</f>
        <v/>
      </c>
      <c r="W196" s="44" t="str">
        <f>IF(AND('Mapa final'!$AB$128="Baja",'Mapa final'!$AD$128="Catastrófico"),CONCATENATE("R41C",'Mapa final'!$R$128),"")</f>
        <v/>
      </c>
      <c r="X196" s="100" t="str">
        <f>IF(AND('Mapa final'!$AB$129="Baja",'Mapa final'!$AD$129="Catastrófico"),CONCATENATE("R41C",'Mapa final'!$R$129),"")</f>
        <v/>
      </c>
      <c r="Y196" s="56"/>
      <c r="Z196" s="316"/>
      <c r="AA196" s="317"/>
      <c r="AB196" s="317"/>
      <c r="AC196" s="317"/>
      <c r="AD196" s="317"/>
      <c r="AE196" s="318"/>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row>
    <row r="197" spans="1:65" ht="15" customHeight="1" x14ac:dyDescent="0.35">
      <c r="A197" s="56"/>
      <c r="B197" s="311"/>
      <c r="C197" s="311"/>
      <c r="D197" s="312"/>
      <c r="E197" s="288"/>
      <c r="F197" s="301"/>
      <c r="G197" s="301"/>
      <c r="H197" s="301"/>
      <c r="I197" s="283"/>
      <c r="J197" s="115" t="str">
        <f>IF(AND('Mapa final'!$AB$130="Baja",'Mapa final'!$AD$130="Leve"),CONCATENATE("R42C",'Mapa final'!$R$130),"")</f>
        <v/>
      </c>
      <c r="K197" s="54" t="str">
        <f>IF(AND('Mapa final'!$AB$131="Baja",'Mapa final'!$AD$131="Leve"),CONCATENATE("R42C",'Mapa final'!$R$131),"")</f>
        <v/>
      </c>
      <c r="L197" s="116" t="str">
        <f>IF(AND('Mapa final'!$AB$132="Baja",'Mapa final'!$AD$132="Leve"),CONCATENATE("R42C",'Mapa final'!$R$132),"")</f>
        <v/>
      </c>
      <c r="M197" s="49" t="str">
        <f>IF(AND('Mapa final'!$AB$130="Baja",'Mapa final'!$AD$130="Menor"),CONCATENATE("R42C",'Mapa final'!$R$130),"")</f>
        <v/>
      </c>
      <c r="N197" s="50" t="str">
        <f>IF(AND('Mapa final'!$AB$131="Baja",'Mapa final'!$AD$131="Menor"),CONCATENATE("R42C",'Mapa final'!$R$131),"")</f>
        <v/>
      </c>
      <c r="O197" s="111" t="str">
        <f>IF(AND('Mapa final'!$AB$132="Baja",'Mapa final'!$AD$132="Menor"),CONCATENATE("R42C",'Mapa final'!$R$132),"")</f>
        <v/>
      </c>
      <c r="P197" s="49" t="str">
        <f>IF(AND('Mapa final'!$AB$130="Baja",'Mapa final'!$AD$130="Moderado"),CONCATENATE("R42C",'Mapa final'!$R$130),"")</f>
        <v>R42C1</v>
      </c>
      <c r="Q197" s="50" t="str">
        <f>IF(AND('Mapa final'!$AB$131="Baja",'Mapa final'!$AD$131="Moderado"),CONCATENATE("R42C",'Mapa final'!$R$131),"")</f>
        <v/>
      </c>
      <c r="R197" s="111" t="str">
        <f>IF(AND('Mapa final'!$AB$132="Baja",'Mapa final'!$AD$132="Moderado"),CONCATENATE("R42C",'Mapa final'!$R$132),"")</f>
        <v/>
      </c>
      <c r="S197" s="105" t="str">
        <f>IF(AND('Mapa final'!$AB$130="Baja",'Mapa final'!$AD$130="Mayor"),CONCATENATE("R42C",'Mapa final'!$R$130),"")</f>
        <v/>
      </c>
      <c r="T197" s="42" t="str">
        <f>IF(AND('Mapa final'!$AB$131="Baja",'Mapa final'!$AD$131="Mayor"),CONCATENATE("R42C",'Mapa final'!$R$131),"")</f>
        <v/>
      </c>
      <c r="U197" s="106" t="str">
        <f>IF(AND('Mapa final'!$AB$132="Baja",'Mapa final'!$AD$132="Mayor"),CONCATENATE("R42C",'Mapa final'!$R$132),"")</f>
        <v/>
      </c>
      <c r="V197" s="43" t="str">
        <f>IF(AND('Mapa final'!$AB$130="Baja",'Mapa final'!$AD$130="Catastrófico"),CONCATENATE("R42C",'Mapa final'!$R$130),"")</f>
        <v/>
      </c>
      <c r="W197" s="44" t="str">
        <f>IF(AND('Mapa final'!$AB$131="Baja",'Mapa final'!$AD$131="Catastrófico"),CONCATENATE("R42C",'Mapa final'!$R$131),"")</f>
        <v/>
      </c>
      <c r="X197" s="100" t="str">
        <f>IF(AND('Mapa final'!$AB$132="Baja",'Mapa final'!$AD$132="Catastrófico"),CONCATENATE("R42C",'Mapa final'!$R$132),"")</f>
        <v/>
      </c>
      <c r="Y197" s="56"/>
      <c r="Z197" s="316"/>
      <c r="AA197" s="317"/>
      <c r="AB197" s="317"/>
      <c r="AC197" s="317"/>
      <c r="AD197" s="317"/>
      <c r="AE197" s="318"/>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row>
    <row r="198" spans="1:65" ht="15" customHeight="1" x14ac:dyDescent="0.35">
      <c r="A198" s="56"/>
      <c r="B198" s="311"/>
      <c r="C198" s="311"/>
      <c r="D198" s="312"/>
      <c r="E198" s="288"/>
      <c r="F198" s="301"/>
      <c r="G198" s="301"/>
      <c r="H198" s="301"/>
      <c r="I198" s="283"/>
      <c r="J198" s="115" t="str">
        <f>IF(AND('Mapa final'!$AB$133="Baja",'Mapa final'!$AD$133="Leve"),CONCATENATE("R43C",'Mapa final'!$R$133),"")</f>
        <v/>
      </c>
      <c r="K198" s="54" t="str">
        <f>IF(AND('Mapa final'!$AB$134="Baja",'Mapa final'!$AD$134="Leve"),CONCATENATE("R43C",'Mapa final'!$R$134),"")</f>
        <v/>
      </c>
      <c r="L198" s="116" t="str">
        <f>IF(AND('Mapa final'!$AB$135="Baja",'Mapa final'!$AD$135="Leve"),CONCATENATE("R43C",'Mapa final'!$R$135),"")</f>
        <v/>
      </c>
      <c r="M198" s="49" t="str">
        <f>IF(AND('Mapa final'!$AB$133="Baja",'Mapa final'!$AD$133="Menor"),CONCATENATE("R43C",'Mapa final'!$R$133),"")</f>
        <v/>
      </c>
      <c r="N198" s="50" t="str">
        <f>IF(AND('Mapa final'!$AB$134="Baja",'Mapa final'!$AD$134="Menor"),CONCATENATE("R43C",'Mapa final'!$R$134),"")</f>
        <v/>
      </c>
      <c r="O198" s="111" t="str">
        <f>IF(AND('Mapa final'!$AB$135="Baja",'Mapa final'!$AD$135="Menor"),CONCATENATE("R43C",'Mapa final'!$R$135),"")</f>
        <v/>
      </c>
      <c r="P198" s="49" t="str">
        <f>IF(AND('Mapa final'!$AB$133="Baja",'Mapa final'!$AD$133="Moderado"),CONCATENATE("R43C",'Mapa final'!$R$133),"")</f>
        <v/>
      </c>
      <c r="Q198" s="50" t="str">
        <f>IF(AND('Mapa final'!$AB$134="Baja",'Mapa final'!$AD$134="Moderado"),CONCATENATE("R43C",'Mapa final'!$R$134),"")</f>
        <v/>
      </c>
      <c r="R198" s="111" t="str">
        <f>IF(AND('Mapa final'!$AB$135="Baja",'Mapa final'!$AD$135="Moderado"),CONCATENATE("R43C",'Mapa final'!$R$135),"")</f>
        <v/>
      </c>
      <c r="S198" s="105" t="str">
        <f>IF(AND('Mapa final'!$AB$133="Baja",'Mapa final'!$AD$133="Mayor"),CONCATENATE("R43C",'Mapa final'!$R$133),"")</f>
        <v/>
      </c>
      <c r="T198" s="42" t="str">
        <f>IF(AND('Mapa final'!$AB$134="Baja",'Mapa final'!$AD$134="Mayor"),CONCATENATE("R43C",'Mapa final'!$R$134),"")</f>
        <v>R43C2</v>
      </c>
      <c r="U198" s="106" t="str">
        <f>IF(AND('Mapa final'!$AB$135="Baja",'Mapa final'!$AD$135="Mayor"),CONCATENATE("R43C",'Mapa final'!$R$135),"")</f>
        <v/>
      </c>
      <c r="V198" s="43" t="str">
        <f>IF(AND('Mapa final'!$AB$133="Baja",'Mapa final'!$AD$133="Catastrófico"),CONCATENATE("R43C",'Mapa final'!$R$133),"")</f>
        <v/>
      </c>
      <c r="W198" s="44" t="str">
        <f>IF(AND('Mapa final'!$AB$134="Baja",'Mapa final'!$AD$134="Catastrófico"),CONCATENATE("R43C",'Mapa final'!$R$134),"")</f>
        <v/>
      </c>
      <c r="X198" s="100" t="str">
        <f>IF(AND('Mapa final'!$AB$135="Baja",'Mapa final'!$AD$135="Catastrófico"),CONCATENATE("R43C",'Mapa final'!$R$135),"")</f>
        <v/>
      </c>
      <c r="Y198" s="56"/>
      <c r="Z198" s="316"/>
      <c r="AA198" s="317"/>
      <c r="AB198" s="317"/>
      <c r="AC198" s="317"/>
      <c r="AD198" s="317"/>
      <c r="AE198" s="318"/>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row>
    <row r="199" spans="1:65" ht="15" customHeight="1" x14ac:dyDescent="0.35">
      <c r="A199" s="56"/>
      <c r="B199" s="311"/>
      <c r="C199" s="311"/>
      <c r="D199" s="312"/>
      <c r="E199" s="288"/>
      <c r="F199" s="301"/>
      <c r="G199" s="301"/>
      <c r="H199" s="301"/>
      <c r="I199" s="283"/>
      <c r="J199" s="115" t="str">
        <f>IF(AND('Mapa final'!$AB$136="Baja",'Mapa final'!$AD$136="Leve"),CONCATENATE("R44C",'Mapa final'!$R$136),"")</f>
        <v/>
      </c>
      <c r="K199" s="54" t="str">
        <f>IF(AND('Mapa final'!$AB$137="Baja",'Mapa final'!$AD$137="Leve"),CONCATENATE("R44C",'Mapa final'!$R$137),"")</f>
        <v/>
      </c>
      <c r="L199" s="116" t="str">
        <f>IF(AND('Mapa final'!$AB$138="Baja",'Mapa final'!$AD$138="Leve"),CONCATENATE("R44C",'Mapa final'!$R$138),"")</f>
        <v/>
      </c>
      <c r="M199" s="49" t="str">
        <f>IF(AND('Mapa final'!$AB$136="Baja",'Mapa final'!$AD$136="Menor"),CONCATENATE("R44C",'Mapa final'!$R$136),"")</f>
        <v/>
      </c>
      <c r="N199" s="50" t="str">
        <f>IF(AND('Mapa final'!$AB$137="Baja",'Mapa final'!$AD$137="Menor"),CONCATENATE("R44C",'Mapa final'!$R$137),"")</f>
        <v/>
      </c>
      <c r="O199" s="111" t="str">
        <f>IF(AND('Mapa final'!$AB$138="Baja",'Mapa final'!$AD$138="Menor"),CONCATENATE("R44C",'Mapa final'!$R$138),"")</f>
        <v/>
      </c>
      <c r="P199" s="49" t="str">
        <f>IF(AND('Mapa final'!$AB$136="Baja",'Mapa final'!$AD$136="Moderado"),CONCATENATE("R44C",'Mapa final'!$R$136),"")</f>
        <v/>
      </c>
      <c r="Q199" s="50" t="str">
        <f>IF(AND('Mapa final'!$AB$137="Baja",'Mapa final'!$AD$137="Moderado"),CONCATENATE("R44C",'Mapa final'!$R$137),"")</f>
        <v>R44C2</v>
      </c>
      <c r="R199" s="111" t="str">
        <f>IF(AND('Mapa final'!$AB$138="Baja",'Mapa final'!$AD$138="Moderado"),CONCATENATE("R44C",'Mapa final'!$R$138),"")</f>
        <v>R44C3</v>
      </c>
      <c r="S199" s="105" t="str">
        <f>IF(AND('Mapa final'!$AB$136="Baja",'Mapa final'!$AD$136="Mayor"),CONCATENATE("R44C",'Mapa final'!$R$136),"")</f>
        <v/>
      </c>
      <c r="T199" s="42" t="str">
        <f>IF(AND('Mapa final'!$AB$137="Baja",'Mapa final'!$AD$137="Mayor"),CONCATENATE("R44C",'Mapa final'!$R$137),"")</f>
        <v/>
      </c>
      <c r="U199" s="106" t="str">
        <f>IF(AND('Mapa final'!$AB$138="Baja",'Mapa final'!$AD$138="Mayor"),CONCATENATE("R44C",'Mapa final'!$R$138),"")</f>
        <v/>
      </c>
      <c r="V199" s="43" t="str">
        <f>IF(AND('Mapa final'!$AB$136="Baja",'Mapa final'!$AD$136="Catastrófico"),CONCATENATE("R44C",'Mapa final'!$R$136),"")</f>
        <v/>
      </c>
      <c r="W199" s="44" t="str">
        <f>IF(AND('Mapa final'!$AB$137="Baja",'Mapa final'!$AD$137="Catastrófico"),CONCATENATE("R44C",'Mapa final'!$R$137),"")</f>
        <v/>
      </c>
      <c r="X199" s="100" t="str">
        <f>IF(AND('Mapa final'!$AB$138="Baja",'Mapa final'!$AD$138="Catastrófico"),CONCATENATE("R44C",'Mapa final'!$R$138),"")</f>
        <v/>
      </c>
      <c r="Y199" s="56"/>
      <c r="Z199" s="316"/>
      <c r="AA199" s="317"/>
      <c r="AB199" s="317"/>
      <c r="AC199" s="317"/>
      <c r="AD199" s="317"/>
      <c r="AE199" s="318"/>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row>
    <row r="200" spans="1:65" ht="15" customHeight="1" x14ac:dyDescent="0.35">
      <c r="A200" s="56"/>
      <c r="B200" s="311"/>
      <c r="C200" s="311"/>
      <c r="D200" s="312"/>
      <c r="E200" s="288"/>
      <c r="F200" s="301"/>
      <c r="G200" s="301"/>
      <c r="H200" s="301"/>
      <c r="I200" s="283"/>
      <c r="J200" s="115" t="str">
        <f>IF(AND('Mapa final'!$AB$139="Baja",'Mapa final'!$AD$139="Leve"),CONCATENATE("R45C",'Mapa final'!$R$139),"")</f>
        <v/>
      </c>
      <c r="K200" s="54" t="str">
        <f>IF(AND('Mapa final'!$AB$140="Baja",'Mapa final'!$AD$140="Leve"),CONCATENATE("R45C",'Mapa final'!$R$140),"")</f>
        <v/>
      </c>
      <c r="L200" s="116" t="str">
        <f>IF(AND('Mapa final'!$AB$141="Baja",'Mapa final'!$AD$141="Leve"),CONCATENATE("R45C",'Mapa final'!$R$141),"")</f>
        <v/>
      </c>
      <c r="M200" s="49" t="str">
        <f>IF(AND('Mapa final'!$AB$139="Baja",'Mapa final'!$AD$139="Menor"),CONCATENATE("R45C",'Mapa final'!$R$139),"")</f>
        <v/>
      </c>
      <c r="N200" s="50" t="str">
        <f>IF(AND('Mapa final'!$AB$140="Baja",'Mapa final'!$AD$140="Menor"),CONCATENATE("R45C",'Mapa final'!$R$140),"")</f>
        <v/>
      </c>
      <c r="O200" s="111" t="str">
        <f>IF(AND('Mapa final'!$AB$141="Baja",'Mapa final'!$AD$141="Menor"),CONCATENATE("R45C",'Mapa final'!$R$141),"")</f>
        <v/>
      </c>
      <c r="P200" s="49" t="str">
        <f>IF(AND('Mapa final'!$AB$139="Baja",'Mapa final'!$AD$139="Moderado"),CONCATENATE("R45C",'Mapa final'!$R$139),"")</f>
        <v/>
      </c>
      <c r="Q200" s="50" t="str">
        <f>IF(AND('Mapa final'!$AB$140="Baja",'Mapa final'!$AD$140="Moderado"),CONCATENATE("R45C",'Mapa final'!$R$140),"")</f>
        <v/>
      </c>
      <c r="R200" s="111" t="str">
        <f>IF(AND('Mapa final'!$AB$141="Baja",'Mapa final'!$AD$141="Moderado"),CONCATENATE("R45C",'Mapa final'!$R$141),"")</f>
        <v/>
      </c>
      <c r="S200" s="105" t="str">
        <f>IF(AND('Mapa final'!$AB$139="Baja",'Mapa final'!$AD$139="Mayor"),CONCATENATE("R45C",'Mapa final'!$R$139),"")</f>
        <v/>
      </c>
      <c r="T200" s="42" t="str">
        <f>IF(AND('Mapa final'!$AB$140="Baja",'Mapa final'!$AD$140="Mayor"),CONCATENATE("R45C",'Mapa final'!$R$140),"")</f>
        <v/>
      </c>
      <c r="U200" s="106" t="str">
        <f>IF(AND('Mapa final'!$AB$141="Baja",'Mapa final'!$AD$141="Mayor"),CONCATENATE("R45C",'Mapa final'!$R$141),"")</f>
        <v/>
      </c>
      <c r="V200" s="43" t="str">
        <f>IF(AND('Mapa final'!$AB$139="Baja",'Mapa final'!$AD$139="Catastrófico"),CONCATENATE("R45C",'Mapa final'!$R$139),"")</f>
        <v/>
      </c>
      <c r="W200" s="44" t="str">
        <f>IF(AND('Mapa final'!$AB$140="Baja",'Mapa final'!$AD$140="Catastrófico"),CONCATENATE("R45C",'Mapa final'!$R$140),"")</f>
        <v/>
      </c>
      <c r="X200" s="100" t="str">
        <f>IF(AND('Mapa final'!$AB$141="Baja",'Mapa final'!$AD$141="Catastrófico"),CONCATENATE("R45C",'Mapa final'!$R$141),"")</f>
        <v/>
      </c>
      <c r="Y200" s="56"/>
      <c r="Z200" s="316"/>
      <c r="AA200" s="317"/>
      <c r="AB200" s="317"/>
      <c r="AC200" s="317"/>
      <c r="AD200" s="317"/>
      <c r="AE200" s="318"/>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row>
    <row r="201" spans="1:65" ht="15" customHeight="1" x14ac:dyDescent="0.35">
      <c r="A201" s="56"/>
      <c r="B201" s="311"/>
      <c r="C201" s="311"/>
      <c r="D201" s="312"/>
      <c r="E201" s="288"/>
      <c r="F201" s="301"/>
      <c r="G201" s="301"/>
      <c r="H201" s="301"/>
      <c r="I201" s="283"/>
      <c r="J201" s="115" t="str">
        <f>IF(AND('Mapa final'!$AB$142="Baja",'Mapa final'!$AD$142="Leve"),CONCATENATE("R46C",'Mapa final'!$R$142),"")</f>
        <v/>
      </c>
      <c r="K201" s="54" t="str">
        <f>IF(AND('Mapa final'!$AB$143="Baja",'Mapa final'!$AD$143="Leve"),CONCATENATE("R46C",'Mapa final'!$R$143),"")</f>
        <v/>
      </c>
      <c r="L201" s="116" t="str">
        <f>IF(AND('Mapa final'!$AB$144="Baja",'Mapa final'!$AD$144="Leve"),CONCATENATE("R46C",'Mapa final'!$R$144),"")</f>
        <v/>
      </c>
      <c r="M201" s="49" t="str">
        <f>IF(AND('Mapa final'!$AB$142="Baja",'Mapa final'!$AD$142="Menor"),CONCATENATE("R46C",'Mapa final'!$R$142),"")</f>
        <v/>
      </c>
      <c r="N201" s="50" t="str">
        <f>IF(AND('Mapa final'!$AB$143="Baja",'Mapa final'!$AD$143="Menor"),CONCATENATE("R46C",'Mapa final'!$R$143),"")</f>
        <v/>
      </c>
      <c r="O201" s="111" t="str">
        <f>IF(AND('Mapa final'!$AB$144="Baja",'Mapa final'!$AD$144="Menor"),CONCATENATE("R46C",'Mapa final'!$R$144),"")</f>
        <v/>
      </c>
      <c r="P201" s="49" t="str">
        <f>IF(AND('Mapa final'!$AB$142="Baja",'Mapa final'!$AD$142="Moderado"),CONCATENATE("R46C",'Mapa final'!$R$142),"")</f>
        <v/>
      </c>
      <c r="Q201" s="50" t="str">
        <f>IF(AND('Mapa final'!$AB$143="Baja",'Mapa final'!$AD$143="Moderado"),CONCATENATE("R46C",'Mapa final'!$R$143),"")</f>
        <v/>
      </c>
      <c r="R201" s="111" t="str">
        <f>IF(AND('Mapa final'!$AB$144="Baja",'Mapa final'!$AD$144="Moderado"),CONCATENATE("R46C",'Mapa final'!$R$144),"")</f>
        <v/>
      </c>
      <c r="S201" s="105" t="str">
        <f>IF(AND('Mapa final'!$AB$142="Baja",'Mapa final'!$AD$142="Mayor"),CONCATENATE("R46C",'Mapa final'!$R$142),"")</f>
        <v/>
      </c>
      <c r="T201" s="42" t="str">
        <f>IF(AND('Mapa final'!$AB$143="Baja",'Mapa final'!$AD$143="Mayor"),CONCATENATE("R46C",'Mapa final'!$R$143),"")</f>
        <v/>
      </c>
      <c r="U201" s="106" t="str">
        <f>IF(AND('Mapa final'!$AB$144="Baja",'Mapa final'!$AD$144="Mayor"),CONCATENATE("R46C",'Mapa final'!$R$144),"")</f>
        <v/>
      </c>
      <c r="V201" s="43" t="str">
        <f>IF(AND('Mapa final'!$AB$142="Baja",'Mapa final'!$AD$142="Catastrófico"),CONCATENATE("R46C",'Mapa final'!$R$142),"")</f>
        <v/>
      </c>
      <c r="W201" s="44" t="str">
        <f>IF(AND('Mapa final'!$AB$143="Baja",'Mapa final'!$AD$143="Catastrófico"),CONCATENATE("R46C",'Mapa final'!$R$143),"")</f>
        <v/>
      </c>
      <c r="X201" s="100" t="str">
        <f>IF(AND('Mapa final'!$AB$144="Baja",'Mapa final'!$AD$144="Catastrófico"),CONCATENATE("R46C",'Mapa final'!$R$144),"")</f>
        <v/>
      </c>
      <c r="Y201" s="56"/>
      <c r="Z201" s="316"/>
      <c r="AA201" s="317"/>
      <c r="AB201" s="317"/>
      <c r="AC201" s="317"/>
      <c r="AD201" s="317"/>
      <c r="AE201" s="318"/>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row>
    <row r="202" spans="1:65" ht="15" customHeight="1" x14ac:dyDescent="0.35">
      <c r="A202" s="56"/>
      <c r="B202" s="311"/>
      <c r="C202" s="311"/>
      <c r="D202" s="312"/>
      <c r="E202" s="288"/>
      <c r="F202" s="301"/>
      <c r="G202" s="301"/>
      <c r="H202" s="301"/>
      <c r="I202" s="283"/>
      <c r="J202" s="115" t="str">
        <f>IF(AND('Mapa final'!$AB$145="Baja",'Mapa final'!$AD$145="Leve"),CONCATENATE("R47C",'Mapa final'!$R$145),"")</f>
        <v/>
      </c>
      <c r="K202" s="54" t="str">
        <f>IF(AND('Mapa final'!$AB$146="Baja",'Mapa final'!$AD$146="Leve"),CONCATENATE("R47C",'Mapa final'!$R$146),"")</f>
        <v/>
      </c>
      <c r="L202" s="116" t="str">
        <f>IF(AND('Mapa final'!$AB$147="Baja",'Mapa final'!$AD$147="Leve"),CONCATENATE("R47C",'Mapa final'!$R$147),"")</f>
        <v/>
      </c>
      <c r="M202" s="49" t="str">
        <f>IF(AND('Mapa final'!$AB$145="Baja",'Mapa final'!$AD$145="Menor"),CONCATENATE("R47C",'Mapa final'!$R$145),"")</f>
        <v/>
      </c>
      <c r="N202" s="50" t="str">
        <f>IF(AND('Mapa final'!$AB$146="Baja",'Mapa final'!$AD$146="Menor"),CONCATENATE("R47C",'Mapa final'!$R$146),"")</f>
        <v/>
      </c>
      <c r="O202" s="111" t="str">
        <f>IF(AND('Mapa final'!$AB$147="Baja",'Mapa final'!$AD$147="Menor"),CONCATENATE("R47C",'Mapa final'!$R$147),"")</f>
        <v/>
      </c>
      <c r="P202" s="49" t="str">
        <f>IF(AND('Mapa final'!$AB$145="Baja",'Mapa final'!$AD$145="Moderado"),CONCATENATE("R47C",'Mapa final'!$R$145),"")</f>
        <v/>
      </c>
      <c r="Q202" s="50" t="str">
        <f>IF(AND('Mapa final'!$AB$146="Baja",'Mapa final'!$AD$146="Moderado"),CONCATENATE("R47C",'Mapa final'!$R$146),"")</f>
        <v/>
      </c>
      <c r="R202" s="111" t="str">
        <f>IF(AND('Mapa final'!$AB$147="Baja",'Mapa final'!$AD$147="Moderado"),CONCATENATE("R47C",'Mapa final'!$R$147),"")</f>
        <v/>
      </c>
      <c r="S202" s="105" t="str">
        <f>IF(AND('Mapa final'!$AB$145="Baja",'Mapa final'!$AD$145="Mayor"),CONCATENATE("R47C",'Mapa final'!$R$145),"")</f>
        <v/>
      </c>
      <c r="T202" s="42" t="str">
        <f>IF(AND('Mapa final'!$AB$146="Baja",'Mapa final'!$AD$146="Mayor"),CONCATENATE("R47C",'Mapa final'!$R$146),"")</f>
        <v/>
      </c>
      <c r="U202" s="106" t="str">
        <f>IF(AND('Mapa final'!$AB$147="Baja",'Mapa final'!$AD$147="Mayor"),CONCATENATE("R47C",'Mapa final'!$R$147),"")</f>
        <v/>
      </c>
      <c r="V202" s="43" t="str">
        <f>IF(AND('Mapa final'!$AB$145="Baja",'Mapa final'!$AD$145="Catastrófico"),CONCATENATE("R47C",'Mapa final'!$R$145),"")</f>
        <v/>
      </c>
      <c r="W202" s="44" t="str">
        <f>IF(AND('Mapa final'!$AB$146="Baja",'Mapa final'!$AD$146="Catastrófico"),CONCATENATE("R47C",'Mapa final'!$R$146),"")</f>
        <v/>
      </c>
      <c r="X202" s="100" t="str">
        <f>IF(AND('Mapa final'!$AB$147="Baja",'Mapa final'!$AD$147="Catastrófico"),CONCATENATE("R47C",'Mapa final'!$R$147),"")</f>
        <v/>
      </c>
      <c r="Y202" s="56"/>
      <c r="Z202" s="316"/>
      <c r="AA202" s="317"/>
      <c r="AB202" s="317"/>
      <c r="AC202" s="317"/>
      <c r="AD202" s="317"/>
      <c r="AE202" s="318"/>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row>
    <row r="203" spans="1:65" ht="15" customHeight="1" x14ac:dyDescent="0.35">
      <c r="A203" s="56"/>
      <c r="B203" s="311"/>
      <c r="C203" s="311"/>
      <c r="D203" s="312"/>
      <c r="E203" s="288"/>
      <c r="F203" s="301"/>
      <c r="G203" s="301"/>
      <c r="H203" s="301"/>
      <c r="I203" s="283"/>
      <c r="J203" s="115" t="str">
        <f>IF(AND('Mapa final'!$AB$148="Baja",'Mapa final'!$AD$148="Leve"),CONCATENATE("R48C",'Mapa final'!$R$148),"")</f>
        <v/>
      </c>
      <c r="K203" s="54" t="str">
        <f>IF(AND('Mapa final'!$AB$149="Baja",'Mapa final'!$AD$149="Leve"),CONCATENATE("R48C",'Mapa final'!$R$149),"")</f>
        <v/>
      </c>
      <c r="L203" s="116" t="str">
        <f>IF(AND('Mapa final'!$AB$150="Baja",'Mapa final'!$AD$150="Leve"),CONCATENATE("R48C",'Mapa final'!$R$150),"")</f>
        <v/>
      </c>
      <c r="M203" s="49" t="str">
        <f>IF(AND('Mapa final'!$AB$148="Baja",'Mapa final'!$AD$148="Menor"),CONCATENATE("R48C",'Mapa final'!$R$148),"")</f>
        <v/>
      </c>
      <c r="N203" s="50" t="str">
        <f>IF(AND('Mapa final'!$AB$149="Baja",'Mapa final'!$AD$149="Menor"),CONCATENATE("R48C",'Mapa final'!$R$149),"")</f>
        <v/>
      </c>
      <c r="O203" s="111" t="str">
        <f>IF(AND('Mapa final'!$AB$150="Baja",'Mapa final'!$AD$150="Menor"),CONCATENATE("R48C",'Mapa final'!$R$150),"")</f>
        <v/>
      </c>
      <c r="P203" s="49" t="str">
        <f>IF(AND('Mapa final'!$AB$148="Baja",'Mapa final'!$AD$148="Moderado"),CONCATENATE("R48C",'Mapa final'!$R$148),"")</f>
        <v/>
      </c>
      <c r="Q203" s="50" t="str">
        <f>IF(AND('Mapa final'!$AB$149="Baja",'Mapa final'!$AD$149="Moderado"),CONCATENATE("R48C",'Mapa final'!$R$149),"")</f>
        <v/>
      </c>
      <c r="R203" s="111" t="str">
        <f>IF(AND('Mapa final'!$AB$150="Baja",'Mapa final'!$AD$150="Moderado"),CONCATENATE("R48C",'Mapa final'!$R$150),"")</f>
        <v/>
      </c>
      <c r="S203" s="105" t="str">
        <f>IF(AND('Mapa final'!$AB$148="Baja",'Mapa final'!$AD$148="Mayor"),CONCATENATE("R48C",'Mapa final'!$R$148),"")</f>
        <v/>
      </c>
      <c r="T203" s="42" t="str">
        <f>IF(AND('Mapa final'!$AB$149="Baja",'Mapa final'!$AD$149="Mayor"),CONCATENATE("R48C",'Mapa final'!$R$149),"")</f>
        <v/>
      </c>
      <c r="U203" s="106" t="str">
        <f>IF(AND('Mapa final'!$AB$150="Baja",'Mapa final'!$AD$150="Mayor"),CONCATENATE("R48C",'Mapa final'!$R$150),"")</f>
        <v/>
      </c>
      <c r="V203" s="43" t="str">
        <f>IF(AND('Mapa final'!$AB$148="Baja",'Mapa final'!$AD$148="Catastrófico"),CONCATENATE("R48C",'Mapa final'!$R$148),"")</f>
        <v/>
      </c>
      <c r="W203" s="44" t="str">
        <f>IF(AND('Mapa final'!$AB$149="Baja",'Mapa final'!$AD$149="Catastrófico"),CONCATENATE("R48C",'Mapa final'!$R$149),"")</f>
        <v/>
      </c>
      <c r="X203" s="100" t="str">
        <f>IF(AND('Mapa final'!$AB$150="Baja",'Mapa final'!$AD$150="Catastrófico"),CONCATENATE("R48C",'Mapa final'!$R$150),"")</f>
        <v/>
      </c>
      <c r="Y203" s="56"/>
      <c r="Z203" s="316"/>
      <c r="AA203" s="317"/>
      <c r="AB203" s="317"/>
      <c r="AC203" s="317"/>
      <c r="AD203" s="317"/>
      <c r="AE203" s="318"/>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row>
    <row r="204" spans="1:65" ht="15" customHeight="1" x14ac:dyDescent="0.35">
      <c r="A204" s="56"/>
      <c r="B204" s="311"/>
      <c r="C204" s="311"/>
      <c r="D204" s="312"/>
      <c r="E204" s="288"/>
      <c r="F204" s="301"/>
      <c r="G204" s="301"/>
      <c r="H204" s="301"/>
      <c r="I204" s="283"/>
      <c r="J204" s="115" t="str">
        <f>IF(AND('Mapa final'!$AB$151="Baja",'Mapa final'!$AD$151="Leve"),CONCATENATE("R49C",'Mapa final'!$R$151),"")</f>
        <v/>
      </c>
      <c r="K204" s="54" t="str">
        <f>IF(AND('Mapa final'!$AB$152="Baja",'Mapa final'!$AD$152="Leve"),CONCATENATE("R49C",'Mapa final'!$R$152),"")</f>
        <v/>
      </c>
      <c r="L204" s="116" t="str">
        <f>IF(AND('Mapa final'!$AB$153="Baja",'Mapa final'!$AD$153="Leve"),CONCATENATE("R49C",'Mapa final'!$R$153),"")</f>
        <v/>
      </c>
      <c r="M204" s="49" t="str">
        <f>IF(AND('Mapa final'!$AB$151="Baja",'Mapa final'!$AD$151="Menor"),CONCATENATE("R49C",'Mapa final'!$R$151),"")</f>
        <v/>
      </c>
      <c r="N204" s="50" t="str">
        <f>IF(AND('Mapa final'!$AB$152="Baja",'Mapa final'!$AD$152="Menor"),CONCATENATE("R49C",'Mapa final'!$R$152),"")</f>
        <v/>
      </c>
      <c r="O204" s="111" t="str">
        <f>IF(AND('Mapa final'!$AB$153="Baja",'Mapa final'!$AD$153="Menor"),CONCATENATE("R49C",'Mapa final'!$R$153),"")</f>
        <v/>
      </c>
      <c r="P204" s="49" t="str">
        <f>IF(AND('Mapa final'!$AB$151="Baja",'Mapa final'!$AD$151="Moderado"),CONCATENATE("R49C",'Mapa final'!$R$151),"")</f>
        <v/>
      </c>
      <c r="Q204" s="50" t="str">
        <f>IF(AND('Mapa final'!$AB$152="Baja",'Mapa final'!$AD$152="Moderado"),CONCATENATE("R49C",'Mapa final'!$R$152),"")</f>
        <v/>
      </c>
      <c r="R204" s="111" t="str">
        <f>IF(AND('Mapa final'!$AB$153="Baja",'Mapa final'!$AD$153="Moderado"),CONCATENATE("R49C",'Mapa final'!$R$153),"")</f>
        <v/>
      </c>
      <c r="S204" s="105" t="str">
        <f>IF(AND('Mapa final'!$AB$151="Baja",'Mapa final'!$AD$151="Mayor"),CONCATENATE("R49C",'Mapa final'!$R$151),"")</f>
        <v/>
      </c>
      <c r="T204" s="42" t="str">
        <f>IF(AND('Mapa final'!$AB$152="Baja",'Mapa final'!$AD$152="Mayor"),CONCATENATE("R49C",'Mapa final'!$R$152),"")</f>
        <v/>
      </c>
      <c r="U204" s="106" t="str">
        <f>IF(AND('Mapa final'!$AB$153="Baja",'Mapa final'!$AD$153="Mayor"),CONCATENATE("R49C",'Mapa final'!$R$153),"")</f>
        <v/>
      </c>
      <c r="V204" s="43" t="str">
        <f>IF(AND('Mapa final'!$AB$151="Baja",'Mapa final'!$AD$151="Catastrófico"),CONCATENATE("R49C",'Mapa final'!$R$151),"")</f>
        <v/>
      </c>
      <c r="W204" s="44" t="str">
        <f>IF(AND('Mapa final'!$AB$152="Baja",'Mapa final'!$AD$152="Catastrófico"),CONCATENATE("R49C",'Mapa final'!$R$152),"")</f>
        <v/>
      </c>
      <c r="X204" s="100" t="str">
        <f>IF(AND('Mapa final'!$AB$153="Baja",'Mapa final'!$AD$153="Catastrófico"),CONCATENATE("R49C",'Mapa final'!$R$153),"")</f>
        <v/>
      </c>
      <c r="Y204" s="56"/>
      <c r="Z204" s="316"/>
      <c r="AA204" s="317"/>
      <c r="AB204" s="317"/>
      <c r="AC204" s="317"/>
      <c r="AD204" s="317"/>
      <c r="AE204" s="318"/>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row>
    <row r="205" spans="1:65" ht="15" customHeight="1" thickBot="1" x14ac:dyDescent="0.4">
      <c r="A205" s="56"/>
      <c r="B205" s="311"/>
      <c r="C205" s="311"/>
      <c r="D205" s="312"/>
      <c r="E205" s="288"/>
      <c r="F205" s="301"/>
      <c r="G205" s="301"/>
      <c r="H205" s="301"/>
      <c r="I205" s="283"/>
      <c r="J205" s="117" t="str">
        <f>IF(AND('Mapa final'!$AB$154="Baja",'Mapa final'!$AD$154="Leve"),CONCATENATE("R50C",'Mapa final'!$R$154),"")</f>
        <v/>
      </c>
      <c r="K205" s="55" t="str">
        <f>IF(AND('Mapa final'!$AB$155="Baja",'Mapa final'!$AD$155="Leve"),CONCATENATE("R50C",'Mapa final'!$R$155),"")</f>
        <v/>
      </c>
      <c r="L205" s="118" t="str">
        <f>IF(AND('Mapa final'!$AB$156="Baja",'Mapa final'!$AD$156="Leve"),CONCATENATE("R50C",'Mapa final'!$R$156),"")</f>
        <v/>
      </c>
      <c r="M205" s="51" t="str">
        <f>IF(AND('Mapa final'!$AB$154="Baja",'Mapa final'!$AD$154="Menor"),CONCATENATE("R50C",'Mapa final'!$R$154),"")</f>
        <v/>
      </c>
      <c r="N205" s="52" t="str">
        <f>IF(AND('Mapa final'!$AB$155="Baja",'Mapa final'!$AD$155="Menor"),CONCATENATE("R50C",'Mapa final'!$R$155),"")</f>
        <v/>
      </c>
      <c r="O205" s="112" t="str">
        <f>IF(AND('Mapa final'!$AB$156="Baja",'Mapa final'!$AD$156="Menor"),CONCATENATE("R50C",'Mapa final'!$R$156),"")</f>
        <v/>
      </c>
      <c r="P205" s="51" t="str">
        <f>IF(AND('Mapa final'!$AB$154="Baja",'Mapa final'!$AD$154="Moderado"),CONCATENATE("R50C",'Mapa final'!$R$154),"")</f>
        <v/>
      </c>
      <c r="Q205" s="52" t="str">
        <f>IF(AND('Mapa final'!$AB$155="Baja",'Mapa final'!$AD$155="Moderado"),CONCATENATE("R50C",'Mapa final'!$R$155),"")</f>
        <v/>
      </c>
      <c r="R205" s="112" t="str">
        <f>IF(AND('Mapa final'!$AB$156="Baja",'Mapa final'!$AD$156="Moderado"),CONCATENATE("R50C",'Mapa final'!$R$156),"")</f>
        <v/>
      </c>
      <c r="S205" s="107" t="str">
        <f>IF(AND('Mapa final'!$AB$154="Baja",'Mapa final'!$AD$154="Mayor"),CONCATENATE("R50C",'Mapa final'!$R$154),"")</f>
        <v/>
      </c>
      <c r="T205" s="108" t="str">
        <f>IF(AND('Mapa final'!$AB$155="Baja",'Mapa final'!$AD$155="Mayor"),CONCATENATE("R50C",'Mapa final'!$R$155),"")</f>
        <v/>
      </c>
      <c r="U205" s="109" t="str">
        <f>IF(AND('Mapa final'!$AB$156="Baja",'Mapa final'!$AD$156="Mayor"),CONCATENATE("R50C",'Mapa final'!$R$156),"")</f>
        <v/>
      </c>
      <c r="V205" s="45" t="str">
        <f>IF(AND('Mapa final'!$AB$154="Baja",'Mapa final'!$AD$154="Catastrófico"),CONCATENATE("R50C",'Mapa final'!$R$154),"")</f>
        <v/>
      </c>
      <c r="W205" s="46" t="str">
        <f>IF(AND('Mapa final'!$AB$155="Baja",'Mapa final'!$AD$155="Catastrófico"),CONCATENATE("R50C",'Mapa final'!$R$155),"")</f>
        <v/>
      </c>
      <c r="X205" s="101" t="str">
        <f>IF(AND('Mapa final'!$AB$156="Baja",'Mapa final'!$AD$156="Catastrófico"),CONCATENATE("R50C",'Mapa final'!$R$156),"")</f>
        <v/>
      </c>
      <c r="Y205" s="56"/>
      <c r="Z205" s="316"/>
      <c r="AA205" s="317"/>
      <c r="AB205" s="317"/>
      <c r="AC205" s="317"/>
      <c r="AD205" s="317"/>
      <c r="AE205" s="318"/>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row>
    <row r="206" spans="1:65" ht="16.5" customHeight="1" x14ac:dyDescent="0.35">
      <c r="A206" s="56"/>
      <c r="B206" s="311"/>
      <c r="C206" s="311"/>
      <c r="D206" s="312"/>
      <c r="E206" s="299" t="s">
        <v>104</v>
      </c>
      <c r="F206" s="300"/>
      <c r="G206" s="300"/>
      <c r="H206" s="300"/>
      <c r="I206" s="300"/>
      <c r="J206" s="113" t="str">
        <f>IF(AND('Mapa final'!$AB$7="Muy Baja",'Mapa final'!$AD$7="Leve"),CONCATENATE("R1C",'Mapa final'!$R$7),"")</f>
        <v/>
      </c>
      <c r="K206" s="53" t="str">
        <f>IF(AND('Mapa final'!$AB$8="Muy Baja",'Mapa final'!$AD$8="Leve"),CONCATENATE("R1C",'Mapa final'!$R$8),"")</f>
        <v/>
      </c>
      <c r="L206" s="114" t="str">
        <f>IF(AND('Mapa final'!$AB$9="Muy Baja",'Mapa final'!$AD$9="Leve"),CONCATENATE("R1C",'Mapa final'!$R$9),"")</f>
        <v/>
      </c>
      <c r="M206" s="113" t="str">
        <f>IF(AND('Mapa final'!$AB$7="Muy Baja",'Mapa final'!$AD$7="Menor"),CONCATENATE("R1C",'Mapa final'!$R$7),"")</f>
        <v/>
      </c>
      <c r="N206" s="53" t="str">
        <f>IF(AND('Mapa final'!$AB$8="Muy Baja",'Mapa final'!$AD$8="Menor"),CONCATENATE("R1C",'Mapa final'!$R$8),"")</f>
        <v/>
      </c>
      <c r="O206" s="114" t="str">
        <f>IF(AND('Mapa final'!$AB$9="Muy Baja",'Mapa final'!$AD$9="Menor"),CONCATENATE("R1C",'Mapa final'!$R$9),"")</f>
        <v/>
      </c>
      <c r="P206" s="47" t="str">
        <f>IF(AND('Mapa final'!$AB$7="Muy Baja",'Mapa final'!$AD$7="Moderado"),CONCATENATE("R1C",'Mapa final'!$R$7),"")</f>
        <v/>
      </c>
      <c r="Q206" s="48" t="str">
        <f>IF(AND('Mapa final'!$AB$8="Muy Baja",'Mapa final'!$AD$8="Moderado"),CONCATENATE("R1C",'Mapa final'!$R$8),"")</f>
        <v/>
      </c>
      <c r="R206" s="110" t="str">
        <f>IF(AND('Mapa final'!$AB$9="Muy Baja",'Mapa final'!$AD$9="Moderado"),CONCATENATE("R1C",'Mapa final'!$R$9),"")</f>
        <v/>
      </c>
      <c r="S206" s="102" t="str">
        <f>IF(AND('Mapa final'!$AB$7="Muy Baja",'Mapa final'!$AD$7="Mayor"),CONCATENATE("R1C",'Mapa final'!$R$7),"")</f>
        <v/>
      </c>
      <c r="T206" s="103" t="str">
        <f>IF(AND('Mapa final'!$AB$8="Muy Baja",'Mapa final'!$AD$8="Mayor"),CONCATENATE("R1C",'Mapa final'!$R$8),"")</f>
        <v/>
      </c>
      <c r="U206" s="104" t="str">
        <f>IF(AND('Mapa final'!$AB$9="Muy Baja",'Mapa final'!$AD$9="Mayor"),CONCATENATE("R1C",'Mapa final'!$R$9),"")</f>
        <v/>
      </c>
      <c r="V206" s="40" t="str">
        <f>IF(AND('Mapa final'!$AB$7="Muy Baja",'Mapa final'!$AD$7="Catastrófico"),CONCATENATE("R1C",'Mapa final'!$R$7),"")</f>
        <v/>
      </c>
      <c r="W206" s="41" t="str">
        <f>IF(AND('Mapa final'!$AB$8="Muy Baja",'Mapa final'!$AD$8="Catastrófico"),CONCATENATE("R1C",'Mapa final'!$R$8),"")</f>
        <v/>
      </c>
      <c r="X206" s="99" t="str">
        <f>IF(AND('Mapa final'!$AB$9="Muy Baja",'Mapa final'!$AD$9="Catastrófico"),CONCATENATE("R1C",'Mapa final'!$R$9),"")</f>
        <v/>
      </c>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row>
    <row r="207" spans="1:65" ht="15.5" x14ac:dyDescent="0.35">
      <c r="A207" s="56"/>
      <c r="B207" s="311"/>
      <c r="C207" s="311"/>
      <c r="D207" s="312"/>
      <c r="E207" s="287"/>
      <c r="F207" s="283"/>
      <c r="G207" s="283"/>
      <c r="H207" s="283"/>
      <c r="I207" s="283"/>
      <c r="J207" s="115" t="str">
        <f>IF(AND('Mapa final'!$AB$10="Muy Baja",'Mapa final'!$AD$10="Leve"),CONCATENATE("R2C",'Mapa final'!$R$10),"")</f>
        <v/>
      </c>
      <c r="K207" s="54" t="str">
        <f>IF(AND('Mapa final'!$AB$11="Muy Baja",'Mapa final'!$AD$11="Leve"),CONCATENATE("R2C",'Mapa final'!$R$11),"")</f>
        <v/>
      </c>
      <c r="L207" s="116" t="str">
        <f>IF(AND('Mapa final'!$AB$12="Muy Baja",'Mapa final'!$AD$12="Leve"),CONCATENATE("R2C",'Mapa final'!$R$12),"")</f>
        <v/>
      </c>
      <c r="M207" s="115" t="str">
        <f>IF(AND('Mapa final'!$AB$10="Muy Baja",'Mapa final'!$AD$10="Menor"),CONCATENATE("R2C",'Mapa final'!$R$10),"")</f>
        <v/>
      </c>
      <c r="N207" s="54" t="str">
        <f>IF(AND('Mapa final'!$AB$11="Muy Baja",'Mapa final'!$AD$11="Menor"),CONCATENATE("R2C",'Mapa final'!$R$11),"")</f>
        <v/>
      </c>
      <c r="O207" s="116" t="str">
        <f>IF(AND('Mapa final'!$AB$12="Muy Baja",'Mapa final'!$AD$12="Menor"),CONCATENATE("R2C",'Mapa final'!$R$12),"")</f>
        <v/>
      </c>
      <c r="P207" s="49" t="str">
        <f>IF(AND('Mapa final'!$AB$10="Muy Baja",'Mapa final'!$AD$10="Moderado"),CONCATENATE("R2C",'Mapa final'!$R$10),"")</f>
        <v/>
      </c>
      <c r="Q207" s="50" t="str">
        <f>IF(AND('Mapa final'!$AB$11="Muy Baja",'Mapa final'!$AD$11="Moderado"),CONCATENATE("R2C",'Mapa final'!$R$11),"")</f>
        <v/>
      </c>
      <c r="R207" s="111" t="str">
        <f>IF(AND('Mapa final'!$AB$12="Muy Baja",'Mapa final'!$AD$12="Moderado"),CONCATENATE("R2C",'Mapa final'!$R$12),"")</f>
        <v/>
      </c>
      <c r="S207" s="105" t="str">
        <f>IF(AND('Mapa final'!$AB$10="Muy Baja",'Mapa final'!$AD$10="Mayor"),CONCATENATE("R2C",'Mapa final'!$R$10),"")</f>
        <v/>
      </c>
      <c r="T207" s="42" t="str">
        <f>IF(AND('Mapa final'!$AB$11="Muy Baja",'Mapa final'!$AD$11="Mayor"),CONCATENATE("R2C",'Mapa final'!$R$11),"")</f>
        <v/>
      </c>
      <c r="U207" s="106" t="str">
        <f>IF(AND('Mapa final'!$AB$12="Muy Baja",'Mapa final'!$AD$12="Mayor"),CONCATENATE("R2C",'Mapa final'!$R$12),"")</f>
        <v/>
      </c>
      <c r="V207" s="43" t="str">
        <f>IF(AND('Mapa final'!$AB$10="Muy Baja",'Mapa final'!$AD$10="Catastrófico"),CONCATENATE("R2C",'Mapa final'!$R$10),"")</f>
        <v/>
      </c>
      <c r="W207" s="44" t="str">
        <f>IF(AND('Mapa final'!$AB$11="Muy Baja",'Mapa final'!$AD$11="Catastrófico"),CONCATENATE("R2C",'Mapa final'!$R$11),"")</f>
        <v/>
      </c>
      <c r="X207" s="100" t="str">
        <f>IF(AND('Mapa final'!$AB$12="Muy Baja",'Mapa final'!$AD$12="Catastrófico"),CONCATENATE("R2C",'Mapa final'!$R$12),"")</f>
        <v/>
      </c>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row>
    <row r="208" spans="1:65" ht="15.5" x14ac:dyDescent="0.35">
      <c r="A208" s="56"/>
      <c r="B208" s="311"/>
      <c r="C208" s="311"/>
      <c r="D208" s="312"/>
      <c r="E208" s="287"/>
      <c r="F208" s="283"/>
      <c r="G208" s="283"/>
      <c r="H208" s="283"/>
      <c r="I208" s="283"/>
      <c r="J208" s="115" t="str">
        <f>IF(AND('Mapa final'!$AB$13="Muy Baja",'Mapa final'!$AD$13="Leve"),CONCATENATE("R3C",'Mapa final'!$R$13),"")</f>
        <v/>
      </c>
      <c r="K208" s="54" t="str">
        <f>IF(AND('Mapa final'!$AB$14="Muy Baja",'Mapa final'!$AD$14="Leve"),CONCATENATE("R3C",'Mapa final'!$R$14),"")</f>
        <v/>
      </c>
      <c r="L208" s="116" t="str">
        <f>IF(AND('Mapa final'!$AB$15="Muy Baja",'Mapa final'!$AD$15="Leve"),CONCATENATE("R3C",'Mapa final'!$R$15),"")</f>
        <v/>
      </c>
      <c r="M208" s="115" t="str">
        <f>IF(AND('Mapa final'!$AB$13="Muy Baja",'Mapa final'!$AD$13="Menor"),CONCATENATE("R3C",'Mapa final'!$R$13),"")</f>
        <v/>
      </c>
      <c r="N208" s="54" t="str">
        <f>IF(AND('Mapa final'!$AB$14="Muy Baja",'Mapa final'!$AD$14="Menor"),CONCATENATE("R3C",'Mapa final'!$R$14),"")</f>
        <v/>
      </c>
      <c r="O208" s="116" t="str">
        <f>IF(AND('Mapa final'!$AB$15="Muy Baja",'Mapa final'!$AD$15="Menor"),CONCATENATE("R3C",'Mapa final'!$R$15),"")</f>
        <v/>
      </c>
      <c r="P208" s="49" t="str">
        <f>IF(AND('Mapa final'!$AB$13="Muy Baja",'Mapa final'!$AD$13="Moderado"),CONCATENATE("R3C",'Mapa final'!$R$13),"")</f>
        <v/>
      </c>
      <c r="Q208" s="50" t="str">
        <f>IF(AND('Mapa final'!$AB$14="Muy Baja",'Mapa final'!$AD$14="Moderado"),CONCATENATE("R3C",'Mapa final'!$R$14),"")</f>
        <v/>
      </c>
      <c r="R208" s="111" t="str">
        <f>IF(AND('Mapa final'!$AB$15="Muy Baja",'Mapa final'!$AD$15="Moderado"),CONCATENATE("R3C",'Mapa final'!$R$15),"")</f>
        <v/>
      </c>
      <c r="S208" s="105" t="str">
        <f>IF(AND('Mapa final'!$AB$13="Muy Baja",'Mapa final'!$AD$13="Mayor"),CONCATENATE("R3C",'Mapa final'!$R$13),"")</f>
        <v/>
      </c>
      <c r="T208" s="42" t="str">
        <f>IF(AND('Mapa final'!$AB$14="Muy Baja",'Mapa final'!$AD$14="Mayor"),CONCATENATE("R3C",'Mapa final'!$R$14),"")</f>
        <v/>
      </c>
      <c r="U208" s="106" t="str">
        <f>IF(AND('Mapa final'!$AB$15="Muy Baja",'Mapa final'!$AD$15="Mayor"),CONCATENATE("R3C",'Mapa final'!$R$15),"")</f>
        <v/>
      </c>
      <c r="V208" s="43" t="str">
        <f>IF(AND('Mapa final'!$AB$13="Muy Baja",'Mapa final'!$AD$13="Catastrófico"),CONCATENATE("R3C",'Mapa final'!$R$13),"")</f>
        <v/>
      </c>
      <c r="W208" s="44" t="str">
        <f>IF(AND('Mapa final'!$AB$14="Muy Baja",'Mapa final'!$AD$14="Catastrófico"),CONCATENATE("R3C",'Mapa final'!$R$14),"")</f>
        <v/>
      </c>
      <c r="X208" s="100" t="str">
        <f>IF(AND('Mapa final'!$AB$15="Muy Baja",'Mapa final'!$AD$15="Catastrófico"),CONCATENATE("R3C",'Mapa final'!$R$15),"")</f>
        <v/>
      </c>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row>
    <row r="209" spans="1:65" ht="15.5" x14ac:dyDescent="0.35">
      <c r="A209" s="56"/>
      <c r="B209" s="311"/>
      <c r="C209" s="311"/>
      <c r="D209" s="312"/>
      <c r="E209" s="287"/>
      <c r="F209" s="283"/>
      <c r="G209" s="283"/>
      <c r="H209" s="283"/>
      <c r="I209" s="283"/>
      <c r="J209" s="115" t="e">
        <f>IF(AND('Mapa final'!#REF!="Muy Baja",'Mapa final'!#REF!="Leve"),CONCATENATE("R4C",'Mapa final'!#REF!),"")</f>
        <v>#REF!</v>
      </c>
      <c r="K209" s="54" t="e">
        <f>IF(AND('Mapa final'!#REF!="Muy Baja",'Mapa final'!#REF!="Leve"),CONCATENATE("R4C",'Mapa final'!#REF!),"")</f>
        <v>#REF!</v>
      </c>
      <c r="L209" s="116" t="e">
        <f>IF(AND('Mapa final'!#REF!="Muy Baja",'Mapa final'!#REF!="Leve"),CONCATENATE("R4C",'Mapa final'!#REF!),"")</f>
        <v>#REF!</v>
      </c>
      <c r="M209" s="115" t="e">
        <f>IF(AND('Mapa final'!#REF!="Muy Baja",'Mapa final'!#REF!="Menor"),CONCATENATE("R4C",'Mapa final'!#REF!),"")</f>
        <v>#REF!</v>
      </c>
      <c r="N209" s="54" t="e">
        <f>IF(AND('Mapa final'!#REF!="Muy Baja",'Mapa final'!#REF!="Menor"),CONCATENATE("R4C",'Mapa final'!#REF!),"")</f>
        <v>#REF!</v>
      </c>
      <c r="O209" s="116" t="e">
        <f>IF(AND('Mapa final'!#REF!="Muy Baja",'Mapa final'!#REF!="Menor"),CONCATENATE("R4C",'Mapa final'!#REF!),"")</f>
        <v>#REF!</v>
      </c>
      <c r="P209" s="49" t="e">
        <f>IF(AND('Mapa final'!#REF!="Muy Baja",'Mapa final'!#REF!="Moderado"),CONCATENATE("R4C",'Mapa final'!#REF!),"")</f>
        <v>#REF!</v>
      </c>
      <c r="Q209" s="50" t="e">
        <f>IF(AND('Mapa final'!#REF!="Muy Baja",'Mapa final'!#REF!="Moderado"),CONCATENATE("R4C",'Mapa final'!#REF!),"")</f>
        <v>#REF!</v>
      </c>
      <c r="R209" s="111" t="e">
        <f>IF(AND('Mapa final'!#REF!="Muy Baja",'Mapa final'!#REF!="Moderado"),CONCATENATE("R4C",'Mapa final'!#REF!),"")</f>
        <v>#REF!</v>
      </c>
      <c r="S209" s="105" t="e">
        <f>IF(AND('Mapa final'!#REF!="Muy Baja",'Mapa final'!#REF!="Mayor"),CONCATENATE("R4C",'Mapa final'!#REF!),"")</f>
        <v>#REF!</v>
      </c>
      <c r="T209" s="42" t="e">
        <f>IF(AND('Mapa final'!#REF!="Muy Baja",'Mapa final'!#REF!="Mayor"),CONCATENATE("R4C",'Mapa final'!#REF!),"")</f>
        <v>#REF!</v>
      </c>
      <c r="U209" s="106" t="e">
        <f>IF(AND('Mapa final'!#REF!="Muy Baja",'Mapa final'!#REF!="Mayor"),CONCATENATE("R4C",'Mapa final'!#REF!),"")</f>
        <v>#REF!</v>
      </c>
      <c r="V209" s="43" t="e">
        <f>IF(AND('Mapa final'!#REF!="Muy Baja",'Mapa final'!#REF!="Catastrófico"),CONCATENATE("R4C",'Mapa final'!#REF!),"")</f>
        <v>#REF!</v>
      </c>
      <c r="W209" s="44" t="e">
        <f>IF(AND('Mapa final'!#REF!="Muy Baja",'Mapa final'!#REF!="Catastrófico"),CONCATENATE("R4C",'Mapa final'!#REF!),"")</f>
        <v>#REF!</v>
      </c>
      <c r="X209" s="100" t="e">
        <f>IF(AND('Mapa final'!#REF!="Muy Baja",'Mapa final'!#REF!="Catastrófico"),CONCATENATE("R4C",'Mapa final'!#REF!),"")</f>
        <v>#REF!</v>
      </c>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row>
    <row r="210" spans="1:65" ht="15.5" x14ac:dyDescent="0.35">
      <c r="A210" s="56"/>
      <c r="B210" s="311"/>
      <c r="C210" s="311"/>
      <c r="D210" s="312"/>
      <c r="E210" s="287"/>
      <c r="F210" s="283"/>
      <c r="G210" s="283"/>
      <c r="H210" s="283"/>
      <c r="I210" s="283"/>
      <c r="J210" s="115" t="str">
        <f>IF(AND('Mapa final'!$AB$16="Muy Baja",'Mapa final'!$AD$16="Leve"),CONCATENATE("R5C",'Mapa final'!$R$16),"")</f>
        <v/>
      </c>
      <c r="K210" s="54" t="str">
        <f>IF(AND('Mapa final'!$AB$17="Muy Baja",'Mapa final'!$AD$17="Leve"),CONCATENATE("R5C",'Mapa final'!$R$17),"")</f>
        <v/>
      </c>
      <c r="L210" s="116" t="str">
        <f>IF(AND('Mapa final'!$AB$18="Muy Baja",'Mapa final'!$AD$18="Leve"),CONCATENATE("R5C",'Mapa final'!$R$18),"")</f>
        <v/>
      </c>
      <c r="M210" s="115" t="str">
        <f>IF(AND('Mapa final'!$AB$16="Muy Baja",'Mapa final'!$AD$16="Menor"),CONCATENATE("R5C",'Mapa final'!$R$16),"")</f>
        <v/>
      </c>
      <c r="N210" s="54" t="str">
        <f>IF(AND('Mapa final'!$AB$17="Muy Baja",'Mapa final'!$AD$17="Menor"),CONCATENATE("R5C",'Mapa final'!$R$17),"")</f>
        <v/>
      </c>
      <c r="O210" s="116" t="str">
        <f>IF(AND('Mapa final'!$AB$18="Muy Baja",'Mapa final'!$AD$18="Menor"),CONCATENATE("R5C",'Mapa final'!$R$18),"")</f>
        <v/>
      </c>
      <c r="P210" s="49" t="str">
        <f>IF(AND('Mapa final'!$AB$16="Muy Baja",'Mapa final'!$AD$16="Moderado"),CONCATENATE("R5C",'Mapa final'!$R$16),"")</f>
        <v/>
      </c>
      <c r="Q210" s="50" t="str">
        <f>IF(AND('Mapa final'!$AB$17="Muy Baja",'Mapa final'!$AD$17="Moderado"),CONCATENATE("R5C",'Mapa final'!$R$17),"")</f>
        <v/>
      </c>
      <c r="R210" s="111" t="str">
        <f>IF(AND('Mapa final'!$AB$18="Muy Baja",'Mapa final'!$AD$18="Moderado"),CONCATENATE("R5C",'Mapa final'!$R$18),"")</f>
        <v/>
      </c>
      <c r="S210" s="105" t="str">
        <f>IF(AND('Mapa final'!$AB$16="Muy Baja",'Mapa final'!$AD$16="Mayor"),CONCATENATE("R5C",'Mapa final'!$R$16),"")</f>
        <v/>
      </c>
      <c r="T210" s="42" t="str">
        <f>IF(AND('Mapa final'!$AB$17="Muy Baja",'Mapa final'!$AD$17="Mayor"),CONCATENATE("R5C",'Mapa final'!$R$17),"")</f>
        <v/>
      </c>
      <c r="U210" s="106" t="str">
        <f>IF(AND('Mapa final'!$AB$18="Muy Baja",'Mapa final'!$AD$18="Mayor"),CONCATENATE("R5C",'Mapa final'!$R$18),"")</f>
        <v/>
      </c>
      <c r="V210" s="43" t="str">
        <f>IF(AND('Mapa final'!$AB$16="Muy Baja",'Mapa final'!$AD$16="Catastrófico"),CONCATENATE("R5C",'Mapa final'!$R$16),"")</f>
        <v/>
      </c>
      <c r="W210" s="44" t="str">
        <f>IF(AND('Mapa final'!$AB$17="Muy Baja",'Mapa final'!$AD$17="Catastrófico"),CONCATENATE("R5C",'Mapa final'!$R$17),"")</f>
        <v/>
      </c>
      <c r="X210" s="100" t="str">
        <f>IF(AND('Mapa final'!$AB$18="Muy Baja",'Mapa final'!$AD$18="Catastrófico"),CONCATENATE("R5C",'Mapa final'!$R$18),"")</f>
        <v/>
      </c>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row>
    <row r="211" spans="1:65" ht="15.5" x14ac:dyDescent="0.35">
      <c r="A211" s="56"/>
      <c r="B211" s="311"/>
      <c r="C211" s="311"/>
      <c r="D211" s="312"/>
      <c r="E211" s="287"/>
      <c r="F211" s="283"/>
      <c r="G211" s="283"/>
      <c r="H211" s="283"/>
      <c r="I211" s="283"/>
      <c r="J211" s="115" t="str">
        <f>IF(AND('Mapa final'!$AB$19="Muy Baja",'Mapa final'!$AD$19="Leve"),CONCATENATE("R6C",'Mapa final'!$R$19),"")</f>
        <v/>
      </c>
      <c r="K211" s="54" t="str">
        <f>IF(AND('Mapa final'!$AB$20="Muy Baja",'Mapa final'!$AD$20="Leve"),CONCATENATE("R6C",'Mapa final'!$R$20),"")</f>
        <v/>
      </c>
      <c r="L211" s="116" t="str">
        <f>IF(AND('Mapa final'!$AB$21="Muy Baja",'Mapa final'!$AD$21="Leve"),CONCATENATE("R6C",'Mapa final'!$R$21),"")</f>
        <v/>
      </c>
      <c r="M211" s="115" t="str">
        <f>IF(AND('Mapa final'!$AB$19="Muy Baja",'Mapa final'!$AD$19="Menor"),CONCATENATE("R6C",'Mapa final'!$R$19),"")</f>
        <v/>
      </c>
      <c r="N211" s="54" t="str">
        <f>IF(AND('Mapa final'!$AB$20="Muy Baja",'Mapa final'!$AD$20="Menor"),CONCATENATE("R6C",'Mapa final'!$R$20),"")</f>
        <v/>
      </c>
      <c r="O211" s="116" t="str">
        <f>IF(AND('Mapa final'!$AB$21="Muy Baja",'Mapa final'!$AD$21="Menor"),CONCATENATE("R6C",'Mapa final'!$R$21),"")</f>
        <v/>
      </c>
      <c r="P211" s="49" t="str">
        <f>IF(AND('Mapa final'!$AB$19="Muy Baja",'Mapa final'!$AD$19="Moderado"),CONCATENATE("R6C",'Mapa final'!$R$19),"")</f>
        <v>R6C1</v>
      </c>
      <c r="Q211" s="50" t="str">
        <f>IF(AND('Mapa final'!$AB$20="Muy Baja",'Mapa final'!$AD$20="Moderado"),CONCATENATE("R6C",'Mapa final'!$R$20),"")</f>
        <v/>
      </c>
      <c r="R211" s="111" t="str">
        <f>IF(AND('Mapa final'!$AB$21="Muy Baja",'Mapa final'!$AD$21="Moderado"),CONCATENATE("R6C",'Mapa final'!$R$21),"")</f>
        <v/>
      </c>
      <c r="S211" s="105" t="str">
        <f>IF(AND('Mapa final'!$AB$19="Muy Baja",'Mapa final'!$AD$19="Mayor"),CONCATENATE("R6C",'Mapa final'!$R$19),"")</f>
        <v/>
      </c>
      <c r="T211" s="42" t="str">
        <f>IF(AND('Mapa final'!$AB$20="Muy Baja",'Mapa final'!$AD$20="Mayor"),CONCATENATE("R6C",'Mapa final'!$R$20),"")</f>
        <v/>
      </c>
      <c r="U211" s="106" t="str">
        <f>IF(AND('Mapa final'!$AB$21="Muy Baja",'Mapa final'!$AD$21="Mayor"),CONCATENATE("R6C",'Mapa final'!$R$21),"")</f>
        <v/>
      </c>
      <c r="V211" s="43" t="str">
        <f>IF(AND('Mapa final'!$AB$19="Muy Baja",'Mapa final'!$AD$19="Catastrófico"),CONCATENATE("R6C",'Mapa final'!$R$19),"")</f>
        <v/>
      </c>
      <c r="W211" s="44" t="str">
        <f>IF(AND('Mapa final'!$AB$20="Muy Baja",'Mapa final'!$AD$20="Catastrófico"),CONCATENATE("R6C",'Mapa final'!$R$20),"")</f>
        <v/>
      </c>
      <c r="X211" s="100" t="str">
        <f>IF(AND('Mapa final'!$AB$21="Muy Baja",'Mapa final'!$AD$21="Catastrófico"),CONCATENATE("R6C",'Mapa final'!$R$21),"")</f>
        <v/>
      </c>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row>
    <row r="212" spans="1:65" ht="15.5" x14ac:dyDescent="0.35">
      <c r="A212" s="56"/>
      <c r="B212" s="311"/>
      <c r="C212" s="311"/>
      <c r="D212" s="312"/>
      <c r="E212" s="287"/>
      <c r="F212" s="283"/>
      <c r="G212" s="283"/>
      <c r="H212" s="283"/>
      <c r="I212" s="283"/>
      <c r="J212" s="115" t="str">
        <f>IF(AND('Mapa final'!$AB$22="Muy Baja",'Mapa final'!$AD$22="Leve"),CONCATENATE("R7C",'Mapa final'!$R$22),"")</f>
        <v/>
      </c>
      <c r="K212" s="54" t="str">
        <f>IF(AND('Mapa final'!$AB$23="Muy Baja",'Mapa final'!$AD$23="Leve"),CONCATENATE("R7C",'Mapa final'!$R$23),"")</f>
        <v/>
      </c>
      <c r="L212" s="116" t="str">
        <f>IF(AND('Mapa final'!$AB$24="Muy Baja",'Mapa final'!$AD$24="Leve"),CONCATENATE("R7C",'Mapa final'!$R$24),"")</f>
        <v/>
      </c>
      <c r="M212" s="115" t="str">
        <f>IF(AND('Mapa final'!$AB$22="Muy Baja",'Mapa final'!$AD$22="Menor"),CONCATENATE("R7C",'Mapa final'!$R$22),"")</f>
        <v/>
      </c>
      <c r="N212" s="54" t="str">
        <f>IF(AND('Mapa final'!$AB$23="Muy Baja",'Mapa final'!$AD$23="Menor"),CONCATENATE("R7C",'Mapa final'!$R$23),"")</f>
        <v/>
      </c>
      <c r="O212" s="116" t="str">
        <f>IF(AND('Mapa final'!$AB$24="Muy Baja",'Mapa final'!$AD$24="Menor"),CONCATENATE("R7C",'Mapa final'!$R$24),"")</f>
        <v/>
      </c>
      <c r="P212" s="49" t="str">
        <f>IF(AND('Mapa final'!$AB$22="Muy Baja",'Mapa final'!$AD$22="Moderado"),CONCATENATE("R7C",'Mapa final'!$R$22),"")</f>
        <v>R7C1</v>
      </c>
      <c r="Q212" s="50" t="str">
        <f>IF(AND('Mapa final'!$AB$23="Muy Baja",'Mapa final'!$AD$23="Moderado"),CONCATENATE("R7C",'Mapa final'!$R$23),"")</f>
        <v/>
      </c>
      <c r="R212" s="111" t="str">
        <f>IF(AND('Mapa final'!$AB$24="Muy Baja",'Mapa final'!$AD$24="Moderado"),CONCATENATE("R7C",'Mapa final'!$R$24),"")</f>
        <v/>
      </c>
      <c r="S212" s="105" t="str">
        <f>IF(AND('Mapa final'!$AB$22="Muy Baja",'Mapa final'!$AD$22="Mayor"),CONCATENATE("R7C",'Mapa final'!$R$22),"")</f>
        <v/>
      </c>
      <c r="T212" s="42" t="str">
        <f>IF(AND('Mapa final'!$AB$23="Muy Baja",'Mapa final'!$AD$23="Mayor"),CONCATENATE("R7C",'Mapa final'!$R$23),"")</f>
        <v/>
      </c>
      <c r="U212" s="106" t="str">
        <f>IF(AND('Mapa final'!$AB$24="Muy Baja",'Mapa final'!$AD$24="Mayor"),CONCATENATE("R7C",'Mapa final'!$R$24),"")</f>
        <v/>
      </c>
      <c r="V212" s="43" t="str">
        <f>IF(AND('Mapa final'!$AB$22="Muy Baja",'Mapa final'!$AD$22="Catastrófico"),CONCATENATE("R7C",'Mapa final'!$R$22),"")</f>
        <v/>
      </c>
      <c r="W212" s="44" t="str">
        <f>IF(AND('Mapa final'!$AB$23="Muy Baja",'Mapa final'!$AD$23="Catastrófico"),CONCATENATE("R7C",'Mapa final'!$R$23),"")</f>
        <v/>
      </c>
      <c r="X212" s="100" t="str">
        <f>IF(AND('Mapa final'!$AB$24="Muy Baja",'Mapa final'!$AD$24="Catastrófico"),CONCATENATE("R7C",'Mapa final'!$R$24),"")</f>
        <v/>
      </c>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row>
    <row r="213" spans="1:65" ht="15.5" x14ac:dyDescent="0.35">
      <c r="A213" s="56"/>
      <c r="B213" s="311"/>
      <c r="C213" s="311"/>
      <c r="D213" s="312"/>
      <c r="E213" s="287"/>
      <c r="F213" s="283"/>
      <c r="G213" s="283"/>
      <c r="H213" s="283"/>
      <c r="I213" s="283"/>
      <c r="J213" s="115" t="str">
        <f>IF(AND('Mapa final'!$AB$25="Muy Baja",'Mapa final'!$AD$25="Leve"),CONCATENATE("R8C",'Mapa final'!$R$25),"")</f>
        <v/>
      </c>
      <c r="K213" s="54" t="str">
        <f>IF(AND('Mapa final'!$AB$26="Muy Baja",'Mapa final'!$AD$26="Leve"),CONCATENATE("R8C",'Mapa final'!$R$26),"")</f>
        <v/>
      </c>
      <c r="L213" s="116" t="str">
        <f>IF(AND('Mapa final'!$AB$27="Muy Baja",'Mapa final'!$AD$27="Leve"),CONCATENATE("R8C",'Mapa final'!$R$27),"")</f>
        <v/>
      </c>
      <c r="M213" s="115" t="str">
        <f>IF(AND('Mapa final'!$AB$25="Muy Baja",'Mapa final'!$AD$25="Menor"),CONCATENATE("R8C",'Mapa final'!$R$25),"")</f>
        <v/>
      </c>
      <c r="N213" s="54" t="str">
        <f>IF(AND('Mapa final'!$AB$26="Muy Baja",'Mapa final'!$AD$26="Menor"),CONCATENATE("R8C",'Mapa final'!$R$26),"")</f>
        <v/>
      </c>
      <c r="O213" s="116" t="str">
        <f>IF(AND('Mapa final'!$AB$27="Muy Baja",'Mapa final'!$AD$27="Menor"),CONCATENATE("R8C",'Mapa final'!$R$27),"")</f>
        <v/>
      </c>
      <c r="P213" s="49" t="str">
        <f>IF(AND('Mapa final'!$AB$25="Muy Baja",'Mapa final'!$AD$25="Moderado"),CONCATENATE("R8C",'Mapa final'!$R$25),"")</f>
        <v/>
      </c>
      <c r="Q213" s="50" t="str">
        <f>IF(AND('Mapa final'!$AB$26="Muy Baja",'Mapa final'!$AD$26="Moderado"),CONCATENATE("R8C",'Mapa final'!$R$26),"")</f>
        <v/>
      </c>
      <c r="R213" s="111" t="str">
        <f>IF(AND('Mapa final'!$AB$27="Muy Baja",'Mapa final'!$AD$27="Moderado"),CONCATENATE("R8C",'Mapa final'!$R$27),"")</f>
        <v/>
      </c>
      <c r="S213" s="105" t="str">
        <f>IF(AND('Mapa final'!$AB$25="Muy Baja",'Mapa final'!$AD$25="Mayor"),CONCATENATE("R8C",'Mapa final'!$R$25),"")</f>
        <v/>
      </c>
      <c r="T213" s="42" t="str">
        <f>IF(AND('Mapa final'!$AB$26="Muy Baja",'Mapa final'!$AD$26="Mayor"),CONCATENATE("R8C",'Mapa final'!$R$26),"")</f>
        <v/>
      </c>
      <c r="U213" s="106" t="str">
        <f>IF(AND('Mapa final'!$AB$27="Muy Baja",'Mapa final'!$AD$27="Mayor"),CONCATENATE("R8C",'Mapa final'!$R$27),"")</f>
        <v/>
      </c>
      <c r="V213" s="43" t="str">
        <f>IF(AND('Mapa final'!$AB$25="Muy Baja",'Mapa final'!$AD$25="Catastrófico"),CONCATENATE("R8C",'Mapa final'!$R$25),"")</f>
        <v/>
      </c>
      <c r="W213" s="44" t="str">
        <f>IF(AND('Mapa final'!$AB$26="Muy Baja",'Mapa final'!$AD$26="Catastrófico"),CONCATENATE("R8C",'Mapa final'!$R$26),"")</f>
        <v/>
      </c>
      <c r="X213" s="100" t="str">
        <f>IF(AND('Mapa final'!$AB$27="Muy Baja",'Mapa final'!$AD$27="Catastrófico"),CONCATENATE("R8C",'Mapa final'!$R$27),"")</f>
        <v/>
      </c>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row>
    <row r="214" spans="1:65" ht="15.5" x14ac:dyDescent="0.35">
      <c r="A214" s="56"/>
      <c r="B214" s="311"/>
      <c r="C214" s="311"/>
      <c r="D214" s="312"/>
      <c r="E214" s="287"/>
      <c r="F214" s="283"/>
      <c r="G214" s="283"/>
      <c r="H214" s="283"/>
      <c r="I214" s="283"/>
      <c r="J214" s="115" t="str">
        <f>IF(AND('Mapa final'!$AB$28="Muy Baja",'Mapa final'!$AD$28="Leve"),CONCATENATE("R9C",'Mapa final'!$R$28),"")</f>
        <v/>
      </c>
      <c r="K214" s="54" t="str">
        <f>IF(AND('Mapa final'!$AB$29="Muy Baja",'Mapa final'!$AD$29="Leve"),CONCATENATE("R9C",'Mapa final'!$R$29),"")</f>
        <v/>
      </c>
      <c r="L214" s="116" t="str">
        <f>IF(AND('Mapa final'!$AB$30="Muy Baja",'Mapa final'!$AD$30="Leve"),CONCATENATE("R9C",'Mapa final'!$R$30),"")</f>
        <v/>
      </c>
      <c r="M214" s="115" t="str">
        <f>IF(AND('Mapa final'!$AB$28="Muy Baja",'Mapa final'!$AD$28="Menor"),CONCATENATE("R9C",'Mapa final'!$R$28),"")</f>
        <v/>
      </c>
      <c r="N214" s="54" t="str">
        <f>IF(AND('Mapa final'!$AB$29="Muy Baja",'Mapa final'!$AD$29="Menor"),CONCATENATE("R9C",'Mapa final'!$R$29),"")</f>
        <v/>
      </c>
      <c r="O214" s="116" t="str">
        <f>IF(AND('Mapa final'!$AB$30="Muy Baja",'Mapa final'!$AD$30="Menor"),CONCATENATE("R9C",'Mapa final'!$R$30),"")</f>
        <v/>
      </c>
      <c r="P214" s="49" t="str">
        <f>IF(AND('Mapa final'!$AB$28="Muy Baja",'Mapa final'!$AD$28="Moderado"),CONCATENATE("R9C",'Mapa final'!$R$28),"")</f>
        <v/>
      </c>
      <c r="Q214" s="50" t="str">
        <f>IF(AND('Mapa final'!$AB$29="Muy Baja",'Mapa final'!$AD$29="Moderado"),CONCATENATE("R9C",'Mapa final'!$R$29),"")</f>
        <v/>
      </c>
      <c r="R214" s="111" t="str">
        <f>IF(AND('Mapa final'!$AB$30="Muy Baja",'Mapa final'!$AD$30="Moderado"),CONCATENATE("R9C",'Mapa final'!$R$30),"")</f>
        <v/>
      </c>
      <c r="S214" s="105" t="str">
        <f>IF(AND('Mapa final'!$AB$28="Muy Baja",'Mapa final'!$AD$28="Mayor"),CONCATENATE("R9C",'Mapa final'!$R$28),"")</f>
        <v/>
      </c>
      <c r="T214" s="42" t="str">
        <f>IF(AND('Mapa final'!$AB$29="Muy Baja",'Mapa final'!$AD$29="Mayor"),CONCATENATE("R9C",'Mapa final'!$R$29),"")</f>
        <v/>
      </c>
      <c r="U214" s="106" t="str">
        <f>IF(AND('Mapa final'!$AB$30="Muy Baja",'Mapa final'!$AD$30="Mayor"),CONCATENATE("R9C",'Mapa final'!$R$30),"")</f>
        <v/>
      </c>
      <c r="V214" s="43" t="str">
        <f>IF(AND('Mapa final'!$AB$28="Muy Baja",'Mapa final'!$AD$28="Catastrófico"),CONCATENATE("R9C",'Mapa final'!$R$28),"")</f>
        <v/>
      </c>
      <c r="W214" s="44" t="str">
        <f>IF(AND('Mapa final'!$AB$29="Muy Baja",'Mapa final'!$AD$29="Catastrófico"),CONCATENATE("R9C",'Mapa final'!$R$29),"")</f>
        <v/>
      </c>
      <c r="X214" s="100" t="str">
        <f>IF(AND('Mapa final'!$AB$30="Muy Baja",'Mapa final'!$AD$30="Catastrófico"),CONCATENATE("R9C",'Mapa final'!$R$30),"")</f>
        <v/>
      </c>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row>
    <row r="215" spans="1:65" ht="15.5" x14ac:dyDescent="0.35">
      <c r="A215" s="56"/>
      <c r="B215" s="311"/>
      <c r="C215" s="311"/>
      <c r="D215" s="312"/>
      <c r="E215" s="287"/>
      <c r="F215" s="283"/>
      <c r="G215" s="283"/>
      <c r="H215" s="283"/>
      <c r="I215" s="283"/>
      <c r="J215" s="115" t="str">
        <f>IF(AND('Mapa final'!$AB$31="Muy Baja",'Mapa final'!$AD$31="Leve"),CONCATENATE("R10C",'Mapa final'!$R$31),"")</f>
        <v/>
      </c>
      <c r="K215" s="54" t="str">
        <f>IF(AND('Mapa final'!$AB$32="Muy Baja",'Mapa final'!$AD$32="Leve"),CONCATENATE("R10C",'Mapa final'!$R$32),"")</f>
        <v/>
      </c>
      <c r="L215" s="116" t="str">
        <f>IF(AND('Mapa final'!$AB$33="Muy Baja",'Mapa final'!$AD$33="Leve"),CONCATENATE("R10C",'Mapa final'!$R$33),"")</f>
        <v/>
      </c>
      <c r="M215" s="115" t="str">
        <f>IF(AND('Mapa final'!$AB$31="Muy Baja",'Mapa final'!$AD$31="Menor"),CONCATENATE("R10C",'Mapa final'!$R$31),"")</f>
        <v/>
      </c>
      <c r="N215" s="54" t="str">
        <f>IF(AND('Mapa final'!$AB$32="Muy Baja",'Mapa final'!$AD$32="Menor"),CONCATENATE("R10C",'Mapa final'!$R$32),"")</f>
        <v/>
      </c>
      <c r="O215" s="116" t="str">
        <f>IF(AND('Mapa final'!$AB$33="Muy Baja",'Mapa final'!$AD$33="Menor"),CONCATENATE("R10C",'Mapa final'!$R$33),"")</f>
        <v/>
      </c>
      <c r="P215" s="49" t="str">
        <f>IF(AND('Mapa final'!$AB$31="Muy Baja",'Mapa final'!$AD$31="Moderado"),CONCATENATE("R10C",'Mapa final'!$R$31),"")</f>
        <v/>
      </c>
      <c r="Q215" s="50" t="str">
        <f>IF(AND('Mapa final'!$AB$32="Muy Baja",'Mapa final'!$AD$32="Moderado"),CONCATENATE("R10C",'Mapa final'!$R$32),"")</f>
        <v/>
      </c>
      <c r="R215" s="111" t="str">
        <f>IF(AND('Mapa final'!$AB$33="Muy Baja",'Mapa final'!$AD$33="Moderado"),CONCATENATE("R10C",'Mapa final'!$R$33),"")</f>
        <v/>
      </c>
      <c r="S215" s="105" t="str">
        <f>IF(AND('Mapa final'!$AB$31="Muy Baja",'Mapa final'!$AD$31="Mayor"),CONCATENATE("R10C",'Mapa final'!$R$31),"")</f>
        <v/>
      </c>
      <c r="T215" s="42" t="str">
        <f>IF(AND('Mapa final'!$AB$32="Muy Baja",'Mapa final'!$AD$32="Mayor"),CONCATENATE("R10C",'Mapa final'!$R$32),"")</f>
        <v/>
      </c>
      <c r="U215" s="106" t="str">
        <f>IF(AND('Mapa final'!$AB$33="Muy Baja",'Mapa final'!$AD$33="Mayor"),CONCATENATE("R10C",'Mapa final'!$R$33),"")</f>
        <v/>
      </c>
      <c r="V215" s="43" t="str">
        <f>IF(AND('Mapa final'!$AB$31="Muy Baja",'Mapa final'!$AD$31="Catastrófico"),CONCATENATE("R10C",'Mapa final'!$R$31),"")</f>
        <v/>
      </c>
      <c r="W215" s="44" t="str">
        <f>IF(AND('Mapa final'!$AB$32="Muy Baja",'Mapa final'!$AD$32="Catastrófico"),CONCATENATE("R10C",'Mapa final'!$R$32),"")</f>
        <v/>
      </c>
      <c r="X215" s="100" t="str">
        <f>IF(AND('Mapa final'!$AB$33="Muy Baja",'Mapa final'!$AD$33="Catastrófico"),CONCATENATE("R10C",'Mapa final'!$R$33),"")</f>
        <v/>
      </c>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row>
    <row r="216" spans="1:65" ht="15.5" x14ac:dyDescent="0.35">
      <c r="A216" s="56"/>
      <c r="B216" s="311"/>
      <c r="C216" s="311"/>
      <c r="D216" s="312"/>
      <c r="E216" s="287"/>
      <c r="F216" s="283"/>
      <c r="G216" s="283"/>
      <c r="H216" s="283"/>
      <c r="I216" s="283"/>
      <c r="J216" s="115" t="str">
        <f>IF(AND('Mapa final'!$AB$34="Muy Baja",'Mapa final'!$AD$34="Leve"),CONCATENATE("R11C",'Mapa final'!$R$34),"")</f>
        <v/>
      </c>
      <c r="K216" s="54" t="str">
        <f>IF(AND('Mapa final'!$AB$35="Muy Baja",'Mapa final'!$AD$35="Leve"),CONCATENATE("R11C",'Mapa final'!$R$35),"")</f>
        <v/>
      </c>
      <c r="L216" s="116" t="str">
        <f>IF(AND('Mapa final'!$AB$36="Muy Baja",'Mapa final'!$AD$36="Leve"),CONCATENATE("R11C",'Mapa final'!$R$36),"")</f>
        <v/>
      </c>
      <c r="M216" s="115" t="str">
        <f>IF(AND('Mapa final'!$AB$34="Muy Baja",'Mapa final'!$AD$34="Menor"),CONCATENATE("R11C",'Mapa final'!$R$34),"")</f>
        <v/>
      </c>
      <c r="N216" s="54" t="str">
        <f>IF(AND('Mapa final'!$AB$35="Muy Baja",'Mapa final'!$AD$35="Menor"),CONCATENATE("R11C",'Mapa final'!$R$35),"")</f>
        <v/>
      </c>
      <c r="O216" s="116" t="str">
        <f>IF(AND('Mapa final'!$AB$36="Muy Baja",'Mapa final'!$AD$36="Menor"),CONCATENATE("R11C",'Mapa final'!$R$36),"")</f>
        <v/>
      </c>
      <c r="P216" s="49" t="str">
        <f>IF(AND('Mapa final'!$AB$34="Muy Baja",'Mapa final'!$AD$34="Moderado"),CONCATENATE("R11C",'Mapa final'!$R$34),"")</f>
        <v/>
      </c>
      <c r="Q216" s="50" t="str">
        <f>IF(AND('Mapa final'!$AB$35="Muy Baja",'Mapa final'!$AD$35="Moderado"),CONCATENATE("R11C",'Mapa final'!$R$35),"")</f>
        <v/>
      </c>
      <c r="R216" s="111" t="str">
        <f>IF(AND('Mapa final'!$AB$36="Muy Baja",'Mapa final'!$AD$36="Moderado"),CONCATENATE("R11C",'Mapa final'!$R$36),"")</f>
        <v/>
      </c>
      <c r="S216" s="105" t="str">
        <f>IF(AND('Mapa final'!$AB$34="Muy Baja",'Mapa final'!$AD$34="Mayor"),CONCATENATE("R11C",'Mapa final'!$R$34),"")</f>
        <v/>
      </c>
      <c r="T216" s="42" t="str">
        <f>IF(AND('Mapa final'!$AB$35="Muy Baja",'Mapa final'!$AD$35="Mayor"),CONCATENATE("R11C",'Mapa final'!$R$35),"")</f>
        <v/>
      </c>
      <c r="U216" s="106" t="str">
        <f>IF(AND('Mapa final'!$AB$36="Muy Baja",'Mapa final'!$AD$36="Mayor"),CONCATENATE("R11C",'Mapa final'!$R$36),"")</f>
        <v/>
      </c>
      <c r="V216" s="43" t="str">
        <f>IF(AND('Mapa final'!$AB$34="Muy Baja",'Mapa final'!$AD$34="Catastrófico"),CONCATENATE("R11C",'Mapa final'!$R$34),"")</f>
        <v/>
      </c>
      <c r="W216" s="44" t="str">
        <f>IF(AND('Mapa final'!$AB$35="Muy Baja",'Mapa final'!$AD$35="Catastrófico"),CONCATENATE("R11C",'Mapa final'!$R$35),"")</f>
        <v/>
      </c>
      <c r="X216" s="100" t="str">
        <f>IF(AND('Mapa final'!$AB$36="Muy Baja",'Mapa final'!$AD$36="Catastrófico"),CONCATENATE("R11C",'Mapa final'!$R$36),"")</f>
        <v/>
      </c>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row>
    <row r="217" spans="1:65" ht="15.5" x14ac:dyDescent="0.35">
      <c r="A217" s="56"/>
      <c r="B217" s="311"/>
      <c r="C217" s="311"/>
      <c r="D217" s="312"/>
      <c r="E217" s="287"/>
      <c r="F217" s="283"/>
      <c r="G217" s="283"/>
      <c r="H217" s="283"/>
      <c r="I217" s="283"/>
      <c r="J217" s="115" t="str">
        <f>IF(AND('Mapa final'!$AB$37="Muy Baja",'Mapa final'!$AD$37="Leve"),CONCATENATE("R12C",'Mapa final'!$R$37),"")</f>
        <v/>
      </c>
      <c r="K217" s="54" t="str">
        <f>IF(AND('Mapa final'!$AB$38="Muy Baja",'Mapa final'!$AD$38="Leve"),CONCATENATE("R12C",'Mapa final'!$R$38),"")</f>
        <v/>
      </c>
      <c r="L217" s="116" t="str">
        <f>IF(AND('Mapa final'!$AB$39="Muy Baja",'Mapa final'!$AD$39="Leve"),CONCATENATE("R12C",'Mapa final'!$R$39),"")</f>
        <v/>
      </c>
      <c r="M217" s="115" t="str">
        <f>IF(AND('Mapa final'!$AB$37="Muy Baja",'Mapa final'!$AD$37="Menor"),CONCATENATE("R12C",'Mapa final'!$R$37),"")</f>
        <v/>
      </c>
      <c r="N217" s="54" t="str">
        <f>IF(AND('Mapa final'!$AB$38="Muy Baja",'Mapa final'!$AD$38="Menor"),CONCATENATE("R12C",'Mapa final'!$R$38),"")</f>
        <v/>
      </c>
      <c r="O217" s="116" t="str">
        <f>IF(AND('Mapa final'!$AB$39="Muy Baja",'Mapa final'!$AD$39="Menor"),CONCATENATE("R12C",'Mapa final'!$R$39),"")</f>
        <v/>
      </c>
      <c r="P217" s="49" t="str">
        <f>IF(AND('Mapa final'!$AB$37="Muy Baja",'Mapa final'!$AD$37="Moderado"),CONCATENATE("R12C",'Mapa final'!$R$37),"")</f>
        <v/>
      </c>
      <c r="Q217" s="50" t="str">
        <f>IF(AND('Mapa final'!$AB$38="Muy Baja",'Mapa final'!$AD$38="Moderado"),CONCATENATE("R12C",'Mapa final'!$R$38),"")</f>
        <v/>
      </c>
      <c r="R217" s="111" t="str">
        <f>IF(AND('Mapa final'!$AB$39="Muy Baja",'Mapa final'!$AD$39="Moderado"),CONCATENATE("R12C",'Mapa final'!$R$39),"")</f>
        <v/>
      </c>
      <c r="S217" s="105" t="str">
        <f>IF(AND('Mapa final'!$AB$37="Muy Baja",'Mapa final'!$AD$37="Mayor"),CONCATENATE("R12C",'Mapa final'!$R$37),"")</f>
        <v/>
      </c>
      <c r="T217" s="42" t="str">
        <f>IF(AND('Mapa final'!$AB$38="Muy Baja",'Mapa final'!$AD$38="Mayor"),CONCATENATE("R12C",'Mapa final'!$R$38),"")</f>
        <v/>
      </c>
      <c r="U217" s="106" t="str">
        <f>IF(AND('Mapa final'!$AB$39="Muy Baja",'Mapa final'!$AD$39="Mayor"),CONCATENATE("R12C",'Mapa final'!$R$39),"")</f>
        <v/>
      </c>
      <c r="V217" s="43" t="str">
        <f>IF(AND('Mapa final'!$AB$37="Muy Baja",'Mapa final'!$AD$37="Catastrófico"),CONCATENATE("R12C",'Mapa final'!$R$37),"")</f>
        <v/>
      </c>
      <c r="W217" s="44" t="str">
        <f>IF(AND('Mapa final'!$AB$38="Muy Baja",'Mapa final'!$AD$38="Catastrófico"),CONCATENATE("R12C",'Mapa final'!$R$38),"")</f>
        <v/>
      </c>
      <c r="X217" s="100" t="str">
        <f>IF(AND('Mapa final'!$AB$39="Muy Baja",'Mapa final'!$AD$39="Catastrófico"),CONCATENATE("R12C",'Mapa final'!$R$39),"")</f>
        <v/>
      </c>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row>
    <row r="218" spans="1:65" ht="15.5" x14ac:dyDescent="0.35">
      <c r="A218" s="56"/>
      <c r="B218" s="311"/>
      <c r="C218" s="311"/>
      <c r="D218" s="312"/>
      <c r="E218" s="287"/>
      <c r="F218" s="283"/>
      <c r="G218" s="283"/>
      <c r="H218" s="283"/>
      <c r="I218" s="283"/>
      <c r="J218" s="115" t="str">
        <f>IF(AND('Mapa final'!$AB$40="Muy Baja",'Mapa final'!$AD$40="Leve"),CONCATENATE("R13C",'Mapa final'!$R$40),"")</f>
        <v/>
      </c>
      <c r="K218" s="54" t="str">
        <f>IF(AND('Mapa final'!$AB$41="Muy Baja",'Mapa final'!$AD$41="Leve"),CONCATENATE("R13C",'Mapa final'!$R$41),"")</f>
        <v/>
      </c>
      <c r="L218" s="116" t="str">
        <f>IF(AND('Mapa final'!$AB$42="Muy Baja",'Mapa final'!$AD$42="Leve"),CONCATENATE("R13C",'Mapa final'!$R$42),"")</f>
        <v/>
      </c>
      <c r="M218" s="115" t="str">
        <f>IF(AND('Mapa final'!$AB$40="Muy Baja",'Mapa final'!$AD$40="Menor"),CONCATENATE("R13C",'Mapa final'!$R$40),"")</f>
        <v/>
      </c>
      <c r="N218" s="54" t="str">
        <f>IF(AND('Mapa final'!$AB$41="Muy Baja",'Mapa final'!$AD$41="Menor"),CONCATENATE("R13C",'Mapa final'!$R$41),"")</f>
        <v/>
      </c>
      <c r="O218" s="116" t="str">
        <f>IF(AND('Mapa final'!$AB$42="Muy Baja",'Mapa final'!$AD$42="Menor"),CONCATENATE("R13C",'Mapa final'!$R$42),"")</f>
        <v/>
      </c>
      <c r="P218" s="49" t="str">
        <f>IF(AND('Mapa final'!$AB$40="Muy Baja",'Mapa final'!$AD$40="Moderado"),CONCATENATE("R13C",'Mapa final'!$R$40),"")</f>
        <v>R13C1</v>
      </c>
      <c r="Q218" s="50" t="str">
        <f>IF(AND('Mapa final'!$AB$41="Muy Baja",'Mapa final'!$AD$41="Moderado"),CONCATENATE("R13C",'Mapa final'!$R$41),"")</f>
        <v/>
      </c>
      <c r="R218" s="111" t="str">
        <f>IF(AND('Mapa final'!$AB$42="Muy Baja",'Mapa final'!$AD$42="Moderado"),CONCATENATE("R13C",'Mapa final'!$R$42),"")</f>
        <v/>
      </c>
      <c r="S218" s="105" t="str">
        <f>IF(AND('Mapa final'!$AB$40="Muy Baja",'Mapa final'!$AD$40="Mayor"),CONCATENATE("R13C",'Mapa final'!$R$40),"")</f>
        <v/>
      </c>
      <c r="T218" s="42" t="str">
        <f>IF(AND('Mapa final'!$AB$41="Muy Baja",'Mapa final'!$AD$41="Mayor"),CONCATENATE("R13C",'Mapa final'!$R$41),"")</f>
        <v/>
      </c>
      <c r="U218" s="106" t="str">
        <f>IF(AND('Mapa final'!$AB$42="Muy Baja",'Mapa final'!$AD$42="Mayor"),CONCATENATE("R13C",'Mapa final'!$R$42),"")</f>
        <v/>
      </c>
      <c r="V218" s="43" t="str">
        <f>IF(AND('Mapa final'!$AB$40="Muy Baja",'Mapa final'!$AD$40="Catastrófico"),CONCATENATE("R13C",'Mapa final'!$R$40),"")</f>
        <v/>
      </c>
      <c r="W218" s="44" t="str">
        <f>IF(AND('Mapa final'!$AB$41="Muy Baja",'Mapa final'!$AD$41="Catastrófico"),CONCATENATE("R13C",'Mapa final'!$R$41),"")</f>
        <v/>
      </c>
      <c r="X218" s="100" t="str">
        <f>IF(AND('Mapa final'!$AB$42="Muy Baja",'Mapa final'!$AD$42="Catastrófico"),CONCATENATE("R13C",'Mapa final'!$R$42),"")</f>
        <v/>
      </c>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row>
    <row r="219" spans="1:65" ht="15.5" x14ac:dyDescent="0.35">
      <c r="A219" s="56"/>
      <c r="B219" s="311"/>
      <c r="C219" s="311"/>
      <c r="D219" s="312"/>
      <c r="E219" s="287"/>
      <c r="F219" s="283"/>
      <c r="G219" s="283"/>
      <c r="H219" s="283"/>
      <c r="I219" s="283"/>
      <c r="J219" s="115" t="str">
        <f>IF(AND('Mapa final'!$AB$43="Muy Baja",'Mapa final'!$AD$43="Leve"),CONCATENATE("R14C",'Mapa final'!$R$43),"")</f>
        <v/>
      </c>
      <c r="K219" s="54" t="str">
        <f>IF(AND('Mapa final'!$AB$44="Muy Baja",'Mapa final'!$AD$44="Leve"),CONCATENATE("R14C",'Mapa final'!$R$44),"")</f>
        <v/>
      </c>
      <c r="L219" s="116" t="str">
        <f>IF(AND('Mapa final'!$AB$45="Muy Baja",'Mapa final'!$AD$45="Leve"),CONCATENATE("R14C",'Mapa final'!$R$45),"")</f>
        <v/>
      </c>
      <c r="M219" s="115" t="str">
        <f>IF(AND('Mapa final'!$AB$43="Muy Baja",'Mapa final'!$AD$43="Menor"),CONCATENATE("R14C",'Mapa final'!$R$43),"")</f>
        <v/>
      </c>
      <c r="N219" s="54" t="str">
        <f>IF(AND('Mapa final'!$AB$44="Muy Baja",'Mapa final'!$AD$44="Menor"),CONCATENATE("R14C",'Mapa final'!$R$44),"")</f>
        <v/>
      </c>
      <c r="O219" s="116" t="str">
        <f>IF(AND('Mapa final'!$AB$45="Muy Baja",'Mapa final'!$AD$45="Menor"),CONCATENATE("R14C",'Mapa final'!$R$45),"")</f>
        <v/>
      </c>
      <c r="P219" s="49" t="str">
        <f>IF(AND('Mapa final'!$AB$43="Muy Baja",'Mapa final'!$AD$43="Moderado"),CONCATENATE("R14C",'Mapa final'!$R$43),"")</f>
        <v/>
      </c>
      <c r="Q219" s="50" t="str">
        <f>IF(AND('Mapa final'!$AB$44="Muy Baja",'Mapa final'!$AD$44="Moderado"),CONCATENATE("R14C",'Mapa final'!$R$44),"")</f>
        <v>R14C2</v>
      </c>
      <c r="R219" s="111" t="str">
        <f>IF(AND('Mapa final'!$AB$45="Muy Baja",'Mapa final'!$AD$45="Moderado"),CONCATENATE("R14C",'Mapa final'!$R$45),"")</f>
        <v/>
      </c>
      <c r="S219" s="105" t="str">
        <f>IF(AND('Mapa final'!$AB$43="Muy Baja",'Mapa final'!$AD$43="Mayor"),CONCATENATE("R14C",'Mapa final'!$R$43),"")</f>
        <v/>
      </c>
      <c r="T219" s="42" t="str">
        <f>IF(AND('Mapa final'!$AB$44="Muy Baja",'Mapa final'!$AD$44="Mayor"),CONCATENATE("R14C",'Mapa final'!$R$44),"")</f>
        <v/>
      </c>
      <c r="U219" s="106" t="str">
        <f>IF(AND('Mapa final'!$AB$45="Muy Baja",'Mapa final'!$AD$45="Mayor"),CONCATENATE("R14C",'Mapa final'!$R$45),"")</f>
        <v/>
      </c>
      <c r="V219" s="43" t="str">
        <f>IF(AND('Mapa final'!$AB$43="Muy Baja",'Mapa final'!$AD$43="Catastrófico"),CONCATENATE("R14C",'Mapa final'!$R$43),"")</f>
        <v/>
      </c>
      <c r="W219" s="44" t="str">
        <f>IF(AND('Mapa final'!$AB$44="Muy Baja",'Mapa final'!$AD$44="Catastrófico"),CONCATENATE("R14C",'Mapa final'!$R$44),"")</f>
        <v/>
      </c>
      <c r="X219" s="100" t="str">
        <f>IF(AND('Mapa final'!$AB$45="Muy Baja",'Mapa final'!$AD$45="Catastrófico"),CONCATENATE("R14C",'Mapa final'!$R$45),"")</f>
        <v/>
      </c>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row>
    <row r="220" spans="1:65" ht="15.5" x14ac:dyDescent="0.35">
      <c r="A220" s="56"/>
      <c r="B220" s="311"/>
      <c r="C220" s="311"/>
      <c r="D220" s="312"/>
      <c r="E220" s="287"/>
      <c r="F220" s="283"/>
      <c r="G220" s="283"/>
      <c r="H220" s="283"/>
      <c r="I220" s="283"/>
      <c r="J220" s="115" t="str">
        <f>IF(AND('Mapa final'!$AB$46="Muy Baja",'Mapa final'!$AD$46="Leve"),CONCATENATE("R15C",'Mapa final'!$R$46),"")</f>
        <v/>
      </c>
      <c r="K220" s="54" t="str">
        <f>IF(AND('Mapa final'!$AB$47="Muy Baja",'Mapa final'!$AD$47="Leve"),CONCATENATE("R15C",'Mapa final'!$R$47),"")</f>
        <v/>
      </c>
      <c r="L220" s="116" t="str">
        <f>IF(AND('Mapa final'!$AB$48="Muy Baja",'Mapa final'!$AD$48="Leve"),CONCATENATE("R15C",'Mapa final'!$R$48),"")</f>
        <v/>
      </c>
      <c r="M220" s="115" t="str">
        <f>IF(AND('Mapa final'!$AB$46="Muy Baja",'Mapa final'!$AD$46="Menor"),CONCATENATE("R15C",'Mapa final'!$R$46),"")</f>
        <v/>
      </c>
      <c r="N220" s="54" t="str">
        <f>IF(AND('Mapa final'!$AB$47="Muy Baja",'Mapa final'!$AD$47="Menor"),CONCATENATE("R15C",'Mapa final'!$R$47),"")</f>
        <v/>
      </c>
      <c r="O220" s="116" t="str">
        <f>IF(AND('Mapa final'!$AB$48="Muy Baja",'Mapa final'!$AD$48="Menor"),CONCATENATE("R15C",'Mapa final'!$R$48),"")</f>
        <v/>
      </c>
      <c r="P220" s="49" t="str">
        <f>IF(AND('Mapa final'!$AB$46="Muy Baja",'Mapa final'!$AD$46="Moderado"),CONCATENATE("R15C",'Mapa final'!$R$46),"")</f>
        <v/>
      </c>
      <c r="Q220" s="50" t="str">
        <f>IF(AND('Mapa final'!$AB$47="Muy Baja",'Mapa final'!$AD$47="Moderado"),CONCATENATE("R15C",'Mapa final'!$R$47),"")</f>
        <v/>
      </c>
      <c r="R220" s="111" t="str">
        <f>IF(AND('Mapa final'!$AB$48="Muy Baja",'Mapa final'!$AD$48="Moderado"),CONCATENATE("R15C",'Mapa final'!$R$48),"")</f>
        <v/>
      </c>
      <c r="S220" s="105" t="str">
        <f>IF(AND('Mapa final'!$AB$46="Muy Baja",'Mapa final'!$AD$46="Mayor"),CONCATENATE("R15C",'Mapa final'!$R$46),"")</f>
        <v/>
      </c>
      <c r="T220" s="42" t="str">
        <f>IF(AND('Mapa final'!$AB$47="Muy Baja",'Mapa final'!$AD$47="Mayor"),CONCATENATE("R15C",'Mapa final'!$R$47),"")</f>
        <v/>
      </c>
      <c r="U220" s="106" t="str">
        <f>IF(AND('Mapa final'!$AB$48="Muy Baja",'Mapa final'!$AD$48="Mayor"),CONCATENATE("R15C",'Mapa final'!$R$48),"")</f>
        <v/>
      </c>
      <c r="V220" s="43" t="str">
        <f>IF(AND('Mapa final'!$AB$46="Muy Baja",'Mapa final'!$AD$46="Catastrófico"),CONCATENATE("R15C",'Mapa final'!$R$46),"")</f>
        <v/>
      </c>
      <c r="W220" s="44" t="str">
        <f>IF(AND('Mapa final'!$AB$47="Muy Baja",'Mapa final'!$AD$47="Catastrófico"),CONCATENATE("R15C",'Mapa final'!$R$47),"")</f>
        <v/>
      </c>
      <c r="X220" s="100" t="str">
        <f>IF(AND('Mapa final'!$AB$48="Muy Baja",'Mapa final'!$AD$48="Catastrófico"),CONCATENATE("R15C",'Mapa final'!$R$48),"")</f>
        <v/>
      </c>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row>
    <row r="221" spans="1:65" ht="15.5" x14ac:dyDescent="0.35">
      <c r="A221" s="56"/>
      <c r="B221" s="311"/>
      <c r="C221" s="311"/>
      <c r="D221" s="312"/>
      <c r="E221" s="287"/>
      <c r="F221" s="283"/>
      <c r="G221" s="283"/>
      <c r="H221" s="283"/>
      <c r="I221" s="283"/>
      <c r="J221" s="115" t="str">
        <f>IF(AND('Mapa final'!$AB$49="Muy Baja",'Mapa final'!$AD$49="Leve"),CONCATENATE("R16C",'Mapa final'!$R$49),"")</f>
        <v/>
      </c>
      <c r="K221" s="54" t="str">
        <f>IF(AND('Mapa final'!$AB$50="Muy Baja",'Mapa final'!$AD$50="Leve"),CONCATENATE("R16C",'Mapa final'!$R$50),"")</f>
        <v/>
      </c>
      <c r="L221" s="116" t="str">
        <f>IF(AND('Mapa final'!$AB$51="Muy Baja",'Mapa final'!$AD$51="Leve"),CONCATENATE("R16C",'Mapa final'!$R$51),"")</f>
        <v/>
      </c>
      <c r="M221" s="115" t="str">
        <f>IF(AND('Mapa final'!$AB$49="Muy Baja",'Mapa final'!$AD$49="Menor"),CONCATENATE("R16C",'Mapa final'!$R$49),"")</f>
        <v/>
      </c>
      <c r="N221" s="54" t="str">
        <f>IF(AND('Mapa final'!$AB$50="Muy Baja",'Mapa final'!$AD$50="Menor"),CONCATENATE("R16C",'Mapa final'!$R$50),"")</f>
        <v/>
      </c>
      <c r="O221" s="116" t="str">
        <f>IF(AND('Mapa final'!$AB$51="Muy Baja",'Mapa final'!$AD$51="Menor"),CONCATENATE("R16C",'Mapa final'!$R$51),"")</f>
        <v/>
      </c>
      <c r="P221" s="49" t="str">
        <f>IF(AND('Mapa final'!$AB$49="Muy Baja",'Mapa final'!$AD$49="Moderado"),CONCATENATE("R16C",'Mapa final'!$R$49),"")</f>
        <v/>
      </c>
      <c r="Q221" s="50" t="str">
        <f>IF(AND('Mapa final'!$AB$50="Muy Baja",'Mapa final'!$AD$50="Moderado"),CONCATENATE("R16C",'Mapa final'!$R$50),"")</f>
        <v/>
      </c>
      <c r="R221" s="111" t="str">
        <f>IF(AND('Mapa final'!$AB$51="Muy Baja",'Mapa final'!$AD$51="Moderado"),CONCATENATE("R16C",'Mapa final'!$R$51),"")</f>
        <v/>
      </c>
      <c r="S221" s="105" t="str">
        <f>IF(AND('Mapa final'!$AB$49="Muy Baja",'Mapa final'!$AD$49="Mayor"),CONCATENATE("R16C",'Mapa final'!$R$49),"")</f>
        <v/>
      </c>
      <c r="T221" s="42" t="str">
        <f>IF(AND('Mapa final'!$AB$50="Muy Baja",'Mapa final'!$AD$50="Mayor"),CONCATENATE("R16C",'Mapa final'!$R$50),"")</f>
        <v/>
      </c>
      <c r="U221" s="106" t="str">
        <f>IF(AND('Mapa final'!$AB$51="Muy Baja",'Mapa final'!$AD$51="Mayor"),CONCATENATE("R16C",'Mapa final'!$R$51),"")</f>
        <v/>
      </c>
      <c r="V221" s="43" t="str">
        <f>IF(AND('Mapa final'!$AB$49="Muy Baja",'Mapa final'!$AD$49="Catastrófico"),CONCATENATE("R16C",'Mapa final'!$R$49),"")</f>
        <v/>
      </c>
      <c r="W221" s="44" t="str">
        <f>IF(AND('Mapa final'!$AB$50="Muy Baja",'Mapa final'!$AD$50="Catastrófico"),CONCATENATE("R16C",'Mapa final'!$R$50),"")</f>
        <v/>
      </c>
      <c r="X221" s="100" t="str">
        <f>IF(AND('Mapa final'!$AB$51="Muy Baja",'Mapa final'!$AD$51="Catastrófico"),CONCATENATE("R16C",'Mapa final'!$R$51),"")</f>
        <v/>
      </c>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row>
    <row r="222" spans="1:65" ht="15.5" x14ac:dyDescent="0.35">
      <c r="A222" s="56"/>
      <c r="B222" s="311"/>
      <c r="C222" s="311"/>
      <c r="D222" s="312"/>
      <c r="E222" s="287"/>
      <c r="F222" s="283"/>
      <c r="G222" s="283"/>
      <c r="H222" s="283"/>
      <c r="I222" s="283"/>
      <c r="J222" s="115" t="str">
        <f>IF(AND('Mapa final'!$AB$52="Muy Baja",'Mapa final'!$AD$52="Leve"),CONCATENATE("R17C",'Mapa final'!$R$52),"")</f>
        <v/>
      </c>
      <c r="K222" s="54" t="str">
        <f>IF(AND('Mapa final'!$AB$53="Muy Baja",'Mapa final'!$AD$53="Leve"),CONCATENATE("R17C",'Mapa final'!$R$53),"")</f>
        <v/>
      </c>
      <c r="L222" s="116" t="str">
        <f>IF(AND('Mapa final'!$AB$54="Muy Baja",'Mapa final'!$AD$54="Leve"),CONCATENATE("R17C",'Mapa final'!$R$54),"")</f>
        <v/>
      </c>
      <c r="M222" s="115" t="str">
        <f>IF(AND('Mapa final'!$AB$52="Muy Baja",'Mapa final'!$AD$52="Menor"),CONCATENATE("R17C",'Mapa final'!$R$52),"")</f>
        <v/>
      </c>
      <c r="N222" s="54" t="str">
        <f>IF(AND('Mapa final'!$AB$53="Muy Baja",'Mapa final'!$AD$53="Menor"),CONCATENATE("R17C",'Mapa final'!$R$53),"")</f>
        <v/>
      </c>
      <c r="O222" s="116" t="str">
        <f>IF(AND('Mapa final'!$AB$54="Muy Baja",'Mapa final'!$AD$54="Menor"),CONCATENATE("R17C",'Mapa final'!$R$54),"")</f>
        <v/>
      </c>
      <c r="P222" s="49" t="str">
        <f>IF(AND('Mapa final'!$AB$52="Muy Baja",'Mapa final'!$AD$52="Moderado"),CONCATENATE("R17C",'Mapa final'!$R$52),"")</f>
        <v/>
      </c>
      <c r="Q222" s="50" t="str">
        <f>IF(AND('Mapa final'!$AB$53="Muy Baja",'Mapa final'!$AD$53="Moderado"),CONCATENATE("R17C",'Mapa final'!$R$53),"")</f>
        <v/>
      </c>
      <c r="R222" s="111" t="str">
        <f>IF(AND('Mapa final'!$AB$54="Muy Baja",'Mapa final'!$AD$54="Moderado"),CONCATENATE("R17C",'Mapa final'!$R$54),"")</f>
        <v/>
      </c>
      <c r="S222" s="105" t="str">
        <f>IF(AND('Mapa final'!$AB$52="Muy Baja",'Mapa final'!$AD$52="Mayor"),CONCATENATE("R17C",'Mapa final'!$R$52),"")</f>
        <v/>
      </c>
      <c r="T222" s="42" t="str">
        <f>IF(AND('Mapa final'!$AB$53="Muy Baja",'Mapa final'!$AD$53="Mayor"),CONCATENATE("R17C",'Mapa final'!$R$53),"")</f>
        <v/>
      </c>
      <c r="U222" s="106" t="str">
        <f>IF(AND('Mapa final'!$AB$54="Muy Baja",'Mapa final'!$AD$54="Mayor"),CONCATENATE("R17C",'Mapa final'!$R$54),"")</f>
        <v/>
      </c>
      <c r="V222" s="43" t="str">
        <f>IF(AND('Mapa final'!$AB$52="Muy Baja",'Mapa final'!$AD$52="Catastrófico"),CONCATENATE("R17C",'Mapa final'!$R$52),"")</f>
        <v/>
      </c>
      <c r="W222" s="44" t="str">
        <f>IF(AND('Mapa final'!$AB$53="Muy Baja",'Mapa final'!$AD$53="Catastrófico"),CONCATENATE("R17C",'Mapa final'!$R$53),"")</f>
        <v/>
      </c>
      <c r="X222" s="100" t="str">
        <f>IF(AND('Mapa final'!$AB$54="Muy Baja",'Mapa final'!$AD$54="Catastrófico"),CONCATENATE("R17C",'Mapa final'!$R$54),"")</f>
        <v/>
      </c>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row>
    <row r="223" spans="1:65" ht="15.5" x14ac:dyDescent="0.35">
      <c r="A223" s="56"/>
      <c r="B223" s="311"/>
      <c r="C223" s="311"/>
      <c r="D223" s="312"/>
      <c r="E223" s="287"/>
      <c r="F223" s="283"/>
      <c r="G223" s="283"/>
      <c r="H223" s="283"/>
      <c r="I223" s="283"/>
      <c r="J223" s="115" t="str">
        <f>IF(AND('Mapa final'!$AB$55="Muy Baja",'Mapa final'!$AD$55="Leve"),CONCATENATE("R18C",'Mapa final'!$R$55),"")</f>
        <v/>
      </c>
      <c r="K223" s="54" t="str">
        <f>IF(AND('Mapa final'!$AB$56="Muy Baja",'Mapa final'!$AD$56="Leve"),CONCATENATE("R18C",'Mapa final'!$R$56),"")</f>
        <v/>
      </c>
      <c r="L223" s="116" t="str">
        <f>IF(AND('Mapa final'!$AB$57="Muy Baja",'Mapa final'!$AD$57="Leve"),CONCATENATE("R18C",'Mapa final'!$R$57),"")</f>
        <v/>
      </c>
      <c r="M223" s="115" t="str">
        <f>IF(AND('Mapa final'!$AB$55="Muy Baja",'Mapa final'!$AD$55="Menor"),CONCATENATE("R18C",'Mapa final'!$R$55),"")</f>
        <v/>
      </c>
      <c r="N223" s="54" t="str">
        <f>IF(AND('Mapa final'!$AB$56="Muy Baja",'Mapa final'!$AD$56="Menor"),CONCATENATE("R18C",'Mapa final'!$R$56),"")</f>
        <v/>
      </c>
      <c r="O223" s="116" t="str">
        <f>IF(AND('Mapa final'!$AB$57="Muy Baja",'Mapa final'!$AD$57="Menor"),CONCATENATE("R18C",'Mapa final'!$R$57),"")</f>
        <v/>
      </c>
      <c r="P223" s="49" t="str">
        <f>IF(AND('Mapa final'!$AB$55="Muy Baja",'Mapa final'!$AD$55="Moderado"),CONCATENATE("R18C",'Mapa final'!$R$55),"")</f>
        <v/>
      </c>
      <c r="Q223" s="50" t="str">
        <f>IF(AND('Mapa final'!$AB$56="Muy Baja",'Mapa final'!$AD$56="Moderado"),CONCATENATE("R18C",'Mapa final'!$R$56),"")</f>
        <v/>
      </c>
      <c r="R223" s="111" t="str">
        <f>IF(AND('Mapa final'!$AB$57="Muy Baja",'Mapa final'!$AD$57="Moderado"),CONCATENATE("R18C",'Mapa final'!$R$57),"")</f>
        <v/>
      </c>
      <c r="S223" s="105" t="str">
        <f>IF(AND('Mapa final'!$AB$55="Muy Baja",'Mapa final'!$AD$55="Mayor"),CONCATENATE("R18C",'Mapa final'!$R$55),"")</f>
        <v/>
      </c>
      <c r="T223" s="42" t="str">
        <f>IF(AND('Mapa final'!$AB$56="Muy Baja",'Mapa final'!$AD$56="Mayor"),CONCATENATE("R18C",'Mapa final'!$R$56),"")</f>
        <v/>
      </c>
      <c r="U223" s="106" t="str">
        <f>IF(AND('Mapa final'!$AB$57="Muy Baja",'Mapa final'!$AD$57="Mayor"),CONCATENATE("R18C",'Mapa final'!$R$57),"")</f>
        <v/>
      </c>
      <c r="V223" s="43" t="str">
        <f>IF(AND('Mapa final'!$AB$55="Muy Baja",'Mapa final'!$AD$55="Catastrófico"),CONCATENATE("R18C",'Mapa final'!$R$55),"")</f>
        <v/>
      </c>
      <c r="W223" s="44" t="str">
        <f>IF(AND('Mapa final'!$AB$56="Muy Baja",'Mapa final'!$AD$56="Catastrófico"),CONCATENATE("R18C",'Mapa final'!$R$56),"")</f>
        <v/>
      </c>
      <c r="X223" s="100" t="str">
        <f>IF(AND('Mapa final'!$AB$57="Muy Baja",'Mapa final'!$AD$57="Catastrófico"),CONCATENATE("R18C",'Mapa final'!$R$57),"")</f>
        <v/>
      </c>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row>
    <row r="224" spans="1:65" ht="15.5" x14ac:dyDescent="0.35">
      <c r="A224" s="56"/>
      <c r="B224" s="311"/>
      <c r="C224" s="311"/>
      <c r="D224" s="312"/>
      <c r="E224" s="287"/>
      <c r="F224" s="283"/>
      <c r="G224" s="283"/>
      <c r="H224" s="283"/>
      <c r="I224" s="283"/>
      <c r="J224" s="115" t="str">
        <f>IF(AND('Mapa final'!$AB$58="Muy Baja",'Mapa final'!$AD$58="Leve"),CONCATENATE("R19C",'Mapa final'!$R$58),"")</f>
        <v/>
      </c>
      <c r="K224" s="54" t="str">
        <f>IF(AND('Mapa final'!$AB$59="Muy Baja",'Mapa final'!$AD$59="Leve"),CONCATENATE("R19C",'Mapa final'!$R$59),"")</f>
        <v/>
      </c>
      <c r="L224" s="116" t="str">
        <f>IF(AND('Mapa final'!$AB$60="Muy Baja",'Mapa final'!$AD$60="Leve"),CONCATENATE("R19C",'Mapa final'!$R$60),"")</f>
        <v/>
      </c>
      <c r="M224" s="115" t="str">
        <f>IF(AND('Mapa final'!$AB$58="Muy Baja",'Mapa final'!$AD$58="Menor"),CONCATENATE("R19C",'Mapa final'!$R$58),"")</f>
        <v/>
      </c>
      <c r="N224" s="54" t="str">
        <f>IF(AND('Mapa final'!$AB$59="Muy Baja",'Mapa final'!$AD$59="Menor"),CONCATENATE("R19C",'Mapa final'!$R$59),"")</f>
        <v/>
      </c>
      <c r="O224" s="116" t="str">
        <f>IF(AND('Mapa final'!$AB$60="Muy Baja",'Mapa final'!$AD$60="Menor"),CONCATENATE("R19C",'Mapa final'!$R$60),"")</f>
        <v/>
      </c>
      <c r="P224" s="49" t="str">
        <f>IF(AND('Mapa final'!$AB$58="Muy Baja",'Mapa final'!$AD$58="Moderado"),CONCATENATE("R19C",'Mapa final'!$R$58),"")</f>
        <v/>
      </c>
      <c r="Q224" s="50" t="str">
        <f>IF(AND('Mapa final'!$AB$59="Muy Baja",'Mapa final'!$AD$59="Moderado"),CONCATENATE("R19C",'Mapa final'!$R$59),"")</f>
        <v/>
      </c>
      <c r="R224" s="111" t="str">
        <f>IF(AND('Mapa final'!$AB$60="Muy Baja",'Mapa final'!$AD$60="Moderado"),CONCATENATE("R19C",'Mapa final'!$R$60),"")</f>
        <v/>
      </c>
      <c r="S224" s="105" t="str">
        <f>IF(AND('Mapa final'!$AB$58="Muy Baja",'Mapa final'!$AD$58="Mayor"),CONCATENATE("R19C",'Mapa final'!$R$58),"")</f>
        <v/>
      </c>
      <c r="T224" s="42" t="str">
        <f>IF(AND('Mapa final'!$AB$59="Muy Baja",'Mapa final'!$AD$59="Mayor"),CONCATENATE("R19C",'Mapa final'!$R$59),"")</f>
        <v/>
      </c>
      <c r="U224" s="106" t="str">
        <f>IF(AND('Mapa final'!$AB$60="Muy Baja",'Mapa final'!$AD$60="Mayor"),CONCATENATE("R19C",'Mapa final'!$R$60),"")</f>
        <v/>
      </c>
      <c r="V224" s="43" t="str">
        <f>IF(AND('Mapa final'!$AB$58="Muy Baja",'Mapa final'!$AD$58="Catastrófico"),CONCATENATE("R19C",'Mapa final'!$R$58),"")</f>
        <v/>
      </c>
      <c r="W224" s="44" t="str">
        <f>IF(AND('Mapa final'!$AB$59="Muy Baja",'Mapa final'!$AD$59="Catastrófico"),CONCATENATE("R19C",'Mapa final'!$R$59),"")</f>
        <v/>
      </c>
      <c r="X224" s="100" t="str">
        <f>IF(AND('Mapa final'!$AB$60="Muy Baja",'Mapa final'!$AD$60="Catastrófico"),CONCATENATE("R19C",'Mapa final'!$R$60),"")</f>
        <v/>
      </c>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row>
    <row r="225" spans="1:65" ht="15.5" x14ac:dyDescent="0.35">
      <c r="A225" s="56"/>
      <c r="B225" s="311"/>
      <c r="C225" s="311"/>
      <c r="D225" s="312"/>
      <c r="E225" s="287"/>
      <c r="F225" s="283"/>
      <c r="G225" s="283"/>
      <c r="H225" s="283"/>
      <c r="I225" s="283"/>
      <c r="J225" s="115" t="str">
        <f>IF(AND('Mapa final'!$AB$61="Muy Baja",'Mapa final'!$AD$61="Leve"),CONCATENATE("R20C",'Mapa final'!$R$61),"")</f>
        <v/>
      </c>
      <c r="K225" s="54" t="str">
        <f>IF(AND('Mapa final'!$AB$62="Muy Baja",'Mapa final'!$AD$62="Leve"),CONCATENATE("R20C",'Mapa final'!$R$62),"")</f>
        <v/>
      </c>
      <c r="L225" s="116" t="str">
        <f>IF(AND('Mapa final'!$AB$63="Muy Baja",'Mapa final'!$AD$63="Leve"),CONCATENATE("R20C",'Mapa final'!$R$63),"")</f>
        <v/>
      </c>
      <c r="M225" s="115" t="str">
        <f>IF(AND('Mapa final'!$AB$61="Muy Baja",'Mapa final'!$AD$61="Menor"),CONCATENATE("R20C",'Mapa final'!$R$61),"")</f>
        <v/>
      </c>
      <c r="N225" s="54" t="str">
        <f>IF(AND('Mapa final'!$AB$62="Muy Baja",'Mapa final'!$AD$62="Menor"),CONCATENATE("R20C",'Mapa final'!$R$62),"")</f>
        <v/>
      </c>
      <c r="O225" s="116" t="str">
        <f>IF(AND('Mapa final'!$AB$63="Muy Baja",'Mapa final'!$AD$63="Menor"),CONCATENATE("R20C",'Mapa final'!$R$63),"")</f>
        <v/>
      </c>
      <c r="P225" s="49" t="str">
        <f>IF(AND('Mapa final'!$AB$61="Muy Baja",'Mapa final'!$AD$61="Moderado"),CONCATENATE("R20C",'Mapa final'!$R$61),"")</f>
        <v/>
      </c>
      <c r="Q225" s="50" t="str">
        <f>IF(AND('Mapa final'!$AB$62="Muy Baja",'Mapa final'!$AD$62="Moderado"),CONCATENATE("R20C",'Mapa final'!$R$62),"")</f>
        <v/>
      </c>
      <c r="R225" s="111" t="str">
        <f>IF(AND('Mapa final'!$AB$63="Muy Baja",'Mapa final'!$AD$63="Moderado"),CONCATENATE("R20C",'Mapa final'!$R$63),"")</f>
        <v/>
      </c>
      <c r="S225" s="105" t="str">
        <f>IF(AND('Mapa final'!$AB$61="Muy Baja",'Mapa final'!$AD$61="Mayor"),CONCATENATE("R20C",'Mapa final'!$R$61),"")</f>
        <v/>
      </c>
      <c r="T225" s="42" t="str">
        <f>IF(AND('Mapa final'!$AB$62="Muy Baja",'Mapa final'!$AD$62="Mayor"),CONCATENATE("R20C",'Mapa final'!$R$62),"")</f>
        <v/>
      </c>
      <c r="U225" s="106" t="str">
        <f>IF(AND('Mapa final'!$AB$63="Muy Baja",'Mapa final'!$AD$63="Mayor"),CONCATENATE("R20C",'Mapa final'!$R$63),"")</f>
        <v/>
      </c>
      <c r="V225" s="43" t="str">
        <f>IF(AND('Mapa final'!$AB$61="Muy Baja",'Mapa final'!$AD$61="Catastrófico"),CONCATENATE("R20C",'Mapa final'!$R$61),"")</f>
        <v/>
      </c>
      <c r="W225" s="44" t="str">
        <f>IF(AND('Mapa final'!$AB$62="Muy Baja",'Mapa final'!$AD$62="Catastrófico"),CONCATENATE("R20C",'Mapa final'!$R$62),"")</f>
        <v/>
      </c>
      <c r="X225" s="100" t="str">
        <f>IF(AND('Mapa final'!$AB$63="Muy Baja",'Mapa final'!$AD$63="Catastrófico"),CONCATENATE("R20C",'Mapa final'!$R$63),"")</f>
        <v/>
      </c>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row>
    <row r="226" spans="1:65" ht="15.5" x14ac:dyDescent="0.35">
      <c r="A226" s="56"/>
      <c r="B226" s="311"/>
      <c r="C226" s="311"/>
      <c r="D226" s="312"/>
      <c r="E226" s="287"/>
      <c r="F226" s="283"/>
      <c r="G226" s="283"/>
      <c r="H226" s="283"/>
      <c r="I226" s="283"/>
      <c r="J226" s="115" t="str">
        <f>IF(AND('Mapa final'!$AB$64="Muy Baja",'Mapa final'!$AD$64="Leve"),CONCATENATE("R21C",'Mapa final'!$R$64),"")</f>
        <v/>
      </c>
      <c r="K226" s="54" t="str">
        <f>IF(AND('Mapa final'!$AB$65="Muy Baja",'Mapa final'!$AD$65="Leve"),CONCATENATE("R21C",'Mapa final'!$R$65),"")</f>
        <v/>
      </c>
      <c r="L226" s="116" t="str">
        <f>IF(AND('Mapa final'!$AB$66="Muy Baja",'Mapa final'!$AD$66="Leve"),CONCATENATE("R21C",'Mapa final'!$R$66),"")</f>
        <v/>
      </c>
      <c r="M226" s="115" t="str">
        <f>IF(AND('Mapa final'!$AB$64="Muy Baja",'Mapa final'!$AD$64="Menor"),CONCATENATE("R21C",'Mapa final'!$R$64),"")</f>
        <v/>
      </c>
      <c r="N226" s="54" t="str">
        <f>IF(AND('Mapa final'!$AB$65="Muy Baja",'Mapa final'!$AD$65="Menor"),CONCATENATE("R21C",'Mapa final'!$R$65),"")</f>
        <v/>
      </c>
      <c r="O226" s="116" t="str">
        <f>IF(AND('Mapa final'!$AB$66="Muy Baja",'Mapa final'!$AD$66="Menor"),CONCATENATE("R21C",'Mapa final'!$R$66),"")</f>
        <v/>
      </c>
      <c r="P226" s="49" t="str">
        <f>IF(AND('Mapa final'!$AB$64="Muy Baja",'Mapa final'!$AD$64="Moderado"),CONCATENATE("R21C",'Mapa final'!$R$64),"")</f>
        <v/>
      </c>
      <c r="Q226" s="50" t="str">
        <f>IF(AND('Mapa final'!$AB$65="Muy Baja",'Mapa final'!$AD$65="Moderado"),CONCATENATE("R21C",'Mapa final'!$R$65),"")</f>
        <v/>
      </c>
      <c r="R226" s="111" t="str">
        <f>IF(AND('Mapa final'!$AB$66="Muy Baja",'Mapa final'!$AD$66="Moderado"),CONCATENATE("R21C",'Mapa final'!$R$66),"")</f>
        <v/>
      </c>
      <c r="S226" s="105" t="str">
        <f>IF(AND('Mapa final'!$AB$64="Muy Baja",'Mapa final'!$AD$64="Mayor"),CONCATENATE("R21C",'Mapa final'!$R$64),"")</f>
        <v/>
      </c>
      <c r="T226" s="42" t="str">
        <f>IF(AND('Mapa final'!$AB$65="Muy Baja",'Mapa final'!$AD$65="Mayor"),CONCATENATE("R21C",'Mapa final'!$R$65),"")</f>
        <v/>
      </c>
      <c r="U226" s="106" t="str">
        <f>IF(AND('Mapa final'!$AB$66="Muy Baja",'Mapa final'!$AD$66="Mayor"),CONCATENATE("R21C",'Mapa final'!$R$66),"")</f>
        <v/>
      </c>
      <c r="V226" s="43" t="str">
        <f>IF(AND('Mapa final'!$AB$64="Muy Baja",'Mapa final'!$AD$64="Catastrófico"),CONCATENATE("R21C",'Mapa final'!$R$64),"")</f>
        <v/>
      </c>
      <c r="W226" s="44" t="str">
        <f>IF(AND('Mapa final'!$AB$65="Muy Baja",'Mapa final'!$AD$65="Catastrófico"),CONCATENATE("R21C",'Mapa final'!$R$65),"")</f>
        <v/>
      </c>
      <c r="X226" s="100" t="str">
        <f>IF(AND('Mapa final'!$AB$66="Muy Baja",'Mapa final'!$AD$66="Catastrófico"),CONCATENATE("R21C",'Mapa final'!$R$66),"")</f>
        <v/>
      </c>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row>
    <row r="227" spans="1:65" ht="15.5" x14ac:dyDescent="0.35">
      <c r="A227" s="56"/>
      <c r="B227" s="311"/>
      <c r="C227" s="311"/>
      <c r="D227" s="312"/>
      <c r="E227" s="287"/>
      <c r="F227" s="283"/>
      <c r="G227" s="283"/>
      <c r="H227" s="283"/>
      <c r="I227" s="283"/>
      <c r="J227" s="115" t="str">
        <f>IF(AND('Mapa final'!$AB$67="Muy Baja",'Mapa final'!$AD$67="Leve"),CONCATENATE("R22C",'Mapa final'!$R$67),"")</f>
        <v/>
      </c>
      <c r="K227" s="54" t="str">
        <f>IF(AND('Mapa final'!$AB$68="Muy Baja",'Mapa final'!$AD$68="Leve"),CONCATENATE("R22C",'Mapa final'!$R$68),"")</f>
        <v/>
      </c>
      <c r="L227" s="116" t="str">
        <f>IF(AND('Mapa final'!$AB$69="Muy Baja",'Mapa final'!$AD$69="Leve"),CONCATENATE("R22C",'Mapa final'!$R$69),"")</f>
        <v/>
      </c>
      <c r="M227" s="115" t="str">
        <f>IF(AND('Mapa final'!$AB$67="Muy Baja",'Mapa final'!$AD$67="Menor"),CONCATENATE("R22C",'Mapa final'!$R$67),"")</f>
        <v/>
      </c>
      <c r="N227" s="54" t="str">
        <f>IF(AND('Mapa final'!$AB$68="Muy Baja",'Mapa final'!$AD$68="Menor"),CONCATENATE("R22C",'Mapa final'!$R$68),"")</f>
        <v/>
      </c>
      <c r="O227" s="116" t="str">
        <f>IF(AND('Mapa final'!$AB$69="Muy Baja",'Mapa final'!$AD$69="Menor"),CONCATENATE("R22C",'Mapa final'!$R$69),"")</f>
        <v/>
      </c>
      <c r="P227" s="49" t="str">
        <f>IF(AND('Mapa final'!$AB$67="Muy Baja",'Mapa final'!$AD$67="Moderado"),CONCATENATE("R22C",'Mapa final'!$R$67),"")</f>
        <v/>
      </c>
      <c r="Q227" s="50" t="str">
        <f>IF(AND('Mapa final'!$AB$68="Muy Baja",'Mapa final'!$AD$68="Moderado"),CONCATENATE("R22C",'Mapa final'!$R$68),"")</f>
        <v/>
      </c>
      <c r="R227" s="111" t="str">
        <f>IF(AND('Mapa final'!$AB$69="Muy Baja",'Mapa final'!$AD$69="Moderado"),CONCATENATE("R22C",'Mapa final'!$R$69),"")</f>
        <v/>
      </c>
      <c r="S227" s="105" t="str">
        <f>IF(AND('Mapa final'!$AB$67="Muy Baja",'Mapa final'!$AD$67="Mayor"),CONCATENATE("R22C",'Mapa final'!$R$67),"")</f>
        <v/>
      </c>
      <c r="T227" s="42" t="str">
        <f>IF(AND('Mapa final'!$AB$68="Muy Baja",'Mapa final'!$AD$68="Mayor"),CONCATENATE("R22C",'Mapa final'!$R$68),"")</f>
        <v/>
      </c>
      <c r="U227" s="106" t="str">
        <f>IF(AND('Mapa final'!$AB$69="Muy Baja",'Mapa final'!$AD$69="Mayor"),CONCATENATE("R22C",'Mapa final'!$R$69),"")</f>
        <v/>
      </c>
      <c r="V227" s="43" t="str">
        <f>IF(AND('Mapa final'!$AB$67="Muy Baja",'Mapa final'!$AD$67="Catastrófico"),CONCATENATE("R22C",'Mapa final'!$R$67),"")</f>
        <v/>
      </c>
      <c r="W227" s="44" t="str">
        <f>IF(AND('Mapa final'!$AB$68="Muy Baja",'Mapa final'!$AD$68="Catastrófico"),CONCATENATE("R22C",'Mapa final'!$R$68),"")</f>
        <v/>
      </c>
      <c r="X227" s="100" t="str">
        <f>IF(AND('Mapa final'!$AB$69="Muy Baja",'Mapa final'!$AD$69="Catastrófico"),CONCATENATE("R22C",'Mapa final'!$R$69),"")</f>
        <v/>
      </c>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row>
    <row r="228" spans="1:65" ht="15.5" x14ac:dyDescent="0.35">
      <c r="A228" s="56"/>
      <c r="B228" s="311"/>
      <c r="C228" s="311"/>
      <c r="D228" s="312"/>
      <c r="E228" s="287"/>
      <c r="F228" s="283"/>
      <c r="G228" s="283"/>
      <c r="H228" s="283"/>
      <c r="I228" s="283"/>
      <c r="J228" s="115" t="str">
        <f>IF(AND('Mapa final'!$AB$73="Muy Baja",'Mapa final'!$AD$73="Leve"),CONCATENATE("R23C",'Mapa final'!$R$73),"")</f>
        <v/>
      </c>
      <c r="K228" s="54" t="str">
        <f>IF(AND('Mapa final'!$AB$74="Muy Baja",'Mapa final'!$AD$74="Leve"),CONCATENATE("R23C",'Mapa final'!$R$74),"")</f>
        <v/>
      </c>
      <c r="L228" s="116" t="str">
        <f>IF(AND('Mapa final'!$AB$75="Muy Baja",'Mapa final'!$AD$75="Leve"),CONCATENATE("R23C",'Mapa final'!$R$75),"")</f>
        <v/>
      </c>
      <c r="M228" s="115" t="str">
        <f>IF(AND('Mapa final'!$AB$73="Muy Baja",'Mapa final'!$AD$73="Menor"),CONCATENATE("R23C",'Mapa final'!$R$73),"")</f>
        <v/>
      </c>
      <c r="N228" s="54" t="str">
        <f>IF(AND('Mapa final'!$AB$74="Muy Baja",'Mapa final'!$AD$74="Menor"),CONCATENATE("R23C",'Mapa final'!$R$74),"")</f>
        <v/>
      </c>
      <c r="O228" s="116" t="str">
        <f>IF(AND('Mapa final'!$AB$75="Muy Baja",'Mapa final'!$AD$75="Menor"),CONCATENATE("R23C",'Mapa final'!$R$75),"")</f>
        <v/>
      </c>
      <c r="P228" s="49" t="str">
        <f>IF(AND('Mapa final'!$AB$73="Muy Baja",'Mapa final'!$AD$73="Moderado"),CONCATENATE("R23C",'Mapa final'!$R$73),"")</f>
        <v/>
      </c>
      <c r="Q228" s="50" t="str">
        <f>IF(AND('Mapa final'!$AB$74="Muy Baja",'Mapa final'!$AD$74="Moderado"),CONCATENATE("R23C",'Mapa final'!$R$74),"")</f>
        <v/>
      </c>
      <c r="R228" s="111" t="str">
        <f>IF(AND('Mapa final'!$AB$75="Muy Baja",'Mapa final'!$AD$75="Moderado"),CONCATENATE("R23C",'Mapa final'!$R$75),"")</f>
        <v/>
      </c>
      <c r="S228" s="105" t="str">
        <f>IF(AND('Mapa final'!$AB$73="Muy Baja",'Mapa final'!$AD$73="Mayor"),CONCATENATE("R23C",'Mapa final'!$R$73),"")</f>
        <v/>
      </c>
      <c r="T228" s="42" t="str">
        <f>IF(AND('Mapa final'!$AB$74="Muy Baja",'Mapa final'!$AD$74="Mayor"),CONCATENATE("R23C",'Mapa final'!$R$74),"")</f>
        <v/>
      </c>
      <c r="U228" s="106" t="str">
        <f>IF(AND('Mapa final'!$AB$75="Muy Baja",'Mapa final'!$AD$75="Mayor"),CONCATENATE("R23C",'Mapa final'!$R$75),"")</f>
        <v>R23C3</v>
      </c>
      <c r="V228" s="43" t="str">
        <f>IF(AND('Mapa final'!$AB$73="Muy Baja",'Mapa final'!$AD$73="Catastrófico"),CONCATENATE("R23C",'Mapa final'!$R$73),"")</f>
        <v/>
      </c>
      <c r="W228" s="44" t="str">
        <f>IF(AND('Mapa final'!$AB$74="Muy Baja",'Mapa final'!$AD$74="Catastrófico"),CONCATENATE("R23C",'Mapa final'!$R$74),"")</f>
        <v/>
      </c>
      <c r="X228" s="100" t="str">
        <f>IF(AND('Mapa final'!$AB$75="Muy Baja",'Mapa final'!$AD$75="Catastrófico"),CONCATENATE("R23C",'Mapa final'!$R$75),"")</f>
        <v/>
      </c>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row>
    <row r="229" spans="1:65" ht="15.5" x14ac:dyDescent="0.35">
      <c r="A229" s="56"/>
      <c r="B229" s="311"/>
      <c r="C229" s="311"/>
      <c r="D229" s="312"/>
      <c r="E229" s="287"/>
      <c r="F229" s="283"/>
      <c r="G229" s="283"/>
      <c r="H229" s="283"/>
      <c r="I229" s="283"/>
      <c r="J229" s="115" t="str">
        <f>IF(AND('Mapa final'!$AB$76="Muy Baja",'Mapa final'!$AD$76="Leve"),CONCATENATE("R24C",'Mapa final'!$R$76),"")</f>
        <v/>
      </c>
      <c r="K229" s="54" t="str">
        <f>IF(AND('Mapa final'!$AB$77="Muy Baja",'Mapa final'!$AD$77="Leve"),CONCATENATE("R24C",'Mapa final'!$R$77),"")</f>
        <v/>
      </c>
      <c r="L229" s="116" t="str">
        <f>IF(AND('Mapa final'!$AB$78="Muy Baja",'Mapa final'!$AD$78="Leve"),CONCATENATE("R24C",'Mapa final'!$R$78),"")</f>
        <v/>
      </c>
      <c r="M229" s="115" t="str">
        <f>IF(AND('Mapa final'!$AB$76="Muy Baja",'Mapa final'!$AD$76="Menor"),CONCATENATE("R24C",'Mapa final'!$R$76),"")</f>
        <v/>
      </c>
      <c r="N229" s="54" t="str">
        <f>IF(AND('Mapa final'!$AB$77="Muy Baja",'Mapa final'!$AD$77="Menor"),CONCATENATE("R24C",'Mapa final'!$R$77),"")</f>
        <v/>
      </c>
      <c r="O229" s="116" t="str">
        <f>IF(AND('Mapa final'!$AB$78="Muy Baja",'Mapa final'!$AD$78="Menor"),CONCATENATE("R24C",'Mapa final'!$R$78),"")</f>
        <v/>
      </c>
      <c r="P229" s="49" t="str">
        <f>IF(AND('Mapa final'!$AB$76="Muy Baja",'Mapa final'!$AD$76="Moderado"),CONCATENATE("R24C",'Mapa final'!$R$76),"")</f>
        <v/>
      </c>
      <c r="Q229" s="50" t="str">
        <f>IF(AND('Mapa final'!$AB$77="Muy Baja",'Mapa final'!$AD$77="Moderado"),CONCATENATE("R24C",'Mapa final'!$R$77),"")</f>
        <v/>
      </c>
      <c r="R229" s="111" t="str">
        <f>IF(AND('Mapa final'!$AB$78="Muy Baja",'Mapa final'!$AD$78="Moderado"),CONCATENATE("R24C",'Mapa final'!$R$78),"")</f>
        <v/>
      </c>
      <c r="S229" s="105" t="str">
        <f>IF(AND('Mapa final'!$AB$76="Muy Baja",'Mapa final'!$AD$76="Mayor"),CONCATENATE("R24C",'Mapa final'!$R$76),"")</f>
        <v/>
      </c>
      <c r="T229" s="42" t="str">
        <f>IF(AND('Mapa final'!$AB$77="Muy Baja",'Mapa final'!$AD$77="Mayor"),CONCATENATE("R24C",'Mapa final'!$R$77),"")</f>
        <v/>
      </c>
      <c r="U229" s="106" t="str">
        <f>IF(AND('Mapa final'!$AB$78="Muy Baja",'Mapa final'!$AD$78="Mayor"),CONCATENATE("R24C",'Mapa final'!$R$78),"")</f>
        <v/>
      </c>
      <c r="V229" s="43" t="str">
        <f>IF(AND('Mapa final'!$AB$76="Muy Baja",'Mapa final'!$AD$76="Catastrófico"),CONCATENATE("R24C",'Mapa final'!$R$76),"")</f>
        <v/>
      </c>
      <c r="W229" s="44" t="str">
        <f>IF(AND('Mapa final'!$AB$77="Muy Baja",'Mapa final'!$AD$77="Catastrófico"),CONCATENATE("R24C",'Mapa final'!$R$77),"")</f>
        <v/>
      </c>
      <c r="X229" s="100" t="str">
        <f>IF(AND('Mapa final'!$AB$78="Muy Baja",'Mapa final'!$AD$78="Catastrófico"),CONCATENATE("R24C",'Mapa final'!$R$78),"")</f>
        <v/>
      </c>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row>
    <row r="230" spans="1:65" ht="15.5" x14ac:dyDescent="0.35">
      <c r="A230" s="56"/>
      <c r="B230" s="311"/>
      <c r="C230" s="311"/>
      <c r="D230" s="312"/>
      <c r="E230" s="287"/>
      <c r="F230" s="283"/>
      <c r="G230" s="283"/>
      <c r="H230" s="283"/>
      <c r="I230" s="283"/>
      <c r="J230" s="115" t="str">
        <f>IF(AND('Mapa final'!$AB$79="Muy Baja",'Mapa final'!$AD$79="Leve"),CONCATENATE("R25C",'Mapa final'!$R$79),"")</f>
        <v/>
      </c>
      <c r="K230" s="54" t="str">
        <f>IF(AND('Mapa final'!$AB$80="Muy Baja",'Mapa final'!$AD$80="Leve"),CONCATENATE("R25C",'Mapa final'!$R$80),"")</f>
        <v/>
      </c>
      <c r="L230" s="116" t="str">
        <f>IF(AND('Mapa final'!$AB$81="Muy Baja",'Mapa final'!$AD$81="Leve"),CONCATENATE("R25C",'Mapa final'!$R$81),"")</f>
        <v/>
      </c>
      <c r="M230" s="115" t="str">
        <f>IF(AND('Mapa final'!$AB$79="Muy Baja",'Mapa final'!$AD$79="Menor"),CONCATENATE("R25C",'Mapa final'!$R$79),"")</f>
        <v/>
      </c>
      <c r="N230" s="54" t="str">
        <f>IF(AND('Mapa final'!$AB$80="Muy Baja",'Mapa final'!$AD$80="Menor"),CONCATENATE("R25C",'Mapa final'!$R$80),"")</f>
        <v/>
      </c>
      <c r="O230" s="116" t="str">
        <f>IF(AND('Mapa final'!$AB$81="Muy Baja",'Mapa final'!$AD$81="Menor"),CONCATENATE("R25C",'Mapa final'!$R$81),"")</f>
        <v/>
      </c>
      <c r="P230" s="49" t="str">
        <f>IF(AND('Mapa final'!$AB$79="Muy Baja",'Mapa final'!$AD$79="Moderado"),CONCATENATE("R25C",'Mapa final'!$R$79),"")</f>
        <v/>
      </c>
      <c r="Q230" s="50" t="str">
        <f>IF(AND('Mapa final'!$AB$80="Muy Baja",'Mapa final'!$AD$80="Moderado"),CONCATENATE("R25C",'Mapa final'!$R$80),"")</f>
        <v>R25C2</v>
      </c>
      <c r="R230" s="111" t="str">
        <f>IF(AND('Mapa final'!$AB$81="Muy Baja",'Mapa final'!$AD$81="Moderado"),CONCATENATE("R25C",'Mapa final'!$R$81),"")</f>
        <v>R25C3</v>
      </c>
      <c r="S230" s="105" t="str">
        <f>IF(AND('Mapa final'!$AB$79="Muy Baja",'Mapa final'!$AD$79="Mayor"),CONCATENATE("R25C",'Mapa final'!$R$79),"")</f>
        <v/>
      </c>
      <c r="T230" s="42" t="str">
        <f>IF(AND('Mapa final'!$AB$80="Muy Baja",'Mapa final'!$AD$80="Mayor"),CONCATENATE("R25C",'Mapa final'!$R$80),"")</f>
        <v/>
      </c>
      <c r="U230" s="106" t="str">
        <f>IF(AND('Mapa final'!$AB$81="Muy Baja",'Mapa final'!$AD$81="Mayor"),CONCATENATE("R25C",'Mapa final'!$R$81),"")</f>
        <v/>
      </c>
      <c r="V230" s="43" t="str">
        <f>IF(AND('Mapa final'!$AB$79="Muy Baja",'Mapa final'!$AD$79="Catastrófico"),CONCATENATE("R25C",'Mapa final'!$R$79),"")</f>
        <v/>
      </c>
      <c r="W230" s="44" t="str">
        <f>IF(AND('Mapa final'!$AB$80="Muy Baja",'Mapa final'!$AD$80="Catastrófico"),CONCATENATE("R25C",'Mapa final'!$R$80),"")</f>
        <v/>
      </c>
      <c r="X230" s="100" t="str">
        <f>IF(AND('Mapa final'!$AB$81="Muy Baja",'Mapa final'!$AD$81="Catastrófico"),CONCATENATE("R25C",'Mapa final'!$R$81),"")</f>
        <v/>
      </c>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row>
    <row r="231" spans="1:65" ht="15.5" x14ac:dyDescent="0.35">
      <c r="A231" s="56"/>
      <c r="B231" s="311"/>
      <c r="C231" s="311"/>
      <c r="D231" s="312"/>
      <c r="E231" s="287"/>
      <c r="F231" s="283"/>
      <c r="G231" s="283"/>
      <c r="H231" s="283"/>
      <c r="I231" s="283"/>
      <c r="J231" s="115" t="str">
        <f>IF(AND('Mapa final'!$AB$82="Muy Baja",'Mapa final'!$AD$82="Leve"),CONCATENATE("R26C",'Mapa final'!$R$82),"")</f>
        <v/>
      </c>
      <c r="K231" s="54" t="str">
        <f>IF(AND('Mapa final'!$AB$83="Muy Baja",'Mapa final'!$AD$83="Leve"),CONCATENATE("R26C",'Mapa final'!$R$83),"")</f>
        <v/>
      </c>
      <c r="L231" s="116" t="str">
        <f>IF(AND('Mapa final'!$AB$84="Muy Baja",'Mapa final'!$AD$84="Leve"),CONCATENATE("R26C",'Mapa final'!$R$84),"")</f>
        <v/>
      </c>
      <c r="M231" s="115" t="str">
        <f>IF(AND('Mapa final'!$AB$82="Muy Baja",'Mapa final'!$AD$82="Menor"),CONCATENATE("R26C",'Mapa final'!$R$82),"")</f>
        <v/>
      </c>
      <c r="N231" s="54" t="str">
        <f>IF(AND('Mapa final'!$AB$83="Muy Baja",'Mapa final'!$AD$83="Menor"),CONCATENATE("R26C",'Mapa final'!$R$83),"")</f>
        <v/>
      </c>
      <c r="O231" s="116" t="str">
        <f>IF(AND('Mapa final'!$AB$84="Muy Baja",'Mapa final'!$AD$84="Menor"),CONCATENATE("R26C",'Mapa final'!$R$84),"")</f>
        <v/>
      </c>
      <c r="P231" s="49" t="str">
        <f>IF(AND('Mapa final'!$AB$82="Muy Baja",'Mapa final'!$AD$82="Moderado"),CONCATENATE("R26C",'Mapa final'!$R$82),"")</f>
        <v>R26C1</v>
      </c>
      <c r="Q231" s="50" t="str">
        <f>IF(AND('Mapa final'!$AB$83="Muy Baja",'Mapa final'!$AD$83="Moderado"),CONCATENATE("R26C",'Mapa final'!$R$83),"")</f>
        <v>R26C2</v>
      </c>
      <c r="R231" s="111" t="str">
        <f>IF(AND('Mapa final'!$AB$84="Muy Baja",'Mapa final'!$AD$84="Moderado"),CONCATENATE("R26C",'Mapa final'!$R$84),"")</f>
        <v>R26C3</v>
      </c>
      <c r="S231" s="105" t="str">
        <f>IF(AND('Mapa final'!$AB$82="Muy Baja",'Mapa final'!$AD$82="Mayor"),CONCATENATE("R26C",'Mapa final'!$R$82),"")</f>
        <v/>
      </c>
      <c r="T231" s="42" t="str">
        <f>IF(AND('Mapa final'!$AB$83="Muy Baja",'Mapa final'!$AD$83="Mayor"),CONCATENATE("R26C",'Mapa final'!$R$83),"")</f>
        <v/>
      </c>
      <c r="U231" s="106" t="str">
        <f>IF(AND('Mapa final'!$AB$84="Muy Baja",'Mapa final'!$AD$84="Mayor"),CONCATENATE("R26C",'Mapa final'!$R$84),"")</f>
        <v/>
      </c>
      <c r="V231" s="43" t="str">
        <f>IF(AND('Mapa final'!$AB$82="Muy Baja",'Mapa final'!$AD$82="Catastrófico"),CONCATENATE("R26C",'Mapa final'!$R$82),"")</f>
        <v/>
      </c>
      <c r="W231" s="44" t="str">
        <f>IF(AND('Mapa final'!$AB$83="Muy Baja",'Mapa final'!$AD$83="Catastrófico"),CONCATENATE("R26C",'Mapa final'!$R$83),"")</f>
        <v/>
      </c>
      <c r="X231" s="100" t="str">
        <f>IF(AND('Mapa final'!$AB$84="Muy Baja",'Mapa final'!$AD$84="Catastrófico"),CONCATENATE("R26C",'Mapa final'!$R$84),"")</f>
        <v/>
      </c>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row>
    <row r="232" spans="1:65" ht="15.5" x14ac:dyDescent="0.35">
      <c r="A232" s="56"/>
      <c r="B232" s="311"/>
      <c r="C232" s="311"/>
      <c r="D232" s="312"/>
      <c r="E232" s="287"/>
      <c r="F232" s="283"/>
      <c r="G232" s="283"/>
      <c r="H232" s="283"/>
      <c r="I232" s="283"/>
      <c r="J232" s="115" t="str">
        <f>IF(AND('Mapa final'!$AB$85="Muy Baja",'Mapa final'!$AD$85="Leve"),CONCATENATE("R27C",'Mapa final'!$R$85),"")</f>
        <v/>
      </c>
      <c r="K232" s="54" t="str">
        <f>IF(AND('Mapa final'!$AB$86="Muy Baja",'Mapa final'!$AD$86="Leve"),CONCATENATE("R27C",'Mapa final'!$R$86),"")</f>
        <v/>
      </c>
      <c r="L232" s="116" t="str">
        <f>IF(AND('Mapa final'!$AB$87="Muy Baja",'Mapa final'!$AD$87="Leve"),CONCATENATE("R27C",'Mapa final'!$R$87),"")</f>
        <v/>
      </c>
      <c r="M232" s="115" t="str">
        <f>IF(AND('Mapa final'!$AB$85="Muy Baja",'Mapa final'!$AD$85="Menor"),CONCATENATE("R27C",'Mapa final'!$R$85),"")</f>
        <v/>
      </c>
      <c r="N232" s="54" t="str">
        <f>IF(AND('Mapa final'!$AB$86="Muy Baja",'Mapa final'!$AD$86="Menor"),CONCATENATE("R27C",'Mapa final'!$R$86),"")</f>
        <v/>
      </c>
      <c r="O232" s="116" t="str">
        <f>IF(AND('Mapa final'!$AB$87="Muy Baja",'Mapa final'!$AD$87="Menor"),CONCATENATE("R27C",'Mapa final'!$R$87),"")</f>
        <v/>
      </c>
      <c r="P232" s="49" t="str">
        <f>IF(AND('Mapa final'!$AB$85="Muy Baja",'Mapa final'!$AD$85="Moderado"),CONCATENATE("R27C",'Mapa final'!$R$85),"")</f>
        <v/>
      </c>
      <c r="Q232" s="50" t="str">
        <f>IF(AND('Mapa final'!$AB$86="Muy Baja",'Mapa final'!$AD$86="Moderado"),CONCATENATE("R27C",'Mapa final'!$R$86),"")</f>
        <v/>
      </c>
      <c r="R232" s="111" t="str">
        <f>IF(AND('Mapa final'!$AB$87="Muy Baja",'Mapa final'!$AD$87="Moderado"),CONCATENATE("R27C",'Mapa final'!$R$87),"")</f>
        <v/>
      </c>
      <c r="S232" s="105" t="str">
        <f>IF(AND('Mapa final'!$AB$85="Muy Baja",'Mapa final'!$AD$85="Mayor"),CONCATENATE("R27C",'Mapa final'!$R$85),"")</f>
        <v/>
      </c>
      <c r="T232" s="42" t="str">
        <f>IF(AND('Mapa final'!$AB$86="Muy Baja",'Mapa final'!$AD$86="Mayor"),CONCATENATE("R27C",'Mapa final'!$R$86),"")</f>
        <v/>
      </c>
      <c r="U232" s="106" t="str">
        <f>IF(AND('Mapa final'!$AB$87="Muy Baja",'Mapa final'!$AD$87="Mayor"),CONCATENATE("R27C",'Mapa final'!$R$87),"")</f>
        <v/>
      </c>
      <c r="V232" s="43" t="str">
        <f>IF(AND('Mapa final'!$AB$85="Muy Baja",'Mapa final'!$AD$85="Catastrófico"),CONCATENATE("R27C",'Mapa final'!$R$85),"")</f>
        <v/>
      </c>
      <c r="W232" s="44" t="str">
        <f>IF(AND('Mapa final'!$AB$86="Muy Baja",'Mapa final'!$AD$86="Catastrófico"),CONCATENATE("R27C",'Mapa final'!$R$86),"")</f>
        <v/>
      </c>
      <c r="X232" s="100" t="str">
        <f>IF(AND('Mapa final'!$AB$87="Muy Baja",'Mapa final'!$AD$87="Catastrófico"),CONCATENATE("R27C",'Mapa final'!$R$87),"")</f>
        <v/>
      </c>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row>
    <row r="233" spans="1:65" ht="15.5" x14ac:dyDescent="0.35">
      <c r="A233" s="56"/>
      <c r="B233" s="311"/>
      <c r="C233" s="311"/>
      <c r="D233" s="312"/>
      <c r="E233" s="287"/>
      <c r="F233" s="283"/>
      <c r="G233" s="283"/>
      <c r="H233" s="283"/>
      <c r="I233" s="283"/>
      <c r="J233" s="115" t="str">
        <f>IF(AND('Mapa final'!$AB$88="Muy Baja",'Mapa final'!$AD$88="Leve"),CONCATENATE("R28C",'Mapa final'!$R$88),"")</f>
        <v/>
      </c>
      <c r="K233" s="54" t="str">
        <f>IF(AND('Mapa final'!$AB$89="Muy Baja",'Mapa final'!$AD$89="Leve"),CONCATENATE("R28C",'Mapa final'!$R$89),"")</f>
        <v/>
      </c>
      <c r="L233" s="116" t="str">
        <f>IF(AND('Mapa final'!$AB$90="Muy Baja",'Mapa final'!$AD$90="Leve"),CONCATENATE("R28C",'Mapa final'!$R$90),"")</f>
        <v/>
      </c>
      <c r="M233" s="115" t="str">
        <f>IF(AND('Mapa final'!$AB$88="Muy Baja",'Mapa final'!$AD$88="Menor"),CONCATENATE("R28C",'Mapa final'!$R$88),"")</f>
        <v/>
      </c>
      <c r="N233" s="54" t="str">
        <f>IF(AND('Mapa final'!$AB$89="Muy Baja",'Mapa final'!$AD$89="Menor"),CONCATENATE("R28C",'Mapa final'!$R$89),"")</f>
        <v/>
      </c>
      <c r="O233" s="116" t="str">
        <f>IF(AND('Mapa final'!$AB$90="Muy Baja",'Mapa final'!$AD$90="Menor"),CONCATENATE("R28C",'Mapa final'!$R$90),"")</f>
        <v/>
      </c>
      <c r="P233" s="49" t="str">
        <f>IF(AND('Mapa final'!$AB$88="Muy Baja",'Mapa final'!$AD$88="Moderado"),CONCATENATE("R28C",'Mapa final'!$R$88),"")</f>
        <v/>
      </c>
      <c r="Q233" s="50" t="str">
        <f>IF(AND('Mapa final'!$AB$89="Muy Baja",'Mapa final'!$AD$89="Moderado"),CONCATENATE("R28C",'Mapa final'!$R$89),"")</f>
        <v/>
      </c>
      <c r="R233" s="111" t="str">
        <f>IF(AND('Mapa final'!$AB$90="Muy Baja",'Mapa final'!$AD$90="Moderado"),CONCATENATE("R28C",'Mapa final'!$R$90),"")</f>
        <v/>
      </c>
      <c r="S233" s="105" t="str">
        <f>IF(AND('Mapa final'!$AB$88="Muy Baja",'Mapa final'!$AD$88="Mayor"),CONCATENATE("R28C",'Mapa final'!$R$88),"")</f>
        <v/>
      </c>
      <c r="T233" s="42" t="str">
        <f>IF(AND('Mapa final'!$AB$89="Muy Baja",'Mapa final'!$AD$89="Mayor"),CONCATENATE("R28C",'Mapa final'!$R$89),"")</f>
        <v/>
      </c>
      <c r="U233" s="106" t="str">
        <f>IF(AND('Mapa final'!$AB$90="Muy Baja",'Mapa final'!$AD$90="Mayor"),CONCATENATE("R28C",'Mapa final'!$R$90),"")</f>
        <v/>
      </c>
      <c r="V233" s="43" t="str">
        <f>IF(AND('Mapa final'!$AB$88="Muy Baja",'Mapa final'!$AD$88="Catastrófico"),CONCATENATE("R28C",'Mapa final'!$R$88),"")</f>
        <v/>
      </c>
      <c r="W233" s="44" t="str">
        <f>IF(AND('Mapa final'!$AB$89="Muy Baja",'Mapa final'!$AD$89="Catastrófico"),CONCATENATE("R28C",'Mapa final'!$R$89),"")</f>
        <v/>
      </c>
      <c r="X233" s="100" t="str">
        <f>IF(AND('Mapa final'!$AB$90="Muy Baja",'Mapa final'!$AD$90="Catastrófico"),CONCATENATE("R28C",'Mapa final'!$R$90),"")</f>
        <v/>
      </c>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row>
    <row r="234" spans="1:65" ht="15" customHeight="1" x14ac:dyDescent="0.35">
      <c r="A234" s="56"/>
      <c r="B234" s="311"/>
      <c r="C234" s="311"/>
      <c r="D234" s="312"/>
      <c r="E234" s="287"/>
      <c r="F234" s="283"/>
      <c r="G234" s="283"/>
      <c r="H234" s="283"/>
      <c r="I234" s="283"/>
      <c r="J234" s="115" t="str">
        <f>IF(AND('Mapa final'!$AB$91="Muy Baja",'Mapa final'!$AD$91="Leve"),CONCATENATE("R29C",'Mapa final'!$R$91),"")</f>
        <v/>
      </c>
      <c r="K234" s="54" t="str">
        <f>IF(AND('Mapa final'!$AB$92="Muy Baja",'Mapa final'!$AD$92="Leve"),CONCATENATE("R29C",'Mapa final'!$R$92),"")</f>
        <v/>
      </c>
      <c r="L234" s="116" t="str">
        <f>IF(AND('Mapa final'!$AB$93="Muy Baja",'Mapa final'!$AD$93="Leve"),CONCATENATE("R29C",'Mapa final'!$R$93),"")</f>
        <v/>
      </c>
      <c r="M234" s="115" t="str">
        <f>IF(AND('Mapa final'!$AB$91="Muy Baja",'Mapa final'!$AD$91="Menor"),CONCATENATE("R29C",'Mapa final'!$R$91),"")</f>
        <v/>
      </c>
      <c r="N234" s="54" t="str">
        <f>IF(AND('Mapa final'!$AB$92="Muy Baja",'Mapa final'!$AD$92="Menor"),CONCATENATE("R29C",'Mapa final'!$R$92),"")</f>
        <v/>
      </c>
      <c r="O234" s="116" t="str">
        <f>IF(AND('Mapa final'!$AB$93="Muy Baja",'Mapa final'!$AD$93="Menor"),CONCATENATE("R29C",'Mapa final'!$R$93),"")</f>
        <v/>
      </c>
      <c r="P234" s="49" t="str">
        <f>IF(AND('Mapa final'!$AB$91="Muy Baja",'Mapa final'!$AD$91="Moderado"),CONCATENATE("R29C",'Mapa final'!$R$91),"")</f>
        <v/>
      </c>
      <c r="Q234" s="50" t="str">
        <f>IF(AND('Mapa final'!$AB$92="Muy Baja",'Mapa final'!$AD$92="Moderado"),CONCATENATE("R29C",'Mapa final'!$R$92),"")</f>
        <v/>
      </c>
      <c r="R234" s="111" t="str">
        <f>IF(AND('Mapa final'!$AB$93="Muy Baja",'Mapa final'!$AD$93="Moderado"),CONCATENATE("R29C",'Mapa final'!$R$93),"")</f>
        <v/>
      </c>
      <c r="S234" s="105" t="str">
        <f>IF(AND('Mapa final'!$AB$91="Muy Baja",'Mapa final'!$AD$91="Mayor"),CONCATENATE("R29C",'Mapa final'!$R$91),"")</f>
        <v/>
      </c>
      <c r="T234" s="42" t="str">
        <f>IF(AND('Mapa final'!$AB$92="Muy Baja",'Mapa final'!$AD$92="Mayor"),CONCATENATE("R29C",'Mapa final'!$R$92),"")</f>
        <v/>
      </c>
      <c r="U234" s="106" t="str">
        <f>IF(AND('Mapa final'!$AB$93="Muy Baja",'Mapa final'!$AD$93="Mayor"),CONCATENATE("R29C",'Mapa final'!$R$93),"")</f>
        <v/>
      </c>
      <c r="V234" s="43" t="str">
        <f>IF(AND('Mapa final'!$AB$91="Muy Baja",'Mapa final'!$AD$91="Catastrófico"),CONCATENATE("R29C",'Mapa final'!$R$91),"")</f>
        <v/>
      </c>
      <c r="W234" s="44" t="str">
        <f>IF(AND('Mapa final'!$AB$92="Muy Baja",'Mapa final'!$AD$92="Catastrófico"),CONCATENATE("R29C",'Mapa final'!$R$92),"")</f>
        <v/>
      </c>
      <c r="X234" s="100" t="str">
        <f>IF(AND('Mapa final'!$AB$93="Muy Baja",'Mapa final'!$AD$93="Catastrófico"),CONCATENATE("R29C",'Mapa final'!$R$93),"")</f>
        <v/>
      </c>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row>
    <row r="235" spans="1:65" ht="15" customHeight="1" x14ac:dyDescent="0.35">
      <c r="A235" s="56"/>
      <c r="B235" s="311"/>
      <c r="C235" s="311"/>
      <c r="D235" s="312"/>
      <c r="E235" s="288"/>
      <c r="F235" s="301"/>
      <c r="G235" s="301"/>
      <c r="H235" s="301"/>
      <c r="I235" s="283"/>
      <c r="J235" s="115" t="str">
        <f>IF(AND('Mapa final'!$AB$94="Muy Baja",'Mapa final'!$AD$94="Leve"),CONCATENATE("R30C",'Mapa final'!$R$94),"")</f>
        <v/>
      </c>
      <c r="K235" s="54" t="str">
        <f>IF(AND('Mapa final'!$AB$95="Muy Baja",'Mapa final'!$AD$95="Leve"),CONCATENATE("R30C",'Mapa final'!$R$95),"")</f>
        <v/>
      </c>
      <c r="L235" s="116" t="str">
        <f>IF(AND('Mapa final'!$AB$96="Muy Baja",'Mapa final'!$AD$96="Leve"),CONCATENATE("R30C",'Mapa final'!$R$96),"")</f>
        <v/>
      </c>
      <c r="M235" s="115" t="str">
        <f>IF(AND('Mapa final'!$AB$94="Muy Baja",'Mapa final'!$AD$94="Menor"),CONCATENATE("R30C",'Mapa final'!$R$94),"")</f>
        <v/>
      </c>
      <c r="N235" s="54" t="str">
        <f>IF(AND('Mapa final'!$AB$95="Muy Baja",'Mapa final'!$AD$95="Menor"),CONCATENATE("R30C",'Mapa final'!$R$95),"")</f>
        <v/>
      </c>
      <c r="O235" s="116" t="str">
        <f>IF(AND('Mapa final'!$AB$96="Muy Baja",'Mapa final'!$AD$96="Menor"),CONCATENATE("R30C",'Mapa final'!$R$96),"")</f>
        <v/>
      </c>
      <c r="P235" s="49" t="str">
        <f>IF(AND('Mapa final'!$AB$94="Muy Baja",'Mapa final'!$AD$94="Moderado"),CONCATENATE("R30C",'Mapa final'!$R$94),"")</f>
        <v/>
      </c>
      <c r="Q235" s="50" t="str">
        <f>IF(AND('Mapa final'!$AB$95="Muy Baja",'Mapa final'!$AD$95="Moderado"),CONCATENATE("R30C",'Mapa final'!$R$95),"")</f>
        <v/>
      </c>
      <c r="R235" s="111" t="str">
        <f>IF(AND('Mapa final'!$AB$96="Muy Baja",'Mapa final'!$AD$96="Moderado"),CONCATENATE("R30C",'Mapa final'!$R$96),"")</f>
        <v/>
      </c>
      <c r="S235" s="105" t="str">
        <f>IF(AND('Mapa final'!$AB$94="Muy Baja",'Mapa final'!$AD$94="Mayor"),CONCATENATE("R30C",'Mapa final'!$R$94),"")</f>
        <v/>
      </c>
      <c r="T235" s="42" t="str">
        <f>IF(AND('Mapa final'!$AB$95="Muy Baja",'Mapa final'!$AD$95="Mayor"),CONCATENATE("R30C",'Mapa final'!$R$95),"")</f>
        <v/>
      </c>
      <c r="U235" s="106" t="str">
        <f>IF(AND('Mapa final'!$AB$96="Muy Baja",'Mapa final'!$AD$96="Mayor"),CONCATENATE("R30C",'Mapa final'!$R$96),"")</f>
        <v/>
      </c>
      <c r="V235" s="43" t="str">
        <f>IF(AND('Mapa final'!$AB$94="Muy Baja",'Mapa final'!$AD$94="Catastrófico"),CONCATENATE("R30C",'Mapa final'!$R$94),"")</f>
        <v/>
      </c>
      <c r="W235" s="44" t="str">
        <f>IF(AND('Mapa final'!$AB$95="Muy Baja",'Mapa final'!$AD$95="Catastrófico"),CONCATENATE("R30C",'Mapa final'!$R$95),"")</f>
        <v/>
      </c>
      <c r="X235" s="100" t="str">
        <f>IF(AND('Mapa final'!$AB$96="Muy Baja",'Mapa final'!$AD$96="Catastrófico"),CONCATENATE("R30C",'Mapa final'!$R$96),"")</f>
        <v/>
      </c>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row>
    <row r="236" spans="1:65" ht="15" customHeight="1" x14ac:dyDescent="0.35">
      <c r="A236" s="56"/>
      <c r="B236" s="311"/>
      <c r="C236" s="311"/>
      <c r="D236" s="312"/>
      <c r="E236" s="288"/>
      <c r="F236" s="301"/>
      <c r="G236" s="301"/>
      <c r="H236" s="301"/>
      <c r="I236" s="283"/>
      <c r="J236" s="115" t="str">
        <f>IF(AND('Mapa final'!$AB$97="Muy Baja",'Mapa final'!$AD$97="Leve"),CONCATENATE("R31C",'Mapa final'!$R$97),"")</f>
        <v/>
      </c>
      <c r="K236" s="54" t="str">
        <f>IF(AND('Mapa final'!$AB$98="Muy Baja",'Mapa final'!$AD$98="Leve"),CONCATENATE("R31C",'Mapa final'!$R$98),"")</f>
        <v/>
      </c>
      <c r="L236" s="116" t="str">
        <f>IF(AND('Mapa final'!$AB$99="Muy Baja",'Mapa final'!$AD$99="Leve"),CONCATENATE("R31C",'Mapa final'!$R$99),"")</f>
        <v/>
      </c>
      <c r="M236" s="115" t="str">
        <f>IF(AND('Mapa final'!$AB$97="Muy Baja",'Mapa final'!$AD$97="Menor"),CONCATENATE("R31C",'Mapa final'!$R$97),"")</f>
        <v/>
      </c>
      <c r="N236" s="54" t="str">
        <f>IF(AND('Mapa final'!$AB$98="Muy Baja",'Mapa final'!$AD$98="Menor"),CONCATENATE("R31C",'Mapa final'!$R$98),"")</f>
        <v/>
      </c>
      <c r="O236" s="116" t="str">
        <f>IF(AND('Mapa final'!$AB$99="Muy Baja",'Mapa final'!$AD$99="Menor"),CONCATENATE("R31C",'Mapa final'!$R$99),"")</f>
        <v/>
      </c>
      <c r="P236" s="49" t="str">
        <f>IF(AND('Mapa final'!$AB$97="Muy Baja",'Mapa final'!$AD$97="Moderado"),CONCATENATE("R31C",'Mapa final'!$R$97),"")</f>
        <v/>
      </c>
      <c r="Q236" s="50" t="str">
        <f>IF(AND('Mapa final'!$AB$98="Muy Baja",'Mapa final'!$AD$98="Moderado"),CONCATENATE("R31C",'Mapa final'!$R$98),"")</f>
        <v>R31C2</v>
      </c>
      <c r="R236" s="111" t="str">
        <f>IF(AND('Mapa final'!$AB$99="Muy Baja",'Mapa final'!$AD$99="Moderado"),CONCATENATE("R31C",'Mapa final'!$R$99),"")</f>
        <v/>
      </c>
      <c r="S236" s="105" t="str">
        <f>IF(AND('Mapa final'!$AB$97="Muy Baja",'Mapa final'!$AD$97="Mayor"),CONCATENATE("R31C",'Mapa final'!$R$97),"")</f>
        <v/>
      </c>
      <c r="T236" s="42" t="str">
        <f>IF(AND('Mapa final'!$AB$98="Muy Baja",'Mapa final'!$AD$98="Mayor"),CONCATENATE("R31C",'Mapa final'!$R$98),"")</f>
        <v/>
      </c>
      <c r="U236" s="106" t="str">
        <f>IF(AND('Mapa final'!$AB$99="Muy Baja",'Mapa final'!$AD$99="Mayor"),CONCATENATE("R31C",'Mapa final'!$R$99),"")</f>
        <v/>
      </c>
      <c r="V236" s="43" t="str">
        <f>IF(AND('Mapa final'!$AB$97="Muy Baja",'Mapa final'!$AD$97="Catastrófico"),CONCATENATE("R31C",'Mapa final'!$R$97),"")</f>
        <v/>
      </c>
      <c r="W236" s="44" t="str">
        <f>IF(AND('Mapa final'!$AB$98="Muy Baja",'Mapa final'!$AD$98="Catastrófico"),CONCATENATE("R31C",'Mapa final'!$R$98),"")</f>
        <v/>
      </c>
      <c r="X236" s="100" t="str">
        <f>IF(AND('Mapa final'!$AB$99="Muy Baja",'Mapa final'!$AD$99="Catastrófico"),CONCATENATE("R31C",'Mapa final'!$R$99),"")</f>
        <v/>
      </c>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row>
    <row r="237" spans="1:65" ht="15" customHeight="1" x14ac:dyDescent="0.35">
      <c r="A237" s="56"/>
      <c r="B237" s="311"/>
      <c r="C237" s="311"/>
      <c r="D237" s="312"/>
      <c r="E237" s="288"/>
      <c r="F237" s="301"/>
      <c r="G237" s="301"/>
      <c r="H237" s="301"/>
      <c r="I237" s="283"/>
      <c r="J237" s="115" t="str">
        <f>IF(AND('Mapa final'!$AB$100="Muy Baja",'Mapa final'!$AD$100="Leve"),CONCATENATE("R32C",'Mapa final'!$R$100),"")</f>
        <v/>
      </c>
      <c r="K237" s="54" t="str">
        <f>IF(AND('Mapa final'!$AB$101="Muy Baja",'Mapa final'!$AD$101="Leve"),CONCATENATE("R32C",'Mapa final'!$R$101),"")</f>
        <v/>
      </c>
      <c r="L237" s="116" t="str">
        <f>IF(AND('Mapa final'!$AB$102="Muy Baja",'Mapa final'!$AD$102="Leve"),CONCATENATE("R32C",'Mapa final'!$R$102),"")</f>
        <v/>
      </c>
      <c r="M237" s="115" t="str">
        <f>IF(AND('Mapa final'!$AB$100="Muy Baja",'Mapa final'!$AD$100="Menor"),CONCATENATE("R32C",'Mapa final'!$R$100),"")</f>
        <v/>
      </c>
      <c r="N237" s="54" t="str">
        <f>IF(AND('Mapa final'!$AB$101="Muy Baja",'Mapa final'!$AD$101="Menor"),CONCATENATE("R32C",'Mapa final'!$R$101),"")</f>
        <v/>
      </c>
      <c r="O237" s="116" t="str">
        <f>IF(AND('Mapa final'!$AB$102="Muy Baja",'Mapa final'!$AD$102="Menor"),CONCATENATE("R32C",'Mapa final'!$R$102),"")</f>
        <v/>
      </c>
      <c r="P237" s="49" t="str">
        <f>IF(AND('Mapa final'!$AB$100="Muy Baja",'Mapa final'!$AD$100="Moderado"),CONCATENATE("R32C",'Mapa final'!$R$100),"")</f>
        <v/>
      </c>
      <c r="Q237" s="50" t="str">
        <f>IF(AND('Mapa final'!$AB$101="Muy Baja",'Mapa final'!$AD$101="Moderado"),CONCATENATE("R32C",'Mapa final'!$R$101),"")</f>
        <v>R32C2</v>
      </c>
      <c r="R237" s="111" t="str">
        <f>IF(AND('Mapa final'!$AB$102="Muy Baja",'Mapa final'!$AD$102="Moderado"),CONCATENATE("R32C",'Mapa final'!$R$102),"")</f>
        <v/>
      </c>
      <c r="S237" s="105" t="str">
        <f>IF(AND('Mapa final'!$AB$100="Muy Baja",'Mapa final'!$AD$100="Mayor"),CONCATENATE("R32C",'Mapa final'!$R$100),"")</f>
        <v/>
      </c>
      <c r="T237" s="42" t="str">
        <f>IF(AND('Mapa final'!$AB$101="Muy Baja",'Mapa final'!$AD$101="Mayor"),CONCATENATE("R32C",'Mapa final'!$R$101),"")</f>
        <v/>
      </c>
      <c r="U237" s="106" t="str">
        <f>IF(AND('Mapa final'!$AB$102="Muy Baja",'Mapa final'!$AD$102="Mayor"),CONCATENATE("R32C",'Mapa final'!$R$102),"")</f>
        <v/>
      </c>
      <c r="V237" s="43" t="str">
        <f>IF(AND('Mapa final'!$AB$100="Muy Baja",'Mapa final'!$AD$100="Catastrófico"),CONCATENATE("R32C",'Mapa final'!$R$100),"")</f>
        <v/>
      </c>
      <c r="W237" s="44" t="str">
        <f>IF(AND('Mapa final'!$AB$101="Muy Baja",'Mapa final'!$AD$101="Catastrófico"),CONCATENATE("R32C",'Mapa final'!$R$101),"")</f>
        <v/>
      </c>
      <c r="X237" s="100" t="str">
        <f>IF(AND('Mapa final'!$AB$102="Muy Baja",'Mapa final'!$AD$102="Catastrófico"),CONCATENATE("R32C",'Mapa final'!$R$102),"")</f>
        <v/>
      </c>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row>
    <row r="238" spans="1:65" ht="15" customHeight="1" x14ac:dyDescent="0.35">
      <c r="A238" s="56"/>
      <c r="B238" s="311"/>
      <c r="C238" s="311"/>
      <c r="D238" s="312"/>
      <c r="E238" s="288"/>
      <c r="F238" s="301"/>
      <c r="G238" s="301"/>
      <c r="H238" s="301"/>
      <c r="I238" s="283"/>
      <c r="J238" s="115" t="str">
        <f>IF(AND('Mapa final'!$AB$103="Muy Baja",'Mapa final'!$AD$103="Leve"),CONCATENATE("R33C",'Mapa final'!$R$103),"")</f>
        <v/>
      </c>
      <c r="K238" s="54" t="str">
        <f>IF(AND('Mapa final'!$AB$104="Muy Baja",'Mapa final'!$AD$104="Leve"),CONCATENATE("R33C",'Mapa final'!$R$104),"")</f>
        <v/>
      </c>
      <c r="L238" s="116" t="str">
        <f>IF(AND('Mapa final'!$AB$105="Muy Baja",'Mapa final'!$AD$105="Leve"),CONCATENATE("R33C",'Mapa final'!$R$105),"")</f>
        <v/>
      </c>
      <c r="M238" s="115" t="str">
        <f>IF(AND('Mapa final'!$AB$103="Muy Baja",'Mapa final'!$AD$103="Menor"),CONCATENATE("R33C",'Mapa final'!$R$103),"")</f>
        <v/>
      </c>
      <c r="N238" s="54" t="str">
        <f>IF(AND('Mapa final'!$AB$104="Muy Baja",'Mapa final'!$AD$104="Menor"),CONCATENATE("R33C",'Mapa final'!$R$104),"")</f>
        <v/>
      </c>
      <c r="O238" s="116" t="str">
        <f>IF(AND('Mapa final'!$AB$105="Muy Baja",'Mapa final'!$AD$105="Menor"),CONCATENATE("R33C",'Mapa final'!$R$105),"")</f>
        <v/>
      </c>
      <c r="P238" s="49" t="str">
        <f>IF(AND('Mapa final'!$AB$103="Muy Baja",'Mapa final'!$AD$103="Moderado"),CONCATENATE("R33C",'Mapa final'!$R$103),"")</f>
        <v/>
      </c>
      <c r="Q238" s="50" t="str">
        <f>IF(AND('Mapa final'!$AB$104="Muy Baja",'Mapa final'!$AD$104="Moderado"),CONCATENATE("R33C",'Mapa final'!$R$104),"")</f>
        <v/>
      </c>
      <c r="R238" s="111" t="str">
        <f>IF(AND('Mapa final'!$AB$105="Muy Baja",'Mapa final'!$AD$105="Moderado"),CONCATENATE("R33C",'Mapa final'!$R$105),"")</f>
        <v/>
      </c>
      <c r="S238" s="105" t="str">
        <f>IF(AND('Mapa final'!$AB$103="Muy Baja",'Mapa final'!$AD$103="Mayor"),CONCATENATE("R33C",'Mapa final'!$R$103),"")</f>
        <v/>
      </c>
      <c r="T238" s="42" t="str">
        <f>IF(AND('Mapa final'!$AB$104="Muy Baja",'Mapa final'!$AD$104="Mayor"),CONCATENATE("R33C",'Mapa final'!$R$104),"")</f>
        <v/>
      </c>
      <c r="U238" s="106" t="str">
        <f>IF(AND('Mapa final'!$AB$105="Muy Baja",'Mapa final'!$AD$105="Mayor"),CONCATENATE("R33C",'Mapa final'!$R$105),"")</f>
        <v/>
      </c>
      <c r="V238" s="43" t="str">
        <f>IF(AND('Mapa final'!$AB$103="Muy Baja",'Mapa final'!$AD$103="Catastrófico"),CONCATENATE("R33C",'Mapa final'!$R$103),"")</f>
        <v/>
      </c>
      <c r="W238" s="44" t="str">
        <f>IF(AND('Mapa final'!$AB$104="Muy Baja",'Mapa final'!$AD$104="Catastrófico"),CONCATENATE("R33C",'Mapa final'!$R$104),"")</f>
        <v/>
      </c>
      <c r="X238" s="100" t="str">
        <f>IF(AND('Mapa final'!$AB$105="Muy Baja",'Mapa final'!$AD$105="Catastrófico"),CONCATENATE("R33C",'Mapa final'!$R$105),"")</f>
        <v/>
      </c>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row>
    <row r="239" spans="1:65" ht="15" customHeight="1" x14ac:dyDescent="0.35">
      <c r="A239" s="56"/>
      <c r="B239" s="311"/>
      <c r="C239" s="311"/>
      <c r="D239" s="312"/>
      <c r="E239" s="288"/>
      <c r="F239" s="301"/>
      <c r="G239" s="301"/>
      <c r="H239" s="301"/>
      <c r="I239" s="283"/>
      <c r="J239" s="115" t="str">
        <f>IF(AND('Mapa final'!$AB$106="Muy Baja",'Mapa final'!$AD$106="Leve"),CONCATENATE("R34C",'Mapa final'!$R$106),"")</f>
        <v/>
      </c>
      <c r="K239" s="54" t="str">
        <f>IF(AND('Mapa final'!$AB$107="Muy Baja",'Mapa final'!$AD$107="Leve"),CONCATENATE("R34C",'Mapa final'!$R$107),"")</f>
        <v/>
      </c>
      <c r="L239" s="116" t="str">
        <f>IF(AND('Mapa final'!$AB$108="Muy Baja",'Mapa final'!$AD$108="Leve"),CONCATENATE("R34C",'Mapa final'!$R$108),"")</f>
        <v/>
      </c>
      <c r="M239" s="115" t="str">
        <f>IF(AND('Mapa final'!$AB$106="Muy Baja",'Mapa final'!$AD$106="Menor"),CONCATENATE("R34C",'Mapa final'!$R$106),"")</f>
        <v/>
      </c>
      <c r="N239" s="54" t="str">
        <f>IF(AND('Mapa final'!$AB$107="Muy Baja",'Mapa final'!$AD$107="Menor"),CONCATENATE("R34C",'Mapa final'!$R$107),"")</f>
        <v/>
      </c>
      <c r="O239" s="116" t="str">
        <f>IF(AND('Mapa final'!$AB$108="Muy Baja",'Mapa final'!$AD$108="Menor"),CONCATENATE("R34C",'Mapa final'!$R$108),"")</f>
        <v/>
      </c>
      <c r="P239" s="49" t="str">
        <f>IF(AND('Mapa final'!$AB$106="Muy Baja",'Mapa final'!$AD$106="Moderado"),CONCATENATE("R34C",'Mapa final'!$R$106),"")</f>
        <v/>
      </c>
      <c r="Q239" s="50" t="str">
        <f>IF(AND('Mapa final'!$AB$107="Muy Baja",'Mapa final'!$AD$107="Moderado"),CONCATENATE("R34C",'Mapa final'!$R$107),"")</f>
        <v/>
      </c>
      <c r="R239" s="111" t="str">
        <f>IF(AND('Mapa final'!$AB$108="Muy Baja",'Mapa final'!$AD$108="Moderado"),CONCATENATE("R34C",'Mapa final'!$R$108),"")</f>
        <v/>
      </c>
      <c r="S239" s="105" t="str">
        <f>IF(AND('Mapa final'!$AB$106="Muy Baja",'Mapa final'!$AD$106="Mayor"),CONCATENATE("R34C",'Mapa final'!$R$106),"")</f>
        <v/>
      </c>
      <c r="T239" s="42" t="str">
        <f>IF(AND('Mapa final'!$AB$107="Muy Baja",'Mapa final'!$AD$107="Mayor"),CONCATENATE("R34C",'Mapa final'!$R$107),"")</f>
        <v/>
      </c>
      <c r="U239" s="106" t="str">
        <f>IF(AND('Mapa final'!$AB$108="Muy Baja",'Mapa final'!$AD$108="Mayor"),CONCATENATE("R34C",'Mapa final'!$R$108),"")</f>
        <v/>
      </c>
      <c r="V239" s="43" t="str">
        <f>IF(AND('Mapa final'!$AB$106="Muy Baja",'Mapa final'!$AD$106="Catastrófico"),CONCATENATE("R34C",'Mapa final'!$R$106),"")</f>
        <v/>
      </c>
      <c r="W239" s="44" t="str">
        <f>IF(AND('Mapa final'!$AB$107="Muy Baja",'Mapa final'!$AD$107="Catastrófico"),CONCATENATE("R34C",'Mapa final'!$R$107),"")</f>
        <v/>
      </c>
      <c r="X239" s="100" t="str">
        <f>IF(AND('Mapa final'!$AB$108="Muy Baja",'Mapa final'!$AD$108="Catastrófico"),CONCATENATE("R34C",'Mapa final'!$R$108),"")</f>
        <v/>
      </c>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row>
    <row r="240" spans="1:65" ht="15" customHeight="1" x14ac:dyDescent="0.35">
      <c r="A240" s="56"/>
      <c r="B240" s="311"/>
      <c r="C240" s="311"/>
      <c r="D240" s="312"/>
      <c r="E240" s="288"/>
      <c r="F240" s="301"/>
      <c r="G240" s="301"/>
      <c r="H240" s="301"/>
      <c r="I240" s="283"/>
      <c r="J240" s="115" t="str">
        <f>IF(AND('Mapa final'!$AB$109="Muy Baja",'Mapa final'!$AD$109="Leve"),CONCATENATE("R35C",'Mapa final'!$R$109),"")</f>
        <v/>
      </c>
      <c r="K240" s="54" t="str">
        <f>IF(AND('Mapa final'!$AB$110="Muy Baja",'Mapa final'!$AD$110="Leve"),CONCATENATE("R35C",'Mapa final'!$R$110),"")</f>
        <v/>
      </c>
      <c r="L240" s="116" t="str">
        <f>IF(AND('Mapa final'!$AB$111="Muy Baja",'Mapa final'!$AD$111="Leve"),CONCATENATE("R35C",'Mapa final'!$R$111),"")</f>
        <v/>
      </c>
      <c r="M240" s="115" t="str">
        <f>IF(AND('Mapa final'!$AB$109="Muy Baja",'Mapa final'!$AD$109="Menor"),CONCATENATE("R35C",'Mapa final'!$R$109),"")</f>
        <v/>
      </c>
      <c r="N240" s="54" t="str">
        <f>IF(AND('Mapa final'!$AB$110="Muy Baja",'Mapa final'!$AD$110="Menor"),CONCATENATE("R35C",'Mapa final'!$R$110),"")</f>
        <v/>
      </c>
      <c r="O240" s="116" t="str">
        <f>IF(AND('Mapa final'!$AB$111="Muy Baja",'Mapa final'!$AD$111="Menor"),CONCATENATE("R35C",'Mapa final'!$R$111),"")</f>
        <v/>
      </c>
      <c r="P240" s="49" t="str">
        <f>IF(AND('Mapa final'!$AB$109="Muy Baja",'Mapa final'!$AD$109="Moderado"),CONCATENATE("R35C",'Mapa final'!$R$109),"")</f>
        <v/>
      </c>
      <c r="Q240" s="50" t="str">
        <f>IF(AND('Mapa final'!$AB$110="Muy Baja",'Mapa final'!$AD$110="Moderado"),CONCATENATE("R35C",'Mapa final'!$R$110),"")</f>
        <v/>
      </c>
      <c r="R240" s="111" t="str">
        <f>IF(AND('Mapa final'!$AB$111="Muy Baja",'Mapa final'!$AD$111="Moderado"),CONCATENATE("R35C",'Mapa final'!$R$111),"")</f>
        <v/>
      </c>
      <c r="S240" s="105" t="str">
        <f>IF(AND('Mapa final'!$AB$109="Muy Baja",'Mapa final'!$AD$109="Mayor"),CONCATENATE("R35C",'Mapa final'!$R$109),"")</f>
        <v/>
      </c>
      <c r="T240" s="42" t="str">
        <f>IF(AND('Mapa final'!$AB$110="Muy Baja",'Mapa final'!$AD$110="Mayor"),CONCATENATE("R35C",'Mapa final'!$R$110),"")</f>
        <v/>
      </c>
      <c r="U240" s="106" t="str">
        <f>IF(AND('Mapa final'!$AB$111="Muy Baja",'Mapa final'!$AD$111="Mayor"),CONCATENATE("R35C",'Mapa final'!$R$111),"")</f>
        <v/>
      </c>
      <c r="V240" s="43" t="str">
        <f>IF(AND('Mapa final'!$AB$109="Muy Baja",'Mapa final'!$AD$109="Catastrófico"),CONCATENATE("R35C",'Mapa final'!$R$109),"")</f>
        <v/>
      </c>
      <c r="W240" s="44" t="str">
        <f>IF(AND('Mapa final'!$AB$110="Muy Baja",'Mapa final'!$AD$110="Catastrófico"),CONCATENATE("R35C",'Mapa final'!$R$110),"")</f>
        <v/>
      </c>
      <c r="X240" s="100" t="str">
        <f>IF(AND('Mapa final'!$AB$111="Muy Baja",'Mapa final'!$AD$111="Catastrófico"),CONCATENATE("R35C",'Mapa final'!$R$111),"")</f>
        <v/>
      </c>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row>
    <row r="241" spans="1:65" ht="15" customHeight="1" x14ac:dyDescent="0.35">
      <c r="A241" s="56"/>
      <c r="B241" s="311"/>
      <c r="C241" s="311"/>
      <c r="D241" s="312"/>
      <c r="E241" s="288"/>
      <c r="F241" s="301"/>
      <c r="G241" s="301"/>
      <c r="H241" s="301"/>
      <c r="I241" s="283"/>
      <c r="J241" s="115" t="str">
        <f>IF(AND('Mapa final'!$AB$112="Muy Baja",'Mapa final'!$AD$112="Leve"),CONCATENATE("R36C",'Mapa final'!$R$112),"")</f>
        <v/>
      </c>
      <c r="K241" s="54" t="str">
        <f>IF(AND('Mapa final'!$AB$113="Muy Baja",'Mapa final'!$AD$113="Leve"),CONCATENATE("R36C",'Mapa final'!$R$113),"")</f>
        <v/>
      </c>
      <c r="L241" s="116" t="str">
        <f>IF(AND('Mapa final'!$AB$114="Muy Baja",'Mapa final'!$AD$114="Leve"),CONCATENATE("R36C",'Mapa final'!$R$114),"")</f>
        <v/>
      </c>
      <c r="M241" s="115" t="str">
        <f>IF(AND('Mapa final'!$AB$112="Muy Baja",'Mapa final'!$AD$112="Menor"),CONCATENATE("R36C",'Mapa final'!$R$112),"")</f>
        <v/>
      </c>
      <c r="N241" s="54" t="str">
        <f>IF(AND('Mapa final'!$AB$113="Muy Baja",'Mapa final'!$AD$113="Menor"),CONCATENATE("R36C",'Mapa final'!$R$113),"")</f>
        <v/>
      </c>
      <c r="O241" s="116" t="str">
        <f>IF(AND('Mapa final'!$AB$114="Muy Baja",'Mapa final'!$AD$114="Menor"),CONCATENATE("R36C",'Mapa final'!$R$114),"")</f>
        <v/>
      </c>
      <c r="P241" s="49" t="str">
        <f>IF(AND('Mapa final'!$AB$112="Muy Baja",'Mapa final'!$AD$112="Moderado"),CONCATENATE("R36C",'Mapa final'!$R$112),"")</f>
        <v/>
      </c>
      <c r="Q241" s="50" t="str">
        <f>IF(AND('Mapa final'!$AB$113="Muy Baja",'Mapa final'!$AD$113="Moderado"),CONCATENATE("R36C",'Mapa final'!$R$113),"")</f>
        <v/>
      </c>
      <c r="R241" s="111" t="str">
        <f>IF(AND('Mapa final'!$AB$114="Muy Baja",'Mapa final'!$AD$114="Moderado"),CONCATENATE("R36C",'Mapa final'!$R$114),"")</f>
        <v/>
      </c>
      <c r="S241" s="105" t="str">
        <f>IF(AND('Mapa final'!$AB$112="Muy Baja",'Mapa final'!$AD$112="Mayor"),CONCATENATE("R36C",'Mapa final'!$R$112),"")</f>
        <v/>
      </c>
      <c r="T241" s="42" t="str">
        <f>IF(AND('Mapa final'!$AB$113="Muy Baja",'Mapa final'!$AD$113="Mayor"),CONCATENATE("R36C",'Mapa final'!$R$113),"")</f>
        <v/>
      </c>
      <c r="U241" s="106" t="str">
        <f>IF(AND('Mapa final'!$AB$114="Muy Baja",'Mapa final'!$AD$114="Mayor"),CONCATENATE("R36C",'Mapa final'!$R$114),"")</f>
        <v/>
      </c>
      <c r="V241" s="43" t="str">
        <f>IF(AND('Mapa final'!$AB$112="Muy Baja",'Mapa final'!$AD$112="Catastrófico"),CONCATENATE("R36C",'Mapa final'!$R$112),"")</f>
        <v/>
      </c>
      <c r="W241" s="44" t="str">
        <f>IF(AND('Mapa final'!$AB$113="Muy Baja",'Mapa final'!$AD$113="Catastrófico"),CONCATENATE("R36C",'Mapa final'!$R$113),"")</f>
        <v/>
      </c>
      <c r="X241" s="100" t="str">
        <f>IF(AND('Mapa final'!$AB$114="Muy Baja",'Mapa final'!$AD$114="Catastrófico"),CONCATENATE("R36C",'Mapa final'!$R$114),"")</f>
        <v/>
      </c>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row>
    <row r="242" spans="1:65" ht="15" customHeight="1" x14ac:dyDescent="0.35">
      <c r="A242" s="56"/>
      <c r="B242" s="311"/>
      <c r="C242" s="311"/>
      <c r="D242" s="312"/>
      <c r="E242" s="288"/>
      <c r="F242" s="301"/>
      <c r="G242" s="301"/>
      <c r="H242" s="301"/>
      <c r="I242" s="283"/>
      <c r="J242" s="115" t="str">
        <f>IF(AND('Mapa final'!$AB$115="Muy Baja",'Mapa final'!$AD$115="Leve"),CONCATENATE("R37C",'Mapa final'!$R$115),"")</f>
        <v/>
      </c>
      <c r="K242" s="54" t="str">
        <f>IF(AND('Mapa final'!$AB$116="Muy Baja",'Mapa final'!$AD$116="Leve"),CONCATENATE("R37C",'Mapa final'!$R$116),"")</f>
        <v/>
      </c>
      <c r="L242" s="116" t="str">
        <f>IF(AND('Mapa final'!$AB$117="Muy Baja",'Mapa final'!$AD$117="Leve"),CONCATENATE("R37C",'Mapa final'!$R$117),"")</f>
        <v/>
      </c>
      <c r="M242" s="115" t="str">
        <f>IF(AND('Mapa final'!$AB$115="Muy Baja",'Mapa final'!$AD$115="Menor"),CONCATENATE("R37C",'Mapa final'!$R$115),"")</f>
        <v/>
      </c>
      <c r="N242" s="54" t="str">
        <f>IF(AND('Mapa final'!$AB$116="Muy Baja",'Mapa final'!$AD$116="Menor"),CONCATENATE("R37C",'Mapa final'!$R$116),"")</f>
        <v/>
      </c>
      <c r="O242" s="116" t="str">
        <f>IF(AND('Mapa final'!$AB$117="Muy Baja",'Mapa final'!$AD$117="Menor"),CONCATENATE("R37C",'Mapa final'!$R$117),"")</f>
        <v/>
      </c>
      <c r="P242" s="49" t="str">
        <f>IF(AND('Mapa final'!$AB$115="Muy Baja",'Mapa final'!$AD$115="Moderado"),CONCATENATE("R37C",'Mapa final'!$R$115),"")</f>
        <v/>
      </c>
      <c r="Q242" s="50" t="str">
        <f>IF(AND('Mapa final'!$AB$116="Muy Baja",'Mapa final'!$AD$116="Moderado"),CONCATENATE("R37C",'Mapa final'!$R$116),"")</f>
        <v/>
      </c>
      <c r="R242" s="111" t="str">
        <f>IF(AND('Mapa final'!$AB$117="Muy Baja",'Mapa final'!$AD$117="Moderado"),CONCATENATE("R37C",'Mapa final'!$R$117),"")</f>
        <v/>
      </c>
      <c r="S242" s="105" t="str">
        <f>IF(AND('Mapa final'!$AB$115="Muy Baja",'Mapa final'!$AD$115="Mayor"),CONCATENATE("R37C",'Mapa final'!$R$115),"")</f>
        <v/>
      </c>
      <c r="T242" s="42" t="str">
        <f>IF(AND('Mapa final'!$AB$116="Muy Baja",'Mapa final'!$AD$116="Mayor"),CONCATENATE("R37C",'Mapa final'!$R$116),"")</f>
        <v/>
      </c>
      <c r="U242" s="106" t="str">
        <f>IF(AND('Mapa final'!$AB$117="Muy Baja",'Mapa final'!$AD$117="Mayor"),CONCATENATE("R37C",'Mapa final'!$R$117),"")</f>
        <v/>
      </c>
      <c r="V242" s="43" t="str">
        <f>IF(AND('Mapa final'!$AB$115="Muy Baja",'Mapa final'!$AD$115="Catastrófico"),CONCATENATE("R37C",'Mapa final'!$R$115),"")</f>
        <v/>
      </c>
      <c r="W242" s="44" t="str">
        <f>IF(AND('Mapa final'!$AB$116="Muy Baja",'Mapa final'!$AD$116="Catastrófico"),CONCATENATE("R37C",'Mapa final'!$R$116),"")</f>
        <v/>
      </c>
      <c r="X242" s="100" t="str">
        <f>IF(AND('Mapa final'!$AB$117="Muy Baja",'Mapa final'!$AD$117="Catastrófico"),CONCATENATE("R37C",'Mapa final'!$R$117),"")</f>
        <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row>
    <row r="243" spans="1:65" ht="15" customHeight="1" x14ac:dyDescent="0.35">
      <c r="A243" s="56"/>
      <c r="B243" s="311"/>
      <c r="C243" s="311"/>
      <c r="D243" s="312"/>
      <c r="E243" s="288"/>
      <c r="F243" s="301"/>
      <c r="G243" s="301"/>
      <c r="H243" s="301"/>
      <c r="I243" s="283"/>
      <c r="J243" s="115" t="str">
        <f>IF(AND('Mapa final'!$AB$118="Muy Baja",'Mapa final'!$AD$118="Leve"),CONCATENATE("R38C",'Mapa final'!$R$118),"")</f>
        <v/>
      </c>
      <c r="K243" s="54" t="str">
        <f>IF(AND('Mapa final'!$AB$119="Muy Baja",'Mapa final'!$AD$119="Leve"),CONCATENATE("R38C",'Mapa final'!$R$119),"")</f>
        <v/>
      </c>
      <c r="L243" s="116" t="str">
        <f>IF(AND('Mapa final'!$AB$120="Muy Baja",'Mapa final'!$AD$120="Leve"),CONCATENATE("R38C",'Mapa final'!$R$120),"")</f>
        <v/>
      </c>
      <c r="M243" s="115" t="str">
        <f>IF(AND('Mapa final'!$AB$118="Muy Baja",'Mapa final'!$AD$118="Menor"),CONCATENATE("R38C",'Mapa final'!$R$118),"")</f>
        <v/>
      </c>
      <c r="N243" s="54" t="str">
        <f>IF(AND('Mapa final'!$AB$119="Muy Baja",'Mapa final'!$AD$119="Menor"),CONCATENATE("R38C",'Mapa final'!$R$119),"")</f>
        <v>R38C2</v>
      </c>
      <c r="O243" s="116" t="str">
        <f>IF(AND('Mapa final'!$AB$120="Muy Baja",'Mapa final'!$AD$120="Menor"),CONCATENATE("R38C",'Mapa final'!$R$120),"")</f>
        <v/>
      </c>
      <c r="P243" s="49" t="str">
        <f>IF(AND('Mapa final'!$AB$118="Muy Baja",'Mapa final'!$AD$118="Moderado"),CONCATENATE("R38C",'Mapa final'!$R$118),"")</f>
        <v/>
      </c>
      <c r="Q243" s="50" t="str">
        <f>IF(AND('Mapa final'!$AB$119="Muy Baja",'Mapa final'!$AD$119="Moderado"),CONCATENATE("R38C",'Mapa final'!$R$119),"")</f>
        <v/>
      </c>
      <c r="R243" s="111" t="str">
        <f>IF(AND('Mapa final'!$AB$120="Muy Baja",'Mapa final'!$AD$120="Moderado"),CONCATENATE("R38C",'Mapa final'!$R$120),"")</f>
        <v/>
      </c>
      <c r="S243" s="105" t="str">
        <f>IF(AND('Mapa final'!$AB$118="Muy Baja",'Mapa final'!$AD$118="Mayor"),CONCATENATE("R38C",'Mapa final'!$R$118),"")</f>
        <v/>
      </c>
      <c r="T243" s="42" t="str">
        <f>IF(AND('Mapa final'!$AB$119="Muy Baja",'Mapa final'!$AD$119="Mayor"),CONCATENATE("R38C",'Mapa final'!$R$119),"")</f>
        <v/>
      </c>
      <c r="U243" s="106" t="str">
        <f>IF(AND('Mapa final'!$AB$120="Muy Baja",'Mapa final'!$AD$120="Mayor"),CONCATENATE("R38C",'Mapa final'!$R$120),"")</f>
        <v/>
      </c>
      <c r="V243" s="43" t="str">
        <f>IF(AND('Mapa final'!$AB$118="Muy Baja",'Mapa final'!$AD$118="Catastrófico"),CONCATENATE("R38C",'Mapa final'!$R$118),"")</f>
        <v/>
      </c>
      <c r="W243" s="44" t="str">
        <f>IF(AND('Mapa final'!$AB$119="Muy Baja",'Mapa final'!$AD$119="Catastrófico"),CONCATENATE("R38C",'Mapa final'!$R$119),"")</f>
        <v/>
      </c>
      <c r="X243" s="100" t="str">
        <f>IF(AND('Mapa final'!$AB$120="Muy Baja",'Mapa final'!$AD$120="Catastrófico"),CONCATENATE("R38C",'Mapa final'!$R$120),"")</f>
        <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row>
    <row r="244" spans="1:65" ht="15" customHeight="1" x14ac:dyDescent="0.35">
      <c r="A244" s="56"/>
      <c r="B244" s="311"/>
      <c r="C244" s="311"/>
      <c r="D244" s="312"/>
      <c r="E244" s="288"/>
      <c r="F244" s="301"/>
      <c r="G244" s="301"/>
      <c r="H244" s="301"/>
      <c r="I244" s="283"/>
      <c r="J244" s="115" t="str">
        <f>IF(AND('Mapa final'!$AB$121="Muy Baja",'Mapa final'!$AD$121="Leve"),CONCATENATE("R39C",'Mapa final'!$R$121),"")</f>
        <v/>
      </c>
      <c r="K244" s="54" t="str">
        <f>IF(AND('Mapa final'!$AB$122="Muy Baja",'Mapa final'!$AD$122="Leve"),CONCATENATE("R39C",'Mapa final'!$R$122),"")</f>
        <v/>
      </c>
      <c r="L244" s="116" t="str">
        <f>IF(AND('Mapa final'!$AB$123="Muy Baja",'Mapa final'!$AD$123="Leve"),CONCATENATE("R39C",'Mapa final'!$R$123),"")</f>
        <v/>
      </c>
      <c r="M244" s="115" t="str">
        <f>IF(AND('Mapa final'!$AB$121="Muy Baja",'Mapa final'!$AD$121="Menor"),CONCATENATE("R39C",'Mapa final'!$R$121),"")</f>
        <v/>
      </c>
      <c r="N244" s="54" t="str">
        <f>IF(AND('Mapa final'!$AB$122="Muy Baja",'Mapa final'!$AD$122="Menor"),CONCATENATE("R39C",'Mapa final'!$R$122),"")</f>
        <v/>
      </c>
      <c r="O244" s="116" t="str">
        <f>IF(AND('Mapa final'!$AB$123="Muy Baja",'Mapa final'!$AD$123="Menor"),CONCATENATE("R39C",'Mapa final'!$R$123),"")</f>
        <v/>
      </c>
      <c r="P244" s="49" t="str">
        <f>IF(AND('Mapa final'!$AB$121="Muy Baja",'Mapa final'!$AD$121="Moderado"),CONCATENATE("R39C",'Mapa final'!$R$121),"")</f>
        <v/>
      </c>
      <c r="Q244" s="50" t="str">
        <f>IF(AND('Mapa final'!$AB$122="Muy Baja",'Mapa final'!$AD$122="Moderado"),CONCATENATE("R39C",'Mapa final'!$R$122),"")</f>
        <v/>
      </c>
      <c r="R244" s="111" t="str">
        <f>IF(AND('Mapa final'!$AB$123="Muy Baja",'Mapa final'!$AD$123="Moderado"),CONCATENATE("R39C",'Mapa final'!$R$123),"")</f>
        <v/>
      </c>
      <c r="S244" s="105" t="str">
        <f>IF(AND('Mapa final'!$AB$121="Muy Baja",'Mapa final'!$AD$121="Mayor"),CONCATENATE("R39C",'Mapa final'!$R$121),"")</f>
        <v/>
      </c>
      <c r="T244" s="42" t="str">
        <f>IF(AND('Mapa final'!$AB$122="Muy Baja",'Mapa final'!$AD$122="Mayor"),CONCATENATE("R39C",'Mapa final'!$R$122),"")</f>
        <v/>
      </c>
      <c r="U244" s="106" t="str">
        <f>IF(AND('Mapa final'!$AB$123="Muy Baja",'Mapa final'!$AD$123="Mayor"),CONCATENATE("R39C",'Mapa final'!$R$123),"")</f>
        <v/>
      </c>
      <c r="V244" s="43" t="str">
        <f>IF(AND('Mapa final'!$AB$121="Muy Baja",'Mapa final'!$AD$121="Catastrófico"),CONCATENATE("R39C",'Mapa final'!$R$121),"")</f>
        <v/>
      </c>
      <c r="W244" s="44" t="str">
        <f>IF(AND('Mapa final'!$AB$122="Muy Baja",'Mapa final'!$AD$122="Catastrófico"),CONCATENATE("R39C",'Mapa final'!$R$122),"")</f>
        <v/>
      </c>
      <c r="X244" s="100" t="str">
        <f>IF(AND('Mapa final'!$AB$123="Muy Baja",'Mapa final'!$AD$123="Catastrófico"),CONCATENATE("R39C",'Mapa final'!$R$123),"")</f>
        <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row>
    <row r="245" spans="1:65" ht="15" customHeight="1" x14ac:dyDescent="0.35">
      <c r="A245" s="56"/>
      <c r="B245" s="311"/>
      <c r="C245" s="311"/>
      <c r="D245" s="312"/>
      <c r="E245" s="288"/>
      <c r="F245" s="301"/>
      <c r="G245" s="301"/>
      <c r="H245" s="301"/>
      <c r="I245" s="283"/>
      <c r="J245" s="115" t="str">
        <f>IF(AND('Mapa final'!$AB$124="Muy Baja",'Mapa final'!$AD$124="Leve"),CONCATENATE("R40C",'Mapa final'!$R$124),"")</f>
        <v/>
      </c>
      <c r="K245" s="54" t="str">
        <f>IF(AND('Mapa final'!$AB$125="Muy Baja",'Mapa final'!$AD$125="Leve"),CONCATENATE("R40C",'Mapa final'!$R$125),"")</f>
        <v/>
      </c>
      <c r="L245" s="116" t="str">
        <f>IF(AND('Mapa final'!$AB$126="Muy Baja",'Mapa final'!$AD$126="Leve"),CONCATENATE("R40C",'Mapa final'!$R$126),"")</f>
        <v/>
      </c>
      <c r="M245" s="115" t="str">
        <f>IF(AND('Mapa final'!$AB$124="Muy Baja",'Mapa final'!$AD$124="Menor"),CONCATENATE("R40C",'Mapa final'!$R$124),"")</f>
        <v/>
      </c>
      <c r="N245" s="54" t="str">
        <f>IF(AND('Mapa final'!$AB$125="Muy Baja",'Mapa final'!$AD$125="Menor"),CONCATENATE("R40C",'Mapa final'!$R$125),"")</f>
        <v/>
      </c>
      <c r="O245" s="116" t="str">
        <f>IF(AND('Mapa final'!$AB$126="Muy Baja",'Mapa final'!$AD$126="Menor"),CONCATENATE("R40C",'Mapa final'!$R$126),"")</f>
        <v/>
      </c>
      <c r="P245" s="49" t="str">
        <f>IF(AND('Mapa final'!$AB$124="Muy Baja",'Mapa final'!$AD$124="Moderado"),CONCATENATE("R40C",'Mapa final'!$R$124),"")</f>
        <v/>
      </c>
      <c r="Q245" s="50" t="str">
        <f>IF(AND('Mapa final'!$AB$125="Muy Baja",'Mapa final'!$AD$125="Moderado"),CONCATENATE("R40C",'Mapa final'!$R$125),"")</f>
        <v/>
      </c>
      <c r="R245" s="111" t="str">
        <f>IF(AND('Mapa final'!$AB$126="Muy Baja",'Mapa final'!$AD$126="Moderado"),CONCATENATE("R40C",'Mapa final'!$R$126),"")</f>
        <v/>
      </c>
      <c r="S245" s="105" t="str">
        <f>IF(AND('Mapa final'!$AB$124="Muy Baja",'Mapa final'!$AD$124="Mayor"),CONCATENATE("R40C",'Mapa final'!$R$124),"")</f>
        <v/>
      </c>
      <c r="T245" s="42" t="str">
        <f>IF(AND('Mapa final'!$AB$125="Muy Baja",'Mapa final'!$AD$125="Mayor"),CONCATENATE("R40C",'Mapa final'!$R$125),"")</f>
        <v/>
      </c>
      <c r="U245" s="106" t="str">
        <f>IF(AND('Mapa final'!$AB$126="Muy Baja",'Mapa final'!$AD$126="Mayor"),CONCATENATE("R40C",'Mapa final'!$R$126),"")</f>
        <v/>
      </c>
      <c r="V245" s="43" t="str">
        <f>IF(AND('Mapa final'!$AB$124="Muy Baja",'Mapa final'!$AD$124="Catastrófico"),CONCATENATE("R40C",'Mapa final'!$R$124),"")</f>
        <v/>
      </c>
      <c r="W245" s="44" t="str">
        <f>IF(AND('Mapa final'!$AB$125="Muy Baja",'Mapa final'!$AD$125="Catastrófico"),CONCATENATE("R40C",'Mapa final'!$R$125),"")</f>
        <v/>
      </c>
      <c r="X245" s="100" t="str">
        <f>IF(AND('Mapa final'!$AB$126="Muy Baja",'Mapa final'!$AD$126="Catastrófico"),CONCATENATE("R40C",'Mapa final'!$R$126),"")</f>
        <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row>
    <row r="246" spans="1:65" ht="15" customHeight="1" x14ac:dyDescent="0.35">
      <c r="A246" s="56"/>
      <c r="B246" s="311"/>
      <c r="C246" s="311"/>
      <c r="D246" s="312"/>
      <c r="E246" s="288"/>
      <c r="F246" s="301"/>
      <c r="G246" s="301"/>
      <c r="H246" s="301"/>
      <c r="I246" s="283"/>
      <c r="J246" s="115" t="str">
        <f>IF(AND('Mapa final'!$AB$127="Muy Baja",'Mapa final'!$AD$127="Leve"),CONCATENATE("R41C",'Mapa final'!$R$127),"")</f>
        <v/>
      </c>
      <c r="K246" s="54" t="str">
        <f>IF(AND('Mapa final'!$AB$128="Muy Baja",'Mapa final'!$AD$128="Leve"),CONCATENATE("R41C",'Mapa final'!$R$128),"")</f>
        <v/>
      </c>
      <c r="L246" s="116" t="str">
        <f>IF(AND('Mapa final'!$AB$129="Muy Baja",'Mapa final'!$AD$129="Leve"),CONCATENATE("R41C",'Mapa final'!$R$129),"")</f>
        <v/>
      </c>
      <c r="M246" s="115" t="str">
        <f>IF(AND('Mapa final'!$AB$127="Muy Baja",'Mapa final'!$AD$127="Menor"),CONCATENATE("R41C",'Mapa final'!$R$127),"")</f>
        <v/>
      </c>
      <c r="N246" s="54" t="str">
        <f>IF(AND('Mapa final'!$AB$128="Muy Baja",'Mapa final'!$AD$128="Menor"),CONCATENATE("R41C",'Mapa final'!$R$128),"")</f>
        <v/>
      </c>
      <c r="O246" s="116" t="str">
        <f>IF(AND('Mapa final'!$AB$129="Muy Baja",'Mapa final'!$AD$129="Menor"),CONCATENATE("R41C",'Mapa final'!$R$129),"")</f>
        <v/>
      </c>
      <c r="P246" s="49" t="str">
        <f>IF(AND('Mapa final'!$AB$127="Muy Baja",'Mapa final'!$AD$127="Moderado"),CONCATENATE("R41C",'Mapa final'!$R$127),"")</f>
        <v/>
      </c>
      <c r="Q246" s="50" t="str">
        <f>IF(AND('Mapa final'!$AB$128="Muy Baja",'Mapa final'!$AD$128="Moderado"),CONCATENATE("R41C",'Mapa final'!$R$128),"")</f>
        <v/>
      </c>
      <c r="R246" s="111" t="str">
        <f>IF(AND('Mapa final'!$AB$129="Muy Baja",'Mapa final'!$AD$129="Moderado"),CONCATENATE("R41C",'Mapa final'!$R$129),"")</f>
        <v/>
      </c>
      <c r="S246" s="105" t="str">
        <f>IF(AND('Mapa final'!$AB$127="Muy Baja",'Mapa final'!$AD$127="Mayor"),CONCATENATE("R41C",'Mapa final'!$R$127),"")</f>
        <v/>
      </c>
      <c r="T246" s="42" t="str">
        <f>IF(AND('Mapa final'!$AB$128="Muy Baja",'Mapa final'!$AD$128="Mayor"),CONCATENATE("R41C",'Mapa final'!$R$128),"")</f>
        <v/>
      </c>
      <c r="U246" s="106" t="str">
        <f>IF(AND('Mapa final'!$AB$129="Muy Baja",'Mapa final'!$AD$129="Mayor"),CONCATENATE("R41C",'Mapa final'!$R$129),"")</f>
        <v/>
      </c>
      <c r="V246" s="43" t="str">
        <f>IF(AND('Mapa final'!$AB$127="Muy Baja",'Mapa final'!$AD$127="Catastrófico"),CONCATENATE("R41C",'Mapa final'!$R$127),"")</f>
        <v/>
      </c>
      <c r="W246" s="44" t="str">
        <f>IF(AND('Mapa final'!$AB$128="Muy Baja",'Mapa final'!$AD$128="Catastrófico"),CONCATENATE("R41C",'Mapa final'!$R$128),"")</f>
        <v/>
      </c>
      <c r="X246" s="100" t="str">
        <f>IF(AND('Mapa final'!$AB$129="Muy Baja",'Mapa final'!$AD$129="Catastrófico"),CONCATENATE("R41C",'Mapa final'!$R$129),"")</f>
        <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row>
    <row r="247" spans="1:65" ht="15" customHeight="1" x14ac:dyDescent="0.35">
      <c r="A247" s="56"/>
      <c r="B247" s="311"/>
      <c r="C247" s="311"/>
      <c r="D247" s="312"/>
      <c r="E247" s="288"/>
      <c r="F247" s="301"/>
      <c r="G247" s="301"/>
      <c r="H247" s="301"/>
      <c r="I247" s="283"/>
      <c r="J247" s="115" t="str">
        <f>IF(AND('Mapa final'!$AB$130="Muy Baja",'Mapa final'!$AD$130="Leve"),CONCATENATE("R42C",'Mapa final'!$R$130),"")</f>
        <v/>
      </c>
      <c r="K247" s="54" t="str">
        <f>IF(AND('Mapa final'!$AB$131="Muy Baja",'Mapa final'!$AD$131="Leve"),CONCATENATE("R42C",'Mapa final'!$R$131),"")</f>
        <v/>
      </c>
      <c r="L247" s="116" t="str">
        <f>IF(AND('Mapa final'!$AB$132="Muy Baja",'Mapa final'!$AD$132="Leve"),CONCATENATE("R42C",'Mapa final'!$R$132),"")</f>
        <v/>
      </c>
      <c r="M247" s="115" t="str">
        <f>IF(AND('Mapa final'!$AB$130="Muy Baja",'Mapa final'!$AD$130="Menor"),CONCATENATE("R42C",'Mapa final'!$R$130),"")</f>
        <v/>
      </c>
      <c r="N247" s="54" t="str">
        <f>IF(AND('Mapa final'!$AB$131="Muy Baja",'Mapa final'!$AD$131="Menor"),CONCATENATE("R42C",'Mapa final'!$R$131),"")</f>
        <v/>
      </c>
      <c r="O247" s="116" t="str">
        <f>IF(AND('Mapa final'!$AB$132="Muy Baja",'Mapa final'!$AD$132="Menor"),CONCATENATE("R42C",'Mapa final'!$R$132),"")</f>
        <v/>
      </c>
      <c r="P247" s="49" t="str">
        <f>IF(AND('Mapa final'!$AB$130="Muy Baja",'Mapa final'!$AD$130="Moderado"),CONCATENATE("R42C",'Mapa final'!$R$130),"")</f>
        <v/>
      </c>
      <c r="Q247" s="50" t="str">
        <f>IF(AND('Mapa final'!$AB$131="Muy Baja",'Mapa final'!$AD$131="Moderado"),CONCATENATE("R42C",'Mapa final'!$R$131),"")</f>
        <v/>
      </c>
      <c r="R247" s="111" t="str">
        <f>IF(AND('Mapa final'!$AB$132="Muy Baja",'Mapa final'!$AD$132="Moderado"),CONCATENATE("R42C",'Mapa final'!$R$132),"")</f>
        <v/>
      </c>
      <c r="S247" s="105" t="str">
        <f>IF(AND('Mapa final'!$AB$130="Muy Baja",'Mapa final'!$AD$130="Mayor"),CONCATENATE("R42C",'Mapa final'!$R$130),"")</f>
        <v/>
      </c>
      <c r="T247" s="42" t="str">
        <f>IF(AND('Mapa final'!$AB$131="Muy Baja",'Mapa final'!$AD$131="Mayor"),CONCATENATE("R42C",'Mapa final'!$R$131),"")</f>
        <v/>
      </c>
      <c r="U247" s="106" t="str">
        <f>IF(AND('Mapa final'!$AB$132="Muy Baja",'Mapa final'!$AD$132="Mayor"),CONCATENATE("R42C",'Mapa final'!$R$132),"")</f>
        <v/>
      </c>
      <c r="V247" s="43" t="str">
        <f>IF(AND('Mapa final'!$AB$130="Muy Baja",'Mapa final'!$AD$130="Catastrófico"),CONCATENATE("R42C",'Mapa final'!$R$130),"")</f>
        <v/>
      </c>
      <c r="W247" s="44" t="str">
        <f>IF(AND('Mapa final'!$AB$131="Muy Baja",'Mapa final'!$AD$131="Catastrófico"),CONCATENATE("R42C",'Mapa final'!$R$131),"")</f>
        <v/>
      </c>
      <c r="X247" s="100" t="str">
        <f>IF(AND('Mapa final'!$AB$132="Muy Baja",'Mapa final'!$AD$132="Catastrófico"),CONCATENATE("R42C",'Mapa final'!$R$132),"")</f>
        <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row>
    <row r="248" spans="1:65" ht="15" customHeight="1" x14ac:dyDescent="0.35">
      <c r="A248" s="56"/>
      <c r="B248" s="311"/>
      <c r="C248" s="311"/>
      <c r="D248" s="312"/>
      <c r="E248" s="288"/>
      <c r="F248" s="301"/>
      <c r="G248" s="301"/>
      <c r="H248" s="301"/>
      <c r="I248" s="283"/>
      <c r="J248" s="115" t="str">
        <f>IF(AND('Mapa final'!$AB$133="Muy Baja",'Mapa final'!$AD$133="Leve"),CONCATENATE("R43C",'Mapa final'!$R$133),"")</f>
        <v/>
      </c>
      <c r="K248" s="54" t="str">
        <f>IF(AND('Mapa final'!$AB$134="Muy Baja",'Mapa final'!$AD$134="Leve"),CONCATENATE("R43C",'Mapa final'!$R$134),"")</f>
        <v/>
      </c>
      <c r="L248" s="116" t="str">
        <f>IF(AND('Mapa final'!$AB$135="Muy Baja",'Mapa final'!$AD$135="Leve"),CONCATENATE("R43C",'Mapa final'!$R$135),"")</f>
        <v/>
      </c>
      <c r="M248" s="115" t="str">
        <f>IF(AND('Mapa final'!$AB$133="Muy Baja",'Mapa final'!$AD$133="Menor"),CONCATENATE("R43C",'Mapa final'!$R$133),"")</f>
        <v/>
      </c>
      <c r="N248" s="54" t="str">
        <f>IF(AND('Mapa final'!$AB$134="Muy Baja",'Mapa final'!$AD$134="Menor"),CONCATENATE("R43C",'Mapa final'!$R$134),"")</f>
        <v/>
      </c>
      <c r="O248" s="116" t="str">
        <f>IF(AND('Mapa final'!$AB$135="Muy Baja",'Mapa final'!$AD$135="Menor"),CONCATENATE("R43C",'Mapa final'!$R$135),"")</f>
        <v/>
      </c>
      <c r="P248" s="49" t="str">
        <f>IF(AND('Mapa final'!$AB$133="Muy Baja",'Mapa final'!$AD$133="Moderado"),CONCATENATE("R43C",'Mapa final'!$R$133),"")</f>
        <v/>
      </c>
      <c r="Q248" s="50" t="str">
        <f>IF(AND('Mapa final'!$AB$134="Muy Baja",'Mapa final'!$AD$134="Moderado"),CONCATENATE("R43C",'Mapa final'!$R$134),"")</f>
        <v/>
      </c>
      <c r="R248" s="111" t="str">
        <f>IF(AND('Mapa final'!$AB$135="Muy Baja",'Mapa final'!$AD$135="Moderado"),CONCATENATE("R43C",'Mapa final'!$R$135),"")</f>
        <v/>
      </c>
      <c r="S248" s="105" t="str">
        <f>IF(AND('Mapa final'!$AB$133="Muy Baja",'Mapa final'!$AD$133="Mayor"),CONCATENATE("R43C",'Mapa final'!$R$133),"")</f>
        <v/>
      </c>
      <c r="T248" s="42" t="str">
        <f>IF(AND('Mapa final'!$AB$134="Muy Baja",'Mapa final'!$AD$134="Mayor"),CONCATENATE("R43C",'Mapa final'!$R$134),"")</f>
        <v/>
      </c>
      <c r="U248" s="106" t="str">
        <f>IF(AND('Mapa final'!$AB$135="Muy Baja",'Mapa final'!$AD$135="Mayor"),CONCATENATE("R43C",'Mapa final'!$R$135),"")</f>
        <v>R43C3</v>
      </c>
      <c r="V248" s="43" t="str">
        <f>IF(AND('Mapa final'!$AB$133="Muy Baja",'Mapa final'!$AD$133="Catastrófico"),CONCATENATE("R43C",'Mapa final'!$R$133),"")</f>
        <v/>
      </c>
      <c r="W248" s="44" t="str">
        <f>IF(AND('Mapa final'!$AB$134="Muy Baja",'Mapa final'!$AD$134="Catastrófico"),CONCATENATE("R43C",'Mapa final'!$R$134),"")</f>
        <v/>
      </c>
      <c r="X248" s="100" t="str">
        <f>IF(AND('Mapa final'!$AB$135="Muy Baja",'Mapa final'!$AD$135="Catastrófico"),CONCATENATE("R43C",'Mapa final'!$R$135),"")</f>
        <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row>
    <row r="249" spans="1:65" ht="15" customHeight="1" x14ac:dyDescent="0.35">
      <c r="A249" s="56"/>
      <c r="B249" s="311"/>
      <c r="C249" s="311"/>
      <c r="D249" s="312"/>
      <c r="E249" s="288"/>
      <c r="F249" s="301"/>
      <c r="G249" s="301"/>
      <c r="H249" s="301"/>
      <c r="I249" s="283"/>
      <c r="J249" s="115" t="str">
        <f>IF(AND('Mapa final'!$AB$136="Muy Baja",'Mapa final'!$AD$136="Leve"),CONCATENATE("R44C",'Mapa final'!$R$136),"")</f>
        <v/>
      </c>
      <c r="K249" s="54" t="str">
        <f>IF(AND('Mapa final'!$AB$137="Muy Baja",'Mapa final'!$AD$137="Leve"),CONCATENATE("R44C",'Mapa final'!$R$137),"")</f>
        <v/>
      </c>
      <c r="L249" s="116" t="str">
        <f>IF(AND('Mapa final'!$AB$138="Muy Baja",'Mapa final'!$AD$138="Leve"),CONCATENATE("R44C",'Mapa final'!$R$138),"")</f>
        <v/>
      </c>
      <c r="M249" s="115" t="str">
        <f>IF(AND('Mapa final'!$AB$136="Muy Baja",'Mapa final'!$AD$136="Menor"),CONCATENATE("R44C",'Mapa final'!$R$136),"")</f>
        <v/>
      </c>
      <c r="N249" s="54" t="str">
        <f>IF(AND('Mapa final'!$AB$137="Muy Baja",'Mapa final'!$AD$137="Menor"),CONCATENATE("R44C",'Mapa final'!$R$137),"")</f>
        <v/>
      </c>
      <c r="O249" s="116" t="str">
        <f>IF(AND('Mapa final'!$AB$138="Muy Baja",'Mapa final'!$AD$138="Menor"),CONCATENATE("R44C",'Mapa final'!$R$138),"")</f>
        <v/>
      </c>
      <c r="P249" s="49" t="str">
        <f>IF(AND('Mapa final'!$AB$136="Muy Baja",'Mapa final'!$AD$136="Moderado"),CONCATENATE("R44C",'Mapa final'!$R$136),"")</f>
        <v/>
      </c>
      <c r="Q249" s="50" t="str">
        <f>IF(AND('Mapa final'!$AB$137="Muy Baja",'Mapa final'!$AD$137="Moderado"),CONCATENATE("R44C",'Mapa final'!$R$137),"")</f>
        <v/>
      </c>
      <c r="R249" s="111" t="str">
        <f>IF(AND('Mapa final'!$AB$138="Muy Baja",'Mapa final'!$AD$138="Moderado"),CONCATENATE("R44C",'Mapa final'!$R$138),"")</f>
        <v/>
      </c>
      <c r="S249" s="105" t="str">
        <f>IF(AND('Mapa final'!$AB$136="Muy Baja",'Mapa final'!$AD$136="Mayor"),CONCATENATE("R44C",'Mapa final'!$R$136),"")</f>
        <v/>
      </c>
      <c r="T249" s="42" t="str">
        <f>IF(AND('Mapa final'!$AB$137="Muy Baja",'Mapa final'!$AD$137="Mayor"),CONCATENATE("R44C",'Mapa final'!$R$137),"")</f>
        <v/>
      </c>
      <c r="U249" s="106" t="str">
        <f>IF(AND('Mapa final'!$AB$138="Muy Baja",'Mapa final'!$AD$138="Mayor"),CONCATENATE("R44C",'Mapa final'!$R$138),"")</f>
        <v/>
      </c>
      <c r="V249" s="43" t="str">
        <f>IF(AND('Mapa final'!$AB$136="Muy Baja",'Mapa final'!$AD$136="Catastrófico"),CONCATENATE("R44C",'Mapa final'!$R$136),"")</f>
        <v/>
      </c>
      <c r="W249" s="44" t="str">
        <f>IF(AND('Mapa final'!$AB$137="Muy Baja",'Mapa final'!$AD$137="Catastrófico"),CONCATENATE("R44C",'Mapa final'!$R$137),"")</f>
        <v/>
      </c>
      <c r="X249" s="100" t="str">
        <f>IF(AND('Mapa final'!$AB$138="Muy Baja",'Mapa final'!$AD$138="Catastrófico"),CONCATENATE("R44C",'Mapa final'!$R$138),"")</f>
        <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row>
    <row r="250" spans="1:65" ht="15" customHeight="1" x14ac:dyDescent="0.35">
      <c r="A250" s="56"/>
      <c r="B250" s="311"/>
      <c r="C250" s="311"/>
      <c r="D250" s="312"/>
      <c r="E250" s="288"/>
      <c r="F250" s="301"/>
      <c r="G250" s="301"/>
      <c r="H250" s="301"/>
      <c r="I250" s="283"/>
      <c r="J250" s="115" t="str">
        <f>IF(AND('Mapa final'!$AB$139="Muy Baja",'Mapa final'!$AD$139="Leve"),CONCATENATE("R45C",'Mapa final'!$R$139),"")</f>
        <v/>
      </c>
      <c r="K250" s="54" t="str">
        <f>IF(AND('Mapa final'!$AB$140="Muy Baja",'Mapa final'!$AD$140="Leve"),CONCATENATE("R45C",'Mapa final'!$R$140),"")</f>
        <v/>
      </c>
      <c r="L250" s="116" t="str">
        <f>IF(AND('Mapa final'!$AB$141="Muy Baja",'Mapa final'!$AD$141="Leve"),CONCATENATE("R45C",'Mapa final'!$R$141),"")</f>
        <v/>
      </c>
      <c r="M250" s="115" t="str">
        <f>IF(AND('Mapa final'!$AB$139="Muy Baja",'Mapa final'!$AD$139="Menor"),CONCATENATE("R45C",'Mapa final'!$R$139),"")</f>
        <v/>
      </c>
      <c r="N250" s="54" t="str">
        <f>IF(AND('Mapa final'!$AB$140="Muy Baja",'Mapa final'!$AD$140="Menor"),CONCATENATE("R45C",'Mapa final'!$R$140),"")</f>
        <v/>
      </c>
      <c r="O250" s="116" t="str">
        <f>IF(AND('Mapa final'!$AB$141="Muy Baja",'Mapa final'!$AD$141="Menor"),CONCATENATE("R45C",'Mapa final'!$R$141),"")</f>
        <v/>
      </c>
      <c r="P250" s="49" t="str">
        <f>IF(AND('Mapa final'!$AB$139="Muy Baja",'Mapa final'!$AD$139="Moderado"),CONCATENATE("R45C",'Mapa final'!$R$139),"")</f>
        <v/>
      </c>
      <c r="Q250" s="50" t="str">
        <f>IF(AND('Mapa final'!$AB$140="Muy Baja",'Mapa final'!$AD$140="Moderado"),CONCATENATE("R45C",'Mapa final'!$R$140),"")</f>
        <v/>
      </c>
      <c r="R250" s="111" t="str">
        <f>IF(AND('Mapa final'!$AB$141="Muy Baja",'Mapa final'!$AD$141="Moderado"),CONCATENATE("R45C",'Mapa final'!$R$141),"")</f>
        <v/>
      </c>
      <c r="S250" s="105" t="str">
        <f>IF(AND('Mapa final'!$AB$139="Muy Baja",'Mapa final'!$AD$139="Mayor"),CONCATENATE("R45C",'Mapa final'!$R$139),"")</f>
        <v/>
      </c>
      <c r="T250" s="42" t="str">
        <f>IF(AND('Mapa final'!$AB$140="Muy Baja",'Mapa final'!$AD$140="Mayor"),CONCATENATE("R45C",'Mapa final'!$R$140),"")</f>
        <v/>
      </c>
      <c r="U250" s="106" t="str">
        <f>IF(AND('Mapa final'!$AB$141="Muy Baja",'Mapa final'!$AD$141="Mayor"),CONCATENATE("R45C",'Mapa final'!$R$141),"")</f>
        <v/>
      </c>
      <c r="V250" s="43" t="str">
        <f>IF(AND('Mapa final'!$AB$139="Muy Baja",'Mapa final'!$AD$139="Catastrófico"),CONCATENATE("R45C",'Mapa final'!$R$139),"")</f>
        <v/>
      </c>
      <c r="W250" s="44" t="str">
        <f>IF(AND('Mapa final'!$AB$140="Muy Baja",'Mapa final'!$AD$140="Catastrófico"),CONCATENATE("R45C",'Mapa final'!$R$140),"")</f>
        <v/>
      </c>
      <c r="X250" s="100" t="str">
        <f>IF(AND('Mapa final'!$AB$141="Muy Baja",'Mapa final'!$AD$141="Catastrófico"),CONCATENATE("R45C",'Mapa final'!$R$141),"")</f>
        <v/>
      </c>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row>
    <row r="251" spans="1:65" ht="15" customHeight="1" x14ac:dyDescent="0.35">
      <c r="A251" s="56"/>
      <c r="B251" s="311"/>
      <c r="C251" s="311"/>
      <c r="D251" s="312"/>
      <c r="E251" s="288"/>
      <c r="F251" s="301"/>
      <c r="G251" s="301"/>
      <c r="H251" s="301"/>
      <c r="I251" s="283"/>
      <c r="J251" s="115" t="str">
        <f>IF(AND('Mapa final'!$AB$142="Muy Baja",'Mapa final'!$AD$142="Leve"),CONCATENATE("R46C",'Mapa final'!$R$142),"")</f>
        <v/>
      </c>
      <c r="K251" s="54" t="str">
        <f>IF(AND('Mapa final'!$AB$143="Muy Baja",'Mapa final'!$AD$143="Leve"),CONCATENATE("R46C",'Mapa final'!$R$143),"")</f>
        <v/>
      </c>
      <c r="L251" s="116" t="str">
        <f>IF(AND('Mapa final'!$AB$144="Muy Baja",'Mapa final'!$AD$144="Leve"),CONCATENATE("R46C",'Mapa final'!$R$144),"")</f>
        <v/>
      </c>
      <c r="M251" s="115" t="str">
        <f>IF(AND('Mapa final'!$AB$142="Muy Baja",'Mapa final'!$AD$142="Menor"),CONCATENATE("R46C",'Mapa final'!$R$142),"")</f>
        <v/>
      </c>
      <c r="N251" s="54" t="str">
        <f>IF(AND('Mapa final'!$AB$143="Muy Baja",'Mapa final'!$AD$143="Menor"),CONCATENATE("R46C",'Mapa final'!$R$143),"")</f>
        <v/>
      </c>
      <c r="O251" s="116" t="str">
        <f>IF(AND('Mapa final'!$AB$144="Muy Baja",'Mapa final'!$AD$144="Menor"),CONCATENATE("R46C",'Mapa final'!$R$144),"")</f>
        <v/>
      </c>
      <c r="P251" s="49" t="str">
        <f>IF(AND('Mapa final'!$AB$142="Muy Baja",'Mapa final'!$AD$142="Moderado"),CONCATENATE("R46C",'Mapa final'!$R$142),"")</f>
        <v/>
      </c>
      <c r="Q251" s="50" t="str">
        <f>IF(AND('Mapa final'!$AB$143="Muy Baja",'Mapa final'!$AD$143="Moderado"),CONCATENATE("R46C",'Mapa final'!$R$143),"")</f>
        <v/>
      </c>
      <c r="R251" s="111" t="str">
        <f>IF(AND('Mapa final'!$AB$144="Muy Baja",'Mapa final'!$AD$144="Moderado"),CONCATENATE("R46C",'Mapa final'!$R$144),"")</f>
        <v/>
      </c>
      <c r="S251" s="105" t="str">
        <f>IF(AND('Mapa final'!$AB$142="Muy Baja",'Mapa final'!$AD$142="Mayor"),CONCATENATE("R46C",'Mapa final'!$R$142),"")</f>
        <v/>
      </c>
      <c r="T251" s="42" t="str">
        <f>IF(AND('Mapa final'!$AB$143="Muy Baja",'Mapa final'!$AD$143="Mayor"),CONCATENATE("R46C",'Mapa final'!$R$143),"")</f>
        <v/>
      </c>
      <c r="U251" s="106" t="str">
        <f>IF(AND('Mapa final'!$AB$144="Muy Baja",'Mapa final'!$AD$144="Mayor"),CONCATENATE("R46C",'Mapa final'!$R$144),"")</f>
        <v/>
      </c>
      <c r="V251" s="43" t="str">
        <f>IF(AND('Mapa final'!$AB$142="Muy Baja",'Mapa final'!$AD$142="Catastrófico"),CONCATENATE("R46C",'Mapa final'!$R$142),"")</f>
        <v/>
      </c>
      <c r="W251" s="44" t="str">
        <f>IF(AND('Mapa final'!$AB$143="Muy Baja",'Mapa final'!$AD$143="Catastrófico"),CONCATENATE("R46C",'Mapa final'!$R$143),"")</f>
        <v/>
      </c>
      <c r="X251" s="100" t="str">
        <f>IF(AND('Mapa final'!$AB$144="Muy Baja",'Mapa final'!$AD$144="Catastrófico"),CONCATENATE("R46C",'Mapa final'!$R$144),"")</f>
        <v/>
      </c>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row>
    <row r="252" spans="1:65" ht="15" customHeight="1" x14ac:dyDescent="0.35">
      <c r="A252" s="56"/>
      <c r="B252" s="311"/>
      <c r="C252" s="311"/>
      <c r="D252" s="312"/>
      <c r="E252" s="288"/>
      <c r="F252" s="301"/>
      <c r="G252" s="301"/>
      <c r="H252" s="301"/>
      <c r="I252" s="283"/>
      <c r="J252" s="115" t="str">
        <f>IF(AND('Mapa final'!$AB$145="Muy Baja",'Mapa final'!$AD$145="Leve"),CONCATENATE("R47C",'Mapa final'!$R$145),"")</f>
        <v/>
      </c>
      <c r="K252" s="54" t="str">
        <f>IF(AND('Mapa final'!$AB$146="Muy Baja",'Mapa final'!$AD$146="Leve"),CONCATENATE("R47C",'Mapa final'!$R$146),"")</f>
        <v/>
      </c>
      <c r="L252" s="116" t="str">
        <f>IF(AND('Mapa final'!$AB$147="Muy Baja",'Mapa final'!$AD$147="Leve"),CONCATENATE("R47C",'Mapa final'!$R$147),"")</f>
        <v/>
      </c>
      <c r="M252" s="115" t="str">
        <f>IF(AND('Mapa final'!$AB$145="Muy Baja",'Mapa final'!$AD$145="Menor"),CONCATENATE("R47C",'Mapa final'!$R$145),"")</f>
        <v/>
      </c>
      <c r="N252" s="54" t="str">
        <f>IF(AND('Mapa final'!$AB$146="Muy Baja",'Mapa final'!$AD$146="Menor"),CONCATENATE("R47C",'Mapa final'!$R$146),"")</f>
        <v/>
      </c>
      <c r="O252" s="116" t="str">
        <f>IF(AND('Mapa final'!$AB$147="Muy Baja",'Mapa final'!$AD$147="Menor"),CONCATENATE("R47C",'Mapa final'!$R$147),"")</f>
        <v/>
      </c>
      <c r="P252" s="49" t="str">
        <f>IF(AND('Mapa final'!$AB$145="Muy Baja",'Mapa final'!$AD$145="Moderado"),CONCATENATE("R47C",'Mapa final'!$R$145),"")</f>
        <v/>
      </c>
      <c r="Q252" s="50" t="str">
        <f>IF(AND('Mapa final'!$AB$146="Muy Baja",'Mapa final'!$AD$146="Moderado"),CONCATENATE("R47C",'Mapa final'!$R$146),"")</f>
        <v/>
      </c>
      <c r="R252" s="111" t="str">
        <f>IF(AND('Mapa final'!$AB$147="Muy Baja",'Mapa final'!$AD$147="Moderado"),CONCATENATE("R47C",'Mapa final'!$R$147),"")</f>
        <v/>
      </c>
      <c r="S252" s="105" t="str">
        <f>IF(AND('Mapa final'!$AB$145="Muy Baja",'Mapa final'!$AD$145="Mayor"),CONCATENATE("R47C",'Mapa final'!$R$145),"")</f>
        <v/>
      </c>
      <c r="T252" s="42" t="str">
        <f>IF(AND('Mapa final'!$AB$146="Muy Baja",'Mapa final'!$AD$146="Mayor"),CONCATENATE("R47C",'Mapa final'!$R$146),"")</f>
        <v/>
      </c>
      <c r="U252" s="106" t="str">
        <f>IF(AND('Mapa final'!$AB$147="Muy Baja",'Mapa final'!$AD$147="Mayor"),CONCATENATE("R47C",'Mapa final'!$R$147),"")</f>
        <v/>
      </c>
      <c r="V252" s="43" t="str">
        <f>IF(AND('Mapa final'!$AB$145="Muy Baja",'Mapa final'!$AD$145="Catastrófico"),CONCATENATE("R47C",'Mapa final'!$R$145),"")</f>
        <v/>
      </c>
      <c r="W252" s="44" t="str">
        <f>IF(AND('Mapa final'!$AB$146="Muy Baja",'Mapa final'!$AD$146="Catastrófico"),CONCATENATE("R47C",'Mapa final'!$R$146),"")</f>
        <v/>
      </c>
      <c r="X252" s="100" t="str">
        <f>IF(AND('Mapa final'!$AB$147="Muy Baja",'Mapa final'!$AD$147="Catastrófico"),CONCATENATE("R47C",'Mapa final'!$R$147),"")</f>
        <v/>
      </c>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row>
    <row r="253" spans="1:65" ht="15" customHeight="1" x14ac:dyDescent="0.35">
      <c r="A253" s="56"/>
      <c r="B253" s="311"/>
      <c r="C253" s="311"/>
      <c r="D253" s="312"/>
      <c r="E253" s="288"/>
      <c r="F253" s="301"/>
      <c r="G253" s="301"/>
      <c r="H253" s="301"/>
      <c r="I253" s="283"/>
      <c r="J253" s="115" t="str">
        <f>IF(AND('Mapa final'!$AB$148="Muy Baja",'Mapa final'!$AD$148="Leve"),CONCATENATE("R48C",'Mapa final'!$R$148),"")</f>
        <v/>
      </c>
      <c r="K253" s="54" t="str">
        <f>IF(AND('Mapa final'!$AB$149="Muy Baja",'Mapa final'!$AD$149="Leve"),CONCATENATE("R48C",'Mapa final'!$R$149),"")</f>
        <v/>
      </c>
      <c r="L253" s="116" t="str">
        <f>IF(AND('Mapa final'!$AB$150="Muy Baja",'Mapa final'!$AD$150="Leve"),CONCATENATE("R48C",'Mapa final'!$R$150),"")</f>
        <v/>
      </c>
      <c r="M253" s="115" t="str">
        <f>IF(AND('Mapa final'!$AB$148="Muy Baja",'Mapa final'!$AD$148="Menor"),CONCATENATE("R48C",'Mapa final'!$R$148),"")</f>
        <v/>
      </c>
      <c r="N253" s="54" t="str">
        <f>IF(AND('Mapa final'!$AB$149="Muy Baja",'Mapa final'!$AD$149="Menor"),CONCATENATE("R48C",'Mapa final'!$R$149),"")</f>
        <v/>
      </c>
      <c r="O253" s="116" t="str">
        <f>IF(AND('Mapa final'!$AB$150="Muy Baja",'Mapa final'!$AD$150="Menor"),CONCATENATE("R48C",'Mapa final'!$R$150),"")</f>
        <v/>
      </c>
      <c r="P253" s="49" t="str">
        <f>IF(AND('Mapa final'!$AB$148="Muy Baja",'Mapa final'!$AD$148="Moderado"),CONCATENATE("R48C",'Mapa final'!$R$148),"")</f>
        <v/>
      </c>
      <c r="Q253" s="50" t="str">
        <f>IF(AND('Mapa final'!$AB$149="Muy Baja",'Mapa final'!$AD$149="Moderado"),CONCATENATE("R48C",'Mapa final'!$R$149),"")</f>
        <v/>
      </c>
      <c r="R253" s="111" t="str">
        <f>IF(AND('Mapa final'!$AB$150="Muy Baja",'Mapa final'!$AD$150="Moderado"),CONCATENATE("R48C",'Mapa final'!$R$150),"")</f>
        <v/>
      </c>
      <c r="S253" s="105" t="str">
        <f>IF(AND('Mapa final'!$AB$148="Muy Baja",'Mapa final'!$AD$148="Mayor"),CONCATENATE("R48C",'Mapa final'!$R$148),"")</f>
        <v/>
      </c>
      <c r="T253" s="42" t="str">
        <f>IF(AND('Mapa final'!$AB$149="Muy Baja",'Mapa final'!$AD$149="Mayor"),CONCATENATE("R48C",'Mapa final'!$R$149),"")</f>
        <v/>
      </c>
      <c r="U253" s="106" t="str">
        <f>IF(AND('Mapa final'!$AB$150="Muy Baja",'Mapa final'!$AD$150="Mayor"),CONCATENATE("R48C",'Mapa final'!$R$150),"")</f>
        <v/>
      </c>
      <c r="V253" s="43" t="str">
        <f>IF(AND('Mapa final'!$AB$148="Muy Baja",'Mapa final'!$AD$148="Catastrófico"),CONCATENATE("R48C",'Mapa final'!$R$148),"")</f>
        <v/>
      </c>
      <c r="W253" s="44" t="str">
        <f>IF(AND('Mapa final'!$AB$149="Muy Baja",'Mapa final'!$AD$149="Catastrófico"),CONCATENATE("R48C",'Mapa final'!$R$149),"")</f>
        <v/>
      </c>
      <c r="X253" s="100" t="str">
        <f>IF(AND('Mapa final'!$AB$150="Muy Baja",'Mapa final'!$AD$150="Catastrófico"),CONCATENATE("R48C",'Mapa final'!$R$150),"")</f>
        <v/>
      </c>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row>
    <row r="254" spans="1:65" ht="15" customHeight="1" x14ac:dyDescent="0.35">
      <c r="A254" s="56"/>
      <c r="B254" s="311"/>
      <c r="C254" s="311"/>
      <c r="D254" s="312"/>
      <c r="E254" s="288"/>
      <c r="F254" s="301"/>
      <c r="G254" s="301"/>
      <c r="H254" s="301"/>
      <c r="I254" s="283"/>
      <c r="J254" s="115" t="str">
        <f>IF(AND('Mapa final'!$AB$151="Muy Baja",'Mapa final'!$AD$151="Leve"),CONCATENATE("R49C",'Mapa final'!$R$151),"")</f>
        <v/>
      </c>
      <c r="K254" s="54" t="str">
        <f>IF(AND('Mapa final'!$AB$152="Muy Baja",'Mapa final'!$AD$152="Leve"),CONCATENATE("R49C",'Mapa final'!$R$152),"")</f>
        <v/>
      </c>
      <c r="L254" s="116" t="str">
        <f>IF(AND('Mapa final'!$AB$153="Muy Baja",'Mapa final'!$AD$153="Leve"),CONCATENATE("R49C",'Mapa final'!$R$153),"")</f>
        <v/>
      </c>
      <c r="M254" s="115" t="str">
        <f>IF(AND('Mapa final'!$AB$151="Muy Baja",'Mapa final'!$AD$151="Menor"),CONCATENATE("R49C",'Mapa final'!$R$151),"")</f>
        <v/>
      </c>
      <c r="N254" s="54" t="str">
        <f>IF(AND('Mapa final'!$AB$152="Muy Baja",'Mapa final'!$AD$152="Menor"),CONCATENATE("R49C",'Mapa final'!$R$152),"")</f>
        <v/>
      </c>
      <c r="O254" s="116" t="str">
        <f>IF(AND('Mapa final'!$AB$153="Muy Baja",'Mapa final'!$AD$153="Menor"),CONCATENATE("R49C",'Mapa final'!$R$153),"")</f>
        <v/>
      </c>
      <c r="P254" s="49" t="str">
        <f>IF(AND('Mapa final'!$AB$151="Muy Baja",'Mapa final'!$AD$151="Moderado"),CONCATENATE("R49C",'Mapa final'!$R$151),"")</f>
        <v/>
      </c>
      <c r="Q254" s="50" t="str">
        <f>IF(AND('Mapa final'!$AB$152="Muy Baja",'Mapa final'!$AD$152="Moderado"),CONCATENATE("R49C",'Mapa final'!$R$152),"")</f>
        <v/>
      </c>
      <c r="R254" s="111" t="str">
        <f>IF(AND('Mapa final'!$AB$153="Muy Baja",'Mapa final'!$AD$153="Moderado"),CONCATENATE("R49C",'Mapa final'!$R$153),"")</f>
        <v/>
      </c>
      <c r="S254" s="105" t="str">
        <f>IF(AND('Mapa final'!$AB$151="Muy Baja",'Mapa final'!$AD$151="Mayor"),CONCATENATE("R49C",'Mapa final'!$R$151),"")</f>
        <v/>
      </c>
      <c r="T254" s="42" t="str">
        <f>IF(AND('Mapa final'!$AB$152="Muy Baja",'Mapa final'!$AD$152="Mayor"),CONCATENATE("R49C",'Mapa final'!$R$152),"")</f>
        <v/>
      </c>
      <c r="U254" s="106" t="str">
        <f>IF(AND('Mapa final'!$AB$153="Muy Baja",'Mapa final'!$AD$153="Mayor"),CONCATENATE("R49C",'Mapa final'!$R$153),"")</f>
        <v/>
      </c>
      <c r="V254" s="43" t="str">
        <f>IF(AND('Mapa final'!$AB$151="Muy Baja",'Mapa final'!$AD$151="Catastrófico"),CONCATENATE("R49C",'Mapa final'!$R$151),"")</f>
        <v/>
      </c>
      <c r="W254" s="44" t="str">
        <f>IF(AND('Mapa final'!$AB$152="Muy Baja",'Mapa final'!$AD$152="Catastrófico"),CONCATENATE("R49C",'Mapa final'!$R$152),"")</f>
        <v/>
      </c>
      <c r="X254" s="100" t="str">
        <f>IF(AND('Mapa final'!$AB$153="Muy Baja",'Mapa final'!$AD$153="Catastrófico"),CONCATENATE("R49C",'Mapa final'!$R$153),"")</f>
        <v/>
      </c>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row>
    <row r="255" spans="1:65" ht="15" customHeight="1" thickBot="1" x14ac:dyDescent="0.4">
      <c r="A255" s="56"/>
      <c r="B255" s="311"/>
      <c r="C255" s="311"/>
      <c r="D255" s="312"/>
      <c r="E255" s="288"/>
      <c r="F255" s="301"/>
      <c r="G255" s="301"/>
      <c r="H255" s="301"/>
      <c r="I255" s="283"/>
      <c r="J255" s="117" t="str">
        <f>IF(AND('Mapa final'!$AB$154="Muy Baja",'Mapa final'!$AD$154="Leve"),CONCATENATE("R50C",'Mapa final'!$R$154),"")</f>
        <v/>
      </c>
      <c r="K255" s="55" t="str">
        <f>IF(AND('Mapa final'!$AB$155="Muy Baja",'Mapa final'!$AD$155="Leve"),CONCATENATE("R50C",'Mapa final'!$R$155),"")</f>
        <v/>
      </c>
      <c r="L255" s="118" t="str">
        <f>IF(AND('Mapa final'!$AB$156="Muy Baja",'Mapa final'!$AD$156="Leve"),CONCATENATE("R50C",'Mapa final'!$R$156),"")</f>
        <v/>
      </c>
      <c r="M255" s="117" t="str">
        <f>IF(AND('Mapa final'!$AB$154="Muy Baja",'Mapa final'!$AD$154="Menor"),CONCATENATE("R50C",'Mapa final'!$R$154),"")</f>
        <v/>
      </c>
      <c r="N255" s="55" t="str">
        <f>IF(AND('Mapa final'!$AB$155="Muy Baja",'Mapa final'!$AD$155="Menor"),CONCATENATE("R50C",'Mapa final'!$R$155),"")</f>
        <v/>
      </c>
      <c r="O255" s="118" t="str">
        <f>IF(AND('Mapa final'!$AB$156="Muy Baja",'Mapa final'!$AD$156="Menor"),CONCATENATE("R50C",'Mapa final'!$R$156),"")</f>
        <v/>
      </c>
      <c r="P255" s="51" t="str">
        <f>IF(AND('Mapa final'!$AB$154="Muy Baja",'Mapa final'!$AD$154="Moderado"),CONCATENATE("R50C",'Mapa final'!$R$154),"")</f>
        <v/>
      </c>
      <c r="Q255" s="52" t="str">
        <f>IF(AND('Mapa final'!$AB$155="Muy Baja",'Mapa final'!$AD$155="Moderado"),CONCATENATE("R50C",'Mapa final'!$R$155),"")</f>
        <v/>
      </c>
      <c r="R255" s="112" t="str">
        <f>IF(AND('Mapa final'!$AB$156="Muy Baja",'Mapa final'!$AD$156="Moderado"),CONCATENATE("R50C",'Mapa final'!$R$156),"")</f>
        <v/>
      </c>
      <c r="S255" s="107" t="str">
        <f>IF(AND('Mapa final'!$AB$154="Muy Baja",'Mapa final'!$AD$154="Mayor"),CONCATENATE("R50C",'Mapa final'!$R$154),"")</f>
        <v/>
      </c>
      <c r="T255" s="108" t="str">
        <f>IF(AND('Mapa final'!$AB$155="Muy Baja",'Mapa final'!$AD$155="Mayor"),CONCATENATE("R50C",'Mapa final'!$R$155),"")</f>
        <v/>
      </c>
      <c r="U255" s="109" t="str">
        <f>IF(AND('Mapa final'!$AB$156="Muy Baja",'Mapa final'!$AD$156="Mayor"),CONCATENATE("R50C",'Mapa final'!$R$156),"")</f>
        <v/>
      </c>
      <c r="V255" s="45" t="str">
        <f>IF(AND('Mapa final'!$AB$154="Muy Baja",'Mapa final'!$AD$154="Catastrófico"),CONCATENATE("R50C",'Mapa final'!$R$154),"")</f>
        <v/>
      </c>
      <c r="W255" s="46" t="str">
        <f>IF(AND('Mapa final'!$AB$155="Muy Baja",'Mapa final'!$AD$155="Catastrófico"),CONCATENATE("R50C",'Mapa final'!$R$155),"")</f>
        <v/>
      </c>
      <c r="X255" s="101" t="str">
        <f>IF(AND('Mapa final'!$AB$156="Muy Baja",'Mapa final'!$AD$156="Catastrófico"),CONCATENATE("R50C",'Mapa final'!$R$156),"")</f>
        <v/>
      </c>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row>
    <row r="256" spans="1:65" x14ac:dyDescent="0.35">
      <c r="A256" s="56"/>
      <c r="B256" s="56"/>
      <c r="C256" s="56"/>
      <c r="D256" s="56"/>
      <c r="E256" s="56"/>
      <c r="F256" s="56"/>
      <c r="G256" s="56"/>
      <c r="H256" s="56"/>
      <c r="I256" s="56"/>
      <c r="J256" s="282" t="s">
        <v>103</v>
      </c>
      <c r="K256" s="283"/>
      <c r="L256" s="283"/>
      <c r="M256" s="287" t="s">
        <v>102</v>
      </c>
      <c r="N256" s="283"/>
      <c r="O256" s="283"/>
      <c r="P256" s="287" t="s">
        <v>101</v>
      </c>
      <c r="Q256" s="283"/>
      <c r="R256" s="283"/>
      <c r="S256" s="287" t="s">
        <v>100</v>
      </c>
      <c r="T256" s="290"/>
      <c r="U256" s="283"/>
      <c r="V256" s="287" t="s">
        <v>99</v>
      </c>
      <c r="W256" s="283"/>
      <c r="X256" s="291"/>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row>
    <row r="257" spans="1:65" x14ac:dyDescent="0.35">
      <c r="A257" s="56"/>
      <c r="B257" s="56"/>
      <c r="C257" s="56"/>
      <c r="D257" s="56"/>
      <c r="E257" s="56"/>
      <c r="F257" s="56"/>
      <c r="G257" s="56"/>
      <c r="H257" s="56"/>
      <c r="I257" s="56"/>
      <c r="J257" s="284"/>
      <c r="K257" s="283"/>
      <c r="L257" s="283"/>
      <c r="M257" s="288"/>
      <c r="N257" s="283"/>
      <c r="O257" s="283"/>
      <c r="P257" s="288"/>
      <c r="Q257" s="283"/>
      <c r="R257" s="283"/>
      <c r="S257" s="288"/>
      <c r="T257" s="283"/>
      <c r="U257" s="283"/>
      <c r="V257" s="288"/>
      <c r="W257" s="283"/>
      <c r="X257" s="291"/>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row>
    <row r="258" spans="1:65" x14ac:dyDescent="0.35">
      <c r="A258" s="56"/>
      <c r="B258" s="56"/>
      <c r="C258" s="56"/>
      <c r="D258" s="56"/>
      <c r="E258" s="56"/>
      <c r="F258" s="56"/>
      <c r="G258" s="56"/>
      <c r="H258" s="56"/>
      <c r="I258" s="56"/>
      <c r="J258" s="284"/>
      <c r="K258" s="283"/>
      <c r="L258" s="283"/>
      <c r="M258" s="288"/>
      <c r="N258" s="283"/>
      <c r="O258" s="283"/>
      <c r="P258" s="288"/>
      <c r="Q258" s="283"/>
      <c r="R258" s="283"/>
      <c r="S258" s="288"/>
      <c r="T258" s="283"/>
      <c r="U258" s="283"/>
      <c r="V258" s="288"/>
      <c r="W258" s="283"/>
      <c r="X258" s="291"/>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row>
    <row r="259" spans="1:65" x14ac:dyDescent="0.35">
      <c r="A259" s="56"/>
      <c r="B259" s="56"/>
      <c r="C259" s="56"/>
      <c r="D259" s="56"/>
      <c r="E259" s="56"/>
      <c r="F259" s="56"/>
      <c r="G259" s="56"/>
      <c r="H259" s="56"/>
      <c r="I259" s="56"/>
      <c r="J259" s="284"/>
      <c r="K259" s="283"/>
      <c r="L259" s="283"/>
      <c r="M259" s="288"/>
      <c r="N259" s="283"/>
      <c r="O259" s="283"/>
      <c r="P259" s="288"/>
      <c r="Q259" s="283"/>
      <c r="R259" s="283"/>
      <c r="S259" s="288"/>
      <c r="T259" s="283"/>
      <c r="U259" s="283"/>
      <c r="V259" s="288"/>
      <c r="W259" s="283"/>
      <c r="X259" s="291"/>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row>
    <row r="260" spans="1:65" x14ac:dyDescent="0.35">
      <c r="A260" s="56"/>
      <c r="B260" s="56"/>
      <c r="C260" s="56"/>
      <c r="D260" s="56"/>
      <c r="E260" s="56"/>
      <c r="F260" s="56"/>
      <c r="G260" s="56"/>
      <c r="H260" s="56"/>
      <c r="I260" s="56"/>
      <c r="J260" s="284"/>
      <c r="K260" s="283"/>
      <c r="L260" s="283"/>
      <c r="M260" s="288"/>
      <c r="N260" s="283"/>
      <c r="O260" s="283"/>
      <c r="P260" s="288"/>
      <c r="Q260" s="283"/>
      <c r="R260" s="283"/>
      <c r="S260" s="288"/>
      <c r="T260" s="283"/>
      <c r="U260" s="283"/>
      <c r="V260" s="288"/>
      <c r="W260" s="283"/>
      <c r="X260" s="291"/>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row>
    <row r="261" spans="1:65" ht="15" thickBot="1" x14ac:dyDescent="0.4">
      <c r="A261" s="56"/>
      <c r="B261" s="56"/>
      <c r="C261" s="56"/>
      <c r="D261" s="56"/>
      <c r="E261" s="56"/>
      <c r="F261" s="56"/>
      <c r="G261" s="56"/>
      <c r="H261" s="56"/>
      <c r="I261" s="56"/>
      <c r="J261" s="285"/>
      <c r="K261" s="286"/>
      <c r="L261" s="286"/>
      <c r="M261" s="289"/>
      <c r="N261" s="286"/>
      <c r="O261" s="286"/>
      <c r="P261" s="289"/>
      <c r="Q261" s="286"/>
      <c r="R261" s="286"/>
      <c r="S261" s="289"/>
      <c r="T261" s="286"/>
      <c r="U261" s="286"/>
      <c r="V261" s="289"/>
      <c r="W261" s="286"/>
      <c r="X261" s="292"/>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row>
    <row r="262" spans="1:65" x14ac:dyDescent="0.3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row>
    <row r="263" spans="1:65" ht="15" customHeight="1" x14ac:dyDescent="0.35">
      <c r="A263" s="56"/>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56"/>
      <c r="AG263" s="56"/>
      <c r="AH263" s="56"/>
      <c r="AI263" s="56"/>
      <c r="AJ263" s="56"/>
      <c r="AK263" s="56"/>
      <c r="AL263" s="56"/>
      <c r="AM263" s="56"/>
      <c r="AN263" s="56"/>
      <c r="AO263" s="56"/>
      <c r="AP263" s="56"/>
      <c r="AQ263" s="56"/>
      <c r="AR263" s="56"/>
      <c r="AS263" s="56"/>
    </row>
    <row r="264" spans="1:65" ht="15" customHeight="1" x14ac:dyDescent="0.35">
      <c r="A264" s="56"/>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56"/>
      <c r="AG264" s="56"/>
      <c r="AH264" s="56"/>
      <c r="AI264" s="56"/>
      <c r="AJ264" s="56"/>
      <c r="AK264" s="56"/>
      <c r="AL264" s="56"/>
      <c r="AM264" s="56"/>
      <c r="AN264" s="56"/>
      <c r="AO264" s="56"/>
      <c r="AP264" s="56"/>
      <c r="AQ264" s="56"/>
      <c r="AR264" s="56"/>
      <c r="AS264" s="56"/>
    </row>
    <row r="265" spans="1:65" x14ac:dyDescent="0.3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row>
    <row r="266" spans="1:65" x14ac:dyDescent="0.3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row>
    <row r="267" spans="1:65" x14ac:dyDescent="0.3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row>
    <row r="268" spans="1:65" x14ac:dyDescent="0.3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row>
    <row r="269" spans="1:65" x14ac:dyDescent="0.3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row>
    <row r="270" spans="1:65" x14ac:dyDescent="0.3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row>
    <row r="271" spans="1:65" x14ac:dyDescent="0.3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row>
    <row r="272" spans="1:65" x14ac:dyDescent="0.3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row>
    <row r="273" spans="1:45" x14ac:dyDescent="0.3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row>
    <row r="274" spans="1:45" x14ac:dyDescent="0.3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row>
    <row r="275" spans="1:45" x14ac:dyDescent="0.3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row>
    <row r="276" spans="1:45" x14ac:dyDescent="0.3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row>
    <row r="277" spans="1:45" x14ac:dyDescent="0.3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row>
    <row r="278" spans="1:45" x14ac:dyDescent="0.3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row>
    <row r="279" spans="1:45" x14ac:dyDescent="0.3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row>
    <row r="280" spans="1:45" x14ac:dyDescent="0.3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row>
    <row r="281" spans="1:45" x14ac:dyDescent="0.3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row>
    <row r="282" spans="1:45" x14ac:dyDescent="0.3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row>
    <row r="283" spans="1:45" x14ac:dyDescent="0.3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row>
    <row r="284" spans="1:45" x14ac:dyDescent="0.3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row>
    <row r="285" spans="1:45" x14ac:dyDescent="0.3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row>
    <row r="286" spans="1:45" x14ac:dyDescent="0.3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row>
    <row r="287" spans="1:45" x14ac:dyDescent="0.3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row>
    <row r="288" spans="1:45" x14ac:dyDescent="0.3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row>
    <row r="289" spans="1:45" x14ac:dyDescent="0.3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row>
    <row r="290" spans="1:45" x14ac:dyDescent="0.3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row>
    <row r="291" spans="1:45" x14ac:dyDescent="0.3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row>
    <row r="292" spans="1:45" x14ac:dyDescent="0.3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row>
    <row r="293" spans="1:45" x14ac:dyDescent="0.3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row>
    <row r="294" spans="1:45" x14ac:dyDescent="0.3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row>
    <row r="295" spans="1:45" x14ac:dyDescent="0.3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row>
    <row r="296" spans="1:45" x14ac:dyDescent="0.3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row>
    <row r="297" spans="1:45" x14ac:dyDescent="0.3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row>
    <row r="298" spans="1:45" x14ac:dyDescent="0.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row>
    <row r="299" spans="1:45" x14ac:dyDescent="0.3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row>
    <row r="300" spans="1:45" x14ac:dyDescent="0.3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row>
    <row r="301" spans="1:45" x14ac:dyDescent="0.3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row>
    <row r="302" spans="1:45" x14ac:dyDescent="0.3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row>
    <row r="303" spans="1:45" x14ac:dyDescent="0.3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row>
    <row r="304" spans="1:45" x14ac:dyDescent="0.3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row>
    <row r="305" spans="1:45" x14ac:dyDescent="0.3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row>
    <row r="306" spans="1:45" x14ac:dyDescent="0.3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row>
    <row r="307" spans="1:45" x14ac:dyDescent="0.3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row>
    <row r="308" spans="1:45" x14ac:dyDescent="0.3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row>
    <row r="309" spans="1:45" x14ac:dyDescent="0.3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row>
    <row r="310" spans="1:45" x14ac:dyDescent="0.3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row>
    <row r="311" spans="1:45" x14ac:dyDescent="0.3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row>
    <row r="312" spans="1:45" x14ac:dyDescent="0.3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row>
    <row r="313" spans="1:45" x14ac:dyDescent="0.3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row>
    <row r="314" spans="1:45" x14ac:dyDescent="0.3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row>
    <row r="315" spans="1:45" x14ac:dyDescent="0.3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row>
    <row r="316" spans="1:45" x14ac:dyDescent="0.3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row>
    <row r="317" spans="1:45" x14ac:dyDescent="0.3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row>
    <row r="318" spans="1:45" x14ac:dyDescent="0.3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row>
    <row r="319" spans="1:45" x14ac:dyDescent="0.3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row>
    <row r="320" spans="1:45" x14ac:dyDescent="0.3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row>
    <row r="321" spans="1:45" x14ac:dyDescent="0.3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row>
    <row r="322" spans="1:45" x14ac:dyDescent="0.3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row>
    <row r="323" spans="1:45" x14ac:dyDescent="0.3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row>
    <row r="324" spans="1:45" x14ac:dyDescent="0.3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row>
    <row r="325" spans="1:45" x14ac:dyDescent="0.3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row>
    <row r="326" spans="1:45" x14ac:dyDescent="0.3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row>
    <row r="327" spans="1:45" x14ac:dyDescent="0.3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row>
    <row r="328" spans="1:45" x14ac:dyDescent="0.3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row>
    <row r="329" spans="1:45" x14ac:dyDescent="0.3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row>
    <row r="330" spans="1:45" x14ac:dyDescent="0.3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row>
    <row r="331" spans="1:45" x14ac:dyDescent="0.3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row>
    <row r="332" spans="1:45" x14ac:dyDescent="0.3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row>
    <row r="333" spans="1:45" x14ac:dyDescent="0.3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row>
    <row r="334" spans="1:45" x14ac:dyDescent="0.3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row>
    <row r="335" spans="1:45" x14ac:dyDescent="0.3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row>
    <row r="336" spans="1:45" x14ac:dyDescent="0.3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row>
    <row r="337" spans="1:45" x14ac:dyDescent="0.3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row>
    <row r="338" spans="1:45" x14ac:dyDescent="0.3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row>
    <row r="339" spans="1:45" x14ac:dyDescent="0.3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row>
    <row r="340" spans="1:45" x14ac:dyDescent="0.3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row>
    <row r="341" spans="1:45" x14ac:dyDescent="0.3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row>
    <row r="342" spans="1:45" x14ac:dyDescent="0.3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row>
    <row r="343" spans="1:45" x14ac:dyDescent="0.3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row>
    <row r="344" spans="1:45" x14ac:dyDescent="0.3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row>
    <row r="345" spans="1:45" x14ac:dyDescent="0.3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row>
    <row r="346" spans="1:45" x14ac:dyDescent="0.3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row>
    <row r="347" spans="1:45" x14ac:dyDescent="0.3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row>
    <row r="348" spans="1:45" x14ac:dyDescent="0.3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row>
    <row r="349" spans="1:45" x14ac:dyDescent="0.3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row>
    <row r="350" spans="1:45" x14ac:dyDescent="0.3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row>
    <row r="351" spans="1:45" x14ac:dyDescent="0.3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row>
    <row r="352" spans="1:45" x14ac:dyDescent="0.3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row>
    <row r="353" spans="1:45" x14ac:dyDescent="0.3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row>
    <row r="354" spans="1:45" x14ac:dyDescent="0.3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row>
    <row r="355" spans="1:45" x14ac:dyDescent="0.3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row>
    <row r="356" spans="1:45" x14ac:dyDescent="0.3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row>
    <row r="357" spans="1:45" x14ac:dyDescent="0.3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row>
    <row r="358" spans="1:45" x14ac:dyDescent="0.3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row>
    <row r="359" spans="1:45" x14ac:dyDescent="0.3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row>
    <row r="360" spans="1:45" x14ac:dyDescent="0.3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row>
    <row r="361" spans="1:45" x14ac:dyDescent="0.3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row>
    <row r="362" spans="1:45" x14ac:dyDescent="0.3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row>
    <row r="363" spans="1:45" x14ac:dyDescent="0.3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row>
    <row r="364" spans="1:45" x14ac:dyDescent="0.3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row>
    <row r="365" spans="1:45" x14ac:dyDescent="0.3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row>
    <row r="366" spans="1:45" x14ac:dyDescent="0.3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row>
    <row r="367" spans="1:45" x14ac:dyDescent="0.3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row>
    <row r="368" spans="1:45" x14ac:dyDescent="0.3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row>
    <row r="369" spans="1:45" x14ac:dyDescent="0.3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row>
    <row r="370" spans="1:45" x14ac:dyDescent="0.3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row>
    <row r="371" spans="1:45" x14ac:dyDescent="0.3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row>
    <row r="372" spans="1:45" x14ac:dyDescent="0.3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row>
    <row r="373" spans="1:45" x14ac:dyDescent="0.3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row>
    <row r="374" spans="1:45" x14ac:dyDescent="0.3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row>
    <row r="375" spans="1:45" x14ac:dyDescent="0.3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row>
    <row r="376" spans="1:45" x14ac:dyDescent="0.3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row>
    <row r="377" spans="1:45" x14ac:dyDescent="0.3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row>
    <row r="378" spans="1:45" x14ac:dyDescent="0.3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row>
    <row r="379" spans="1:45" x14ac:dyDescent="0.3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row>
    <row r="380" spans="1:45" x14ac:dyDescent="0.3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row>
    <row r="381" spans="1:45" x14ac:dyDescent="0.3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row>
    <row r="382" spans="1:45" x14ac:dyDescent="0.3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row>
    <row r="383" spans="1:45" x14ac:dyDescent="0.3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row>
    <row r="384" spans="1:45" x14ac:dyDescent="0.3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row>
    <row r="385" spans="1:45" x14ac:dyDescent="0.3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row>
    <row r="386" spans="1:45" x14ac:dyDescent="0.3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row>
    <row r="387" spans="1:45" x14ac:dyDescent="0.3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row>
    <row r="388" spans="1:45" x14ac:dyDescent="0.3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row>
    <row r="389" spans="1:45" x14ac:dyDescent="0.3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row>
    <row r="390" spans="1:45" x14ac:dyDescent="0.3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row>
    <row r="391" spans="1:45" x14ac:dyDescent="0.35">
      <c r="A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row>
    <row r="392" spans="1:45" x14ac:dyDescent="0.35">
      <c r="A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row>
    <row r="393" spans="1:45" x14ac:dyDescent="0.35">
      <c r="A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row>
    <row r="394" spans="1:45" x14ac:dyDescent="0.35">
      <c r="A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row>
    <row r="395" spans="1:45" x14ac:dyDescent="0.35">
      <c r="A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row>
    <row r="396" spans="1:45" x14ac:dyDescent="0.35">
      <c r="A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row>
    <row r="397" spans="1:45" x14ac:dyDescent="0.35">
      <c r="A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row>
    <row r="398" spans="1:45" x14ac:dyDescent="0.35">
      <c r="A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row>
    <row r="399" spans="1:45" x14ac:dyDescent="0.35">
      <c r="A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row>
    <row r="400" spans="1:45" x14ac:dyDescent="0.35">
      <c r="A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row>
    <row r="401" spans="1:45" x14ac:dyDescent="0.35">
      <c r="A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row>
    <row r="402" spans="1:45" x14ac:dyDescent="0.35">
      <c r="A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row>
    <row r="403" spans="1:45" x14ac:dyDescent="0.35">
      <c r="A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row>
    <row r="404" spans="1:45" x14ac:dyDescent="0.35">
      <c r="A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row>
    <row r="405" spans="1:45" x14ac:dyDescent="0.35">
      <c r="A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row>
    <row r="406" spans="1:45" x14ac:dyDescent="0.35">
      <c r="A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row>
    <row r="407" spans="1:45" x14ac:dyDescent="0.35">
      <c r="A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row>
    <row r="408" spans="1:45" x14ac:dyDescent="0.35">
      <c r="A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row>
    <row r="409" spans="1:45" x14ac:dyDescent="0.35">
      <c r="A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row>
    <row r="410" spans="1:45" x14ac:dyDescent="0.35">
      <c r="A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row>
    <row r="411" spans="1:45" x14ac:dyDescent="0.35">
      <c r="A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row>
    <row r="412" spans="1:45" x14ac:dyDescent="0.35">
      <c r="A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row>
    <row r="413" spans="1:45" x14ac:dyDescent="0.35">
      <c r="A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row>
    <row r="414" spans="1:45" x14ac:dyDescent="0.35">
      <c r="A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row>
    <row r="415" spans="1:45" x14ac:dyDescent="0.35">
      <c r="A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row>
    <row r="416" spans="1:45" x14ac:dyDescent="0.35">
      <c r="A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row>
    <row r="417" spans="1:45" x14ac:dyDescent="0.35">
      <c r="A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row>
    <row r="418" spans="1:45" x14ac:dyDescent="0.35">
      <c r="A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row>
    <row r="419" spans="1:45" x14ac:dyDescent="0.35">
      <c r="A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row>
    <row r="420" spans="1:45" x14ac:dyDescent="0.35">
      <c r="A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row>
    <row r="421" spans="1:45" x14ac:dyDescent="0.35">
      <c r="A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row>
    <row r="422" spans="1:45" x14ac:dyDescent="0.35">
      <c r="A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row>
    <row r="423" spans="1:45" x14ac:dyDescent="0.35">
      <c r="A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row>
    <row r="424" spans="1:45" x14ac:dyDescent="0.35">
      <c r="A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row>
    <row r="425" spans="1:45" x14ac:dyDescent="0.35">
      <c r="A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row>
    <row r="426" spans="1:45" x14ac:dyDescent="0.35">
      <c r="A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row>
    <row r="427" spans="1:45" x14ac:dyDescent="0.35">
      <c r="A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row>
    <row r="428" spans="1:45" x14ac:dyDescent="0.35">
      <c r="A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row>
    <row r="429" spans="1:45" x14ac:dyDescent="0.35">
      <c r="A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row>
    <row r="430" spans="1:45" x14ac:dyDescent="0.35">
      <c r="A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row>
    <row r="431" spans="1:45" x14ac:dyDescent="0.35">
      <c r="A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row>
    <row r="432" spans="1:45" x14ac:dyDescent="0.35">
      <c r="A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row>
    <row r="433" spans="1:45" x14ac:dyDescent="0.35">
      <c r="A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row>
    <row r="434" spans="1:45" x14ac:dyDescent="0.35">
      <c r="A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row>
    <row r="435" spans="1:45" x14ac:dyDescent="0.35">
      <c r="A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row>
    <row r="436" spans="1:45" x14ac:dyDescent="0.35">
      <c r="A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row>
    <row r="437" spans="1:45" x14ac:dyDescent="0.35">
      <c r="A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row>
    <row r="438" spans="1:45" x14ac:dyDescent="0.35">
      <c r="A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row>
    <row r="439" spans="1:45" x14ac:dyDescent="0.35">
      <c r="A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row>
    <row r="440" spans="1:45" x14ac:dyDescent="0.35">
      <c r="A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row>
    <row r="441" spans="1:45" x14ac:dyDescent="0.35">
      <c r="A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row>
    <row r="442" spans="1:45" x14ac:dyDescent="0.35">
      <c r="A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row>
    <row r="443" spans="1:45" x14ac:dyDescent="0.35">
      <c r="A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row>
    <row r="444" spans="1:45" x14ac:dyDescent="0.35">
      <c r="A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row>
    <row r="445" spans="1:45" x14ac:dyDescent="0.35">
      <c r="A445" s="56"/>
    </row>
    <row r="446" spans="1:45" x14ac:dyDescent="0.35">
      <c r="A446" s="56"/>
    </row>
    <row r="447" spans="1:45" x14ac:dyDescent="0.35">
      <c r="A447" s="56"/>
    </row>
    <row r="448" spans="1:45" x14ac:dyDescent="0.35">
      <c r="A448" s="56"/>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59"/>
  <sheetViews>
    <sheetView tabSelected="1" zoomScale="70" zoomScaleNormal="70" workbookViewId="0">
      <pane ySplit="6" topLeftCell="A7" activePane="bottomLeft" state="frozen"/>
      <selection pane="bottomLeft" activeCell="A4" sqref="A4:J4"/>
    </sheetView>
  </sheetViews>
  <sheetFormatPr baseColWidth="10" defaultColWidth="11.453125" defaultRowHeight="14" x14ac:dyDescent="0.35"/>
  <cols>
    <col min="1" max="1" width="4" style="1" bestFit="1" customWidth="1"/>
    <col min="2" max="2" width="21.7265625" style="1" customWidth="1"/>
    <col min="3" max="3" width="25.54296875" style="1" customWidth="1"/>
    <col min="4" max="4" width="20.54296875" style="1" customWidth="1"/>
    <col min="5" max="5" width="15.54296875" style="1" customWidth="1"/>
    <col min="6" max="6" width="24.453125" style="1" customWidth="1"/>
    <col min="7" max="7" width="21.81640625" style="1" customWidth="1"/>
    <col min="8" max="8" width="32.453125" style="2" customWidth="1"/>
    <col min="9" max="9" width="19" style="1" customWidth="1"/>
    <col min="10" max="10" width="17.81640625" style="1" customWidth="1"/>
    <col min="11" max="11" width="16.54296875" style="1" customWidth="1"/>
    <col min="12" max="12" width="6.26953125" style="1" customWidth="1"/>
    <col min="13" max="13" width="33" style="1" customWidth="1"/>
    <col min="14" max="14" width="42" style="1" customWidth="1"/>
    <col min="15" max="15" width="15.453125" style="1" customWidth="1"/>
    <col min="16" max="16" width="6.26953125" style="1" customWidth="1"/>
    <col min="17" max="17" width="16" style="1" customWidth="1"/>
    <col min="18" max="18" width="5.81640625" style="1" customWidth="1"/>
    <col min="19" max="19" width="45.1796875" style="2" customWidth="1"/>
    <col min="20" max="20" width="15.1796875" style="1" customWidth="1"/>
    <col min="21" max="21" width="6.81640625" style="1" customWidth="1"/>
    <col min="22" max="22" width="5" style="1" customWidth="1"/>
    <col min="23" max="23" width="5.54296875" style="1" customWidth="1"/>
    <col min="24" max="24" width="7.1796875" style="1" customWidth="1"/>
    <col min="25" max="25" width="6.7265625" style="1" customWidth="1"/>
    <col min="26" max="26" width="7.54296875" style="1" customWidth="1"/>
    <col min="27" max="27" width="10.54296875" style="1" hidden="1" customWidth="1"/>
    <col min="28" max="28" width="8.7265625" style="1" hidden="1" customWidth="1"/>
    <col min="29" max="29" width="8.81640625" style="1" hidden="1" customWidth="1"/>
    <col min="30" max="30" width="9.26953125" style="1" hidden="1" customWidth="1"/>
    <col min="31" max="31" width="9.453125" style="1" hidden="1" customWidth="1"/>
    <col min="32" max="32" width="8.453125" style="1" hidden="1" customWidth="1"/>
    <col min="33" max="33" width="7.26953125" style="1" customWidth="1"/>
    <col min="34" max="34" width="23" style="2" customWidth="1"/>
    <col min="35" max="35" width="18.81640625" style="1" customWidth="1"/>
    <col min="36" max="36" width="12.54296875" style="124" customWidth="1"/>
    <col min="37" max="37" width="16.1796875" style="124" bestFit="1" customWidth="1"/>
    <col min="38" max="38" width="18.54296875" style="125" customWidth="1"/>
    <col min="39" max="39" width="21" style="2" customWidth="1"/>
    <col min="40" max="94" width="11.453125" style="223" customWidth="1"/>
    <col min="95" max="16384" width="11.453125" style="223"/>
  </cols>
  <sheetData>
    <row r="1" spans="1:39" ht="16.5" customHeight="1" x14ac:dyDescent="0.35">
      <c r="A1" s="383" t="s">
        <v>565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5"/>
    </row>
    <row r="2" spans="1:39" ht="24" customHeight="1" x14ac:dyDescent="0.3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8"/>
    </row>
    <row r="3" spans="1:39" x14ac:dyDescent="0.3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122"/>
      <c r="AK3" s="122"/>
      <c r="AL3" s="123"/>
      <c r="AM3" s="21"/>
    </row>
    <row r="4" spans="1:39" x14ac:dyDescent="0.35">
      <c r="A4" s="389" t="s">
        <v>125</v>
      </c>
      <c r="B4" s="390"/>
      <c r="C4" s="390"/>
      <c r="D4" s="390"/>
      <c r="E4" s="390"/>
      <c r="F4" s="390"/>
      <c r="G4" s="390"/>
      <c r="H4" s="390"/>
      <c r="I4" s="390"/>
      <c r="J4" s="391"/>
      <c r="K4" s="389" t="s">
        <v>126</v>
      </c>
      <c r="L4" s="390"/>
      <c r="M4" s="390"/>
      <c r="N4" s="390"/>
      <c r="O4" s="390"/>
      <c r="P4" s="390"/>
      <c r="Q4" s="391"/>
      <c r="R4" s="389" t="s">
        <v>127</v>
      </c>
      <c r="S4" s="390"/>
      <c r="T4" s="390"/>
      <c r="U4" s="390"/>
      <c r="V4" s="390"/>
      <c r="W4" s="390"/>
      <c r="X4" s="390"/>
      <c r="Y4" s="390"/>
      <c r="Z4" s="391"/>
      <c r="AA4" s="389" t="s">
        <v>128</v>
      </c>
      <c r="AB4" s="390"/>
      <c r="AC4" s="390"/>
      <c r="AD4" s="390"/>
      <c r="AE4" s="390"/>
      <c r="AF4" s="390"/>
      <c r="AG4" s="391"/>
      <c r="AH4" s="389" t="s">
        <v>34</v>
      </c>
      <c r="AI4" s="390"/>
      <c r="AJ4" s="390"/>
      <c r="AK4" s="390"/>
      <c r="AL4" s="390"/>
      <c r="AM4" s="391"/>
    </row>
    <row r="5" spans="1:39" ht="16.5" customHeight="1" x14ac:dyDescent="0.35">
      <c r="A5" s="392" t="s">
        <v>0</v>
      </c>
      <c r="B5" s="364" t="s">
        <v>188</v>
      </c>
      <c r="C5" s="364" t="s">
        <v>189</v>
      </c>
      <c r="D5" s="364" t="s">
        <v>172</v>
      </c>
      <c r="E5" s="370" t="s">
        <v>2</v>
      </c>
      <c r="F5" s="364" t="s">
        <v>3</v>
      </c>
      <c r="G5" s="364" t="s">
        <v>38</v>
      </c>
      <c r="H5" s="394" t="s">
        <v>1</v>
      </c>
      <c r="I5" s="371" t="s">
        <v>44</v>
      </c>
      <c r="J5" s="364" t="s">
        <v>121</v>
      </c>
      <c r="K5" s="366" t="s">
        <v>33</v>
      </c>
      <c r="L5" s="367" t="s">
        <v>5</v>
      </c>
      <c r="M5" s="371" t="s">
        <v>80</v>
      </c>
      <c r="N5" s="371" t="s">
        <v>85</v>
      </c>
      <c r="O5" s="369" t="s">
        <v>39</v>
      </c>
      <c r="P5" s="367" t="s">
        <v>5</v>
      </c>
      <c r="Q5" s="364" t="s">
        <v>42</v>
      </c>
      <c r="R5" s="362" t="s">
        <v>11</v>
      </c>
      <c r="S5" s="361" t="s">
        <v>137</v>
      </c>
      <c r="T5" s="371" t="s">
        <v>12</v>
      </c>
      <c r="U5" s="361" t="s">
        <v>8</v>
      </c>
      <c r="V5" s="361"/>
      <c r="W5" s="361"/>
      <c r="X5" s="361"/>
      <c r="Y5" s="361"/>
      <c r="Z5" s="361"/>
      <c r="AA5" s="365" t="s">
        <v>124</v>
      </c>
      <c r="AB5" s="365" t="s">
        <v>40</v>
      </c>
      <c r="AC5" s="365" t="s">
        <v>5</v>
      </c>
      <c r="AD5" s="365" t="s">
        <v>41</v>
      </c>
      <c r="AE5" s="365" t="s">
        <v>5</v>
      </c>
      <c r="AF5" s="365" t="s">
        <v>43</v>
      </c>
      <c r="AG5" s="362" t="s">
        <v>29</v>
      </c>
      <c r="AH5" s="361" t="s">
        <v>190</v>
      </c>
      <c r="AI5" s="361" t="s">
        <v>205</v>
      </c>
      <c r="AJ5" s="361" t="s">
        <v>195</v>
      </c>
      <c r="AK5" s="361" t="s">
        <v>196</v>
      </c>
      <c r="AL5" s="361" t="s">
        <v>191</v>
      </c>
      <c r="AM5" s="361" t="s">
        <v>35</v>
      </c>
    </row>
    <row r="6" spans="1:39" s="224" customFormat="1" ht="94.5" customHeight="1" x14ac:dyDescent="0.35">
      <c r="A6" s="393"/>
      <c r="B6" s="361"/>
      <c r="C6" s="361"/>
      <c r="D6" s="361"/>
      <c r="E6" s="370"/>
      <c r="F6" s="361"/>
      <c r="G6" s="361"/>
      <c r="H6" s="370"/>
      <c r="I6" s="364"/>
      <c r="J6" s="361"/>
      <c r="K6" s="364"/>
      <c r="L6" s="368"/>
      <c r="M6" s="364"/>
      <c r="N6" s="364"/>
      <c r="O6" s="368"/>
      <c r="P6" s="368"/>
      <c r="Q6" s="361"/>
      <c r="R6" s="363"/>
      <c r="S6" s="361"/>
      <c r="T6" s="364"/>
      <c r="U6" s="4" t="s">
        <v>13</v>
      </c>
      <c r="V6" s="4" t="s">
        <v>17</v>
      </c>
      <c r="W6" s="4" t="s">
        <v>28</v>
      </c>
      <c r="X6" s="4" t="s">
        <v>18</v>
      </c>
      <c r="Y6" s="4" t="s">
        <v>21</v>
      </c>
      <c r="Z6" s="4" t="s">
        <v>24</v>
      </c>
      <c r="AA6" s="365"/>
      <c r="AB6" s="365"/>
      <c r="AC6" s="365"/>
      <c r="AD6" s="365"/>
      <c r="AE6" s="365"/>
      <c r="AF6" s="365"/>
      <c r="AG6" s="363"/>
      <c r="AH6" s="361"/>
      <c r="AI6" s="361"/>
      <c r="AJ6" s="361"/>
      <c r="AK6" s="361"/>
      <c r="AL6" s="361"/>
      <c r="AM6" s="361"/>
    </row>
    <row r="7" spans="1:39" s="165" customFormat="1" ht="167.25" customHeight="1" x14ac:dyDescent="0.35">
      <c r="A7" s="372">
        <v>1</v>
      </c>
      <c r="B7" s="374" t="s">
        <v>333</v>
      </c>
      <c r="C7" s="377" t="s">
        <v>390</v>
      </c>
      <c r="D7" s="377" t="s">
        <v>192</v>
      </c>
      <c r="E7" s="349" t="s">
        <v>118</v>
      </c>
      <c r="F7" s="349" t="s">
        <v>453</v>
      </c>
      <c r="G7" s="349" t="s">
        <v>454</v>
      </c>
      <c r="H7" s="344" t="s">
        <v>583</v>
      </c>
      <c r="I7" s="349" t="s">
        <v>115</v>
      </c>
      <c r="J7" s="351">
        <v>4</v>
      </c>
      <c r="K7" s="353" t="str">
        <f>IF(J7&lt;=0,"",IF(J7&lt;=2,"Muy Baja",IF(J7&lt;=24,"Baja",IF(J7&lt;=500,"Media",IF(J7&lt;=5000,"Alta","Muy Alta")))))</f>
        <v>Baja</v>
      </c>
      <c r="L7" s="356">
        <f>IF(K7="","",IF(K7="Muy Baja",0.2,IF(K7="Baja",0.4,IF(K7="Media",0.6,IF(K7="Alta",0.8,IF(K7="Muy Alta",1,))))))</f>
        <v>0.4</v>
      </c>
      <c r="M7" s="359" t="s">
        <v>517</v>
      </c>
      <c r="N7" s="129"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53" t="str">
        <f>IF(OR(N7='Tabla Impacto'!$C$11,N7='Tabla Impacto'!$D$11),"Leve",IF(OR(N7='Tabla Impacto'!$C$12,N7='Tabla Impacto'!$D$12),"Menor",IF(OR(N7='Tabla Impacto'!$C$13,N7='Tabla Impacto'!$D$13),"Moderado",IF(OR(N7='Tabla Impacto'!$C$14,N7='Tabla Impacto'!$D$14),"Mayor",IF(OR(N7='Tabla Impacto'!$C$15,N7='Tabla Impacto'!$D$15),"Catastrófico","")))))</f>
        <v>Moderado</v>
      </c>
      <c r="P7" s="356">
        <f>IF(O7="","",IF(O7="Leve",0.2,IF(O7="Menor",0.4,IF(O7="Moderado",0.6,IF(O7="Mayor",0.8,IF(O7="Catastrófico",1,))))))</f>
        <v>0.6</v>
      </c>
      <c r="Q7" s="346"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0">
        <v>1</v>
      </c>
      <c r="S7" s="98" t="s">
        <v>193</v>
      </c>
      <c r="T7" s="131" t="str">
        <f>IF(OR(U7="Preventivo",U7="Detectivo"),"Probabilidad",IF(U7="Correctivo","Impacto",""))</f>
        <v>Probabilidad</v>
      </c>
      <c r="U7" s="132" t="s">
        <v>14</v>
      </c>
      <c r="V7" s="132" t="s">
        <v>9</v>
      </c>
      <c r="W7" s="133" t="str">
        <f>IF(AND(U7="Preventivo",V7="Automático"),"50%",IF(AND(U7="Preventivo",V7="Manual"),"40%",IF(AND(U7="Detectivo",V7="Automático"),"40%",IF(AND(U7="Detectivo",V7="Manual"),"30%",IF(AND(U7="Correctivo",V7="Automático"),"35%",IF(AND(U7="Correctivo",V7="Manual"),"25%",""))))))</f>
        <v>40%</v>
      </c>
      <c r="X7" s="132" t="s">
        <v>19</v>
      </c>
      <c r="Y7" s="132" t="s">
        <v>22</v>
      </c>
      <c r="Z7" s="132" t="s">
        <v>110</v>
      </c>
      <c r="AA7" s="134">
        <f>IFERROR(IF(T7="Probabilidad",($L$7-(+$L$7*W7)),IF(T7="Impacto",$L$7,"")),"")</f>
        <v>0.24</v>
      </c>
      <c r="AB7" s="135" t="str">
        <f>IFERROR(IF(AA7="","",IF(AA7&lt;=0.2,"Muy Baja",IF(AA7&lt;=0.4,"Baja",IF(AA7&lt;=0.6,"Media",IF(AA7&lt;=0.8,"Alta","Muy Alta"))))),"")</f>
        <v>Baja</v>
      </c>
      <c r="AC7" s="136">
        <f>+AA7</f>
        <v>0.24</v>
      </c>
      <c r="AD7" s="135" t="str">
        <f>IFERROR(IF(AE7="","",IF(AE7&lt;=0.2,"Leve",IF(AE7&lt;=0.4,"Menor",IF(AE7&lt;=0.6,"Moderado",IF(AE7&lt;=0.8,"Mayor","Catastrófico"))))),"")</f>
        <v>Moderado</v>
      </c>
      <c r="AE7" s="136">
        <f>IFERROR(IF(T7="Impacto",($P$7-(+$P$7*W7)),IF(T7="Probabilidad",$P$7,"")),"")</f>
        <v>0.6</v>
      </c>
      <c r="AF7" s="137"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8" t="s">
        <v>122</v>
      </c>
      <c r="AH7" s="139" t="s">
        <v>582</v>
      </c>
      <c r="AI7" s="140" t="s">
        <v>204</v>
      </c>
      <c r="AJ7" s="141" t="s">
        <v>197</v>
      </c>
      <c r="AK7" s="141" t="s">
        <v>197</v>
      </c>
      <c r="AL7" s="98" t="s">
        <v>194</v>
      </c>
      <c r="AM7" s="140"/>
    </row>
    <row r="8" spans="1:39" s="165" customFormat="1" ht="167.25" customHeight="1" x14ac:dyDescent="0.35">
      <c r="A8" s="373"/>
      <c r="B8" s="375"/>
      <c r="C8" s="378"/>
      <c r="D8" s="379"/>
      <c r="E8" s="350"/>
      <c r="F8" s="350"/>
      <c r="G8" s="350"/>
      <c r="H8" s="345"/>
      <c r="I8" s="350"/>
      <c r="J8" s="352"/>
      <c r="K8" s="354"/>
      <c r="L8" s="357"/>
      <c r="M8" s="360"/>
      <c r="N8" s="143"/>
      <c r="O8" s="354"/>
      <c r="P8" s="357"/>
      <c r="Q8" s="347"/>
      <c r="R8" s="130">
        <v>2</v>
      </c>
      <c r="S8" s="98"/>
      <c r="T8" s="131" t="str">
        <f t="shared" ref="T8:T9" si="0">IF(OR(U8="Preventivo",U8="Detectivo"),"Probabilidad",IF(U8="Correctivo","Impacto",""))</f>
        <v/>
      </c>
      <c r="U8" s="132"/>
      <c r="V8" s="132"/>
      <c r="W8" s="133" t="str">
        <f t="shared" ref="W8" si="1">IF(AND(U8="Preventivo",V8="Automático"),"50%",IF(AND(U8="Preventivo",V8="Manual"),"40%",IF(AND(U8="Detectivo",V8="Automático"),"40%",IF(AND(U8="Detectivo",V8="Manual"),"30%",IF(AND(U8="Correctivo",V8="Automático"),"35%",IF(AND(U8="Correctivo",V8="Manual"),"25%",""))))))</f>
        <v/>
      </c>
      <c r="X8" s="132"/>
      <c r="Y8" s="132"/>
      <c r="Z8" s="132"/>
      <c r="AA8" s="134" t="str">
        <f>IFERROR(IF(T8="Probabilidad",(AA7-(+AA7*W8)),IF(T8="Impacto",$L$7,"")),"")</f>
        <v/>
      </c>
      <c r="AB8" s="135" t="str">
        <f t="shared" ref="AB8:AB9" si="2">IFERROR(IF(AA8="","",IF(AA8&lt;=0.2,"Muy Baja",IF(AA8&lt;=0.4,"Baja",IF(AA8&lt;=0.6,"Media",IF(AA8&lt;=0.8,"Alta","Muy Alta"))))),"")</f>
        <v/>
      </c>
      <c r="AC8" s="136" t="str">
        <f t="shared" ref="AC8:AC9" si="3">+AA8</f>
        <v/>
      </c>
      <c r="AD8" s="135" t="str">
        <f t="shared" ref="AD8:AD9" si="4">IFERROR(IF(AE8="","",IF(AE8&lt;=0.2,"Leve",IF(AE8&lt;=0.4,"Menor",IF(AE8&lt;=0.6,"Moderado",IF(AE8&lt;=0.8,"Mayor","Catastrófico"))))),"")</f>
        <v/>
      </c>
      <c r="AE8" s="136" t="str">
        <f t="shared" ref="AE8:AE9" si="5">IFERROR(IF(T8="Impacto",($P$7-(+$P$7*W8)),IF(T8="Probabilidad",$P$7,"")),"")</f>
        <v/>
      </c>
      <c r="AF8" s="137"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8"/>
      <c r="AH8" s="98"/>
      <c r="AI8" s="140"/>
      <c r="AJ8" s="141"/>
      <c r="AK8" s="141"/>
      <c r="AL8" s="98"/>
      <c r="AM8" s="140"/>
    </row>
    <row r="9" spans="1:39" s="165" customFormat="1" ht="167.25" customHeight="1" x14ac:dyDescent="0.35">
      <c r="A9" s="373"/>
      <c r="B9" s="376"/>
      <c r="C9" s="378"/>
      <c r="D9" s="379"/>
      <c r="E9" s="350"/>
      <c r="F9" s="350"/>
      <c r="G9" s="350"/>
      <c r="H9" s="345"/>
      <c r="I9" s="350"/>
      <c r="J9" s="352"/>
      <c r="K9" s="355"/>
      <c r="L9" s="358"/>
      <c r="M9" s="360"/>
      <c r="N9" s="143"/>
      <c r="O9" s="355"/>
      <c r="P9" s="358"/>
      <c r="Q9" s="348"/>
      <c r="R9" s="130">
        <v>3</v>
      </c>
      <c r="S9" s="98"/>
      <c r="T9" s="131" t="str">
        <f t="shared" si="0"/>
        <v/>
      </c>
      <c r="U9" s="132"/>
      <c r="V9" s="132"/>
      <c r="W9" s="133"/>
      <c r="X9" s="132"/>
      <c r="Y9" s="132"/>
      <c r="Z9" s="132"/>
      <c r="AA9" s="134" t="str">
        <f>IFERROR(IF(T9="Probabilidad",(AA8-(+AA8*W9)),IF(T9="Impacto",$L$7,"")),"")</f>
        <v/>
      </c>
      <c r="AB9" s="135" t="str">
        <f t="shared" si="2"/>
        <v/>
      </c>
      <c r="AC9" s="136" t="str">
        <f t="shared" si="3"/>
        <v/>
      </c>
      <c r="AD9" s="135" t="str">
        <f t="shared" si="4"/>
        <v/>
      </c>
      <c r="AE9" s="136" t="str">
        <f t="shared" si="5"/>
        <v/>
      </c>
      <c r="AF9" s="137" t="str">
        <f t="shared" si="6"/>
        <v/>
      </c>
      <c r="AG9" s="138"/>
      <c r="AH9" s="98"/>
      <c r="AI9" s="140"/>
      <c r="AJ9" s="141"/>
      <c r="AK9" s="141"/>
      <c r="AL9" s="98"/>
      <c r="AM9" s="140"/>
    </row>
    <row r="10" spans="1:39" s="165" customFormat="1" ht="151.5" customHeight="1" x14ac:dyDescent="0.35">
      <c r="A10" s="373">
        <v>2</v>
      </c>
      <c r="B10" s="374" t="s">
        <v>333</v>
      </c>
      <c r="C10" s="377" t="s">
        <v>390</v>
      </c>
      <c r="D10" s="377" t="s">
        <v>192</v>
      </c>
      <c r="E10" s="349" t="s">
        <v>120</v>
      </c>
      <c r="F10" s="402" t="s">
        <v>455</v>
      </c>
      <c r="G10" s="397" t="s">
        <v>456</v>
      </c>
      <c r="H10" s="399" t="s">
        <v>391</v>
      </c>
      <c r="I10" s="349" t="s">
        <v>334</v>
      </c>
      <c r="J10" s="351">
        <v>160</v>
      </c>
      <c r="K10" s="353" t="str">
        <f>IF(J10&lt;=0,"",IF(J10&lt;=2,"Muy Baja",IF(J10&lt;=24,"Baja",IF(J10&lt;=500,"Media",IF(J10&lt;=5000,"Alta","Muy Alta")))))</f>
        <v>Media</v>
      </c>
      <c r="L10" s="356">
        <f>IF(K10="","",IF(K10="Muy Baja",0.2,IF(K10="Baja",0.4,IF(K10="Media",0.6,IF(K10="Alta",0.8,IF(K10="Muy Alta",1,))))))</f>
        <v>0.6</v>
      </c>
      <c r="M10" s="359" t="s">
        <v>517</v>
      </c>
      <c r="N10" s="129"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53" t="str">
        <f>IF(OR(N10='Tabla Impacto'!$C$11,N10='Tabla Impacto'!$D$11),"Leve",IF(OR(N10='Tabla Impacto'!$C$12,N10='Tabla Impacto'!$D$12),"Menor",IF(OR(N10='Tabla Impacto'!$C$13,N10='Tabla Impacto'!$D$13),"Moderado",IF(OR(N10='Tabla Impacto'!$C$14,N10='Tabla Impacto'!$D$14),"Mayor",IF(OR(N10='Tabla Impacto'!$C$15,N10='Tabla Impacto'!$D$15),"Catastrófico","")))))</f>
        <v>Moderado</v>
      </c>
      <c r="P10" s="356">
        <f>IF(O10="","",IF(O10="Leve",0.2,IF(O10="Menor",0.4,IF(O10="Moderado",0.6,IF(O10="Mayor",0.8,IF(O10="Catastrófico",1,))))))</f>
        <v>0.6</v>
      </c>
      <c r="Q10" s="346"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30">
        <v>1</v>
      </c>
      <c r="S10" s="98" t="s">
        <v>198</v>
      </c>
      <c r="T10" s="131" t="str">
        <f t="shared" ref="T10:T13" si="7">IF(OR(U10="Preventivo",U10="Detectivo"),"Probabilidad",IF(U10="Correctivo","Impacto",""))</f>
        <v>Probabilidad</v>
      </c>
      <c r="U10" s="132" t="s">
        <v>14</v>
      </c>
      <c r="V10" s="132" t="s">
        <v>9</v>
      </c>
      <c r="W10" s="133" t="str">
        <f t="shared" ref="W10:W13" si="8">IF(AND(U10="Preventivo",V10="Automático"),"50%",IF(AND(U10="Preventivo",V10="Manual"),"40%",IF(AND(U10="Detectivo",V10="Automático"),"40%",IF(AND(U10="Detectivo",V10="Manual"),"30%",IF(AND(U10="Correctivo",V10="Automático"),"35%",IF(AND(U10="Correctivo",V10="Manual"),"25%",""))))))</f>
        <v>40%</v>
      </c>
      <c r="X10" s="132" t="s">
        <v>19</v>
      </c>
      <c r="Y10" s="132" t="s">
        <v>22</v>
      </c>
      <c r="Z10" s="132" t="s">
        <v>110</v>
      </c>
      <c r="AA10" s="134">
        <f t="shared" ref="AA10:AA13" si="9">IFERROR(IF(T10="Probabilidad",(L10-(+L10*W10)),IF(T10="Impacto",L10,"")),"")</f>
        <v>0.36</v>
      </c>
      <c r="AB10" s="135" t="str">
        <f t="shared" ref="AB10:AB13" si="10">IFERROR(IF(AA10="","",IF(AA10&lt;=0.2,"Muy Baja",IF(AA10&lt;=0.4,"Baja",IF(AA10&lt;=0.6,"Media",IF(AA10&lt;=0.8,"Alta","Muy Alta"))))),"")</f>
        <v>Baja</v>
      </c>
      <c r="AC10" s="136">
        <f t="shared" ref="AC10:AC13" si="11">+AA10</f>
        <v>0.36</v>
      </c>
      <c r="AD10" s="135" t="str">
        <f t="shared" ref="AD10:AD13" si="12">IFERROR(IF(AE10="","",IF(AE10&lt;=0.2,"Leve",IF(AE10&lt;=0.4,"Menor",IF(AE10&lt;=0.6,"Moderado",IF(AE10&lt;=0.8,"Mayor","Catastrófico"))))),"")</f>
        <v>Moderado</v>
      </c>
      <c r="AE10" s="136">
        <f t="shared" ref="AE10:AE13" si="13">IFERROR(IF(T10="Impacto",(P10-(+P10*W10)),IF(T10="Probabilidad",P10,"")),"")</f>
        <v>0.6</v>
      </c>
      <c r="AF10" s="137"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8" t="s">
        <v>122</v>
      </c>
      <c r="AH10" s="119" t="s">
        <v>392</v>
      </c>
      <c r="AI10" s="127" t="s">
        <v>199</v>
      </c>
      <c r="AJ10" s="144" t="s">
        <v>200</v>
      </c>
      <c r="AK10" s="144" t="s">
        <v>200</v>
      </c>
      <c r="AL10" s="119" t="s">
        <v>393</v>
      </c>
      <c r="AM10" s="140"/>
    </row>
    <row r="11" spans="1:39" s="165" customFormat="1" ht="151.5" customHeight="1" x14ac:dyDescent="0.35">
      <c r="A11" s="373"/>
      <c r="B11" s="375"/>
      <c r="C11" s="378"/>
      <c r="D11" s="379"/>
      <c r="E11" s="350"/>
      <c r="F11" s="350"/>
      <c r="G11" s="398"/>
      <c r="H11" s="400"/>
      <c r="I11" s="350"/>
      <c r="J11" s="352"/>
      <c r="K11" s="354"/>
      <c r="L11" s="357"/>
      <c r="M11" s="360"/>
      <c r="N11" s="143"/>
      <c r="O11" s="354"/>
      <c r="P11" s="357"/>
      <c r="Q11" s="347"/>
      <c r="R11" s="130">
        <v>2</v>
      </c>
      <c r="S11" s="98"/>
      <c r="T11" s="131" t="str">
        <f t="shared" ref="T11:T12" si="15">IF(OR(U11="Preventivo",U11="Detectivo"),"Probabilidad",IF(U11="Correctivo","Impacto",""))</f>
        <v/>
      </c>
      <c r="U11" s="132"/>
      <c r="V11" s="132"/>
      <c r="W11" s="133"/>
      <c r="X11" s="132"/>
      <c r="Y11" s="132"/>
      <c r="Z11" s="132"/>
      <c r="AA11" s="134" t="str">
        <f>IFERROR(IF(T11="Probabilidad",(AA10-(+AA10*W11)),IF(T11="Impacto",L10,"")),"")</f>
        <v/>
      </c>
      <c r="AB11" s="135" t="str">
        <f t="shared" ref="AB11:AB12" si="16">IFERROR(IF(AA11="","",IF(AA11&lt;=0.2,"Muy Baja",IF(AA11&lt;=0.4,"Baja",IF(AA11&lt;=0.6,"Media",IF(AA11&lt;=0.8,"Alta","Muy Alta"))))),"")</f>
        <v/>
      </c>
      <c r="AC11" s="136" t="str">
        <f t="shared" ref="AC11:AC12" si="17">+AA11</f>
        <v/>
      </c>
      <c r="AD11" s="135" t="str">
        <f t="shared" ref="AD11:AD12" si="18">IFERROR(IF(AE11="","",IF(AE11&lt;=0.2,"Leve",IF(AE11&lt;=0.4,"Menor",IF(AE11&lt;=0.6,"Moderado",IF(AE11&lt;=0.8,"Mayor","Catastrófico"))))),"")</f>
        <v/>
      </c>
      <c r="AE11" s="136" t="str">
        <f>IFERROR(IF(T11="Impacto",(P10-(+P10*W11)),IF(T11="Probabilidad",P10,"")),"")</f>
        <v/>
      </c>
      <c r="AF11" s="137"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8"/>
      <c r="AH11" s="119"/>
      <c r="AI11" s="127"/>
      <c r="AJ11" s="144"/>
      <c r="AK11" s="144"/>
      <c r="AL11" s="119"/>
      <c r="AM11" s="140"/>
    </row>
    <row r="12" spans="1:39" s="165" customFormat="1" ht="151.5" customHeight="1" x14ac:dyDescent="0.35">
      <c r="A12" s="373"/>
      <c r="B12" s="376"/>
      <c r="C12" s="378"/>
      <c r="D12" s="379"/>
      <c r="E12" s="350"/>
      <c r="F12" s="350"/>
      <c r="G12" s="398"/>
      <c r="H12" s="400"/>
      <c r="I12" s="350"/>
      <c r="J12" s="352"/>
      <c r="K12" s="355"/>
      <c r="L12" s="358"/>
      <c r="M12" s="360"/>
      <c r="N12" s="143"/>
      <c r="O12" s="355"/>
      <c r="P12" s="358"/>
      <c r="Q12" s="348"/>
      <c r="R12" s="130">
        <v>3</v>
      </c>
      <c r="S12" s="98"/>
      <c r="T12" s="131" t="str">
        <f t="shared" si="15"/>
        <v/>
      </c>
      <c r="U12" s="132"/>
      <c r="V12" s="132"/>
      <c r="W12" s="133"/>
      <c r="X12" s="132"/>
      <c r="Y12" s="132"/>
      <c r="Z12" s="132"/>
      <c r="AA12" s="134" t="str">
        <f>IFERROR(IF(T12="Probabilidad",(AA11-(+AA11*W12)),IF(T12="Impacto",L10,"")),"")</f>
        <v/>
      </c>
      <c r="AB12" s="135" t="str">
        <f t="shared" si="16"/>
        <v/>
      </c>
      <c r="AC12" s="136" t="str">
        <f t="shared" si="17"/>
        <v/>
      </c>
      <c r="AD12" s="135" t="str">
        <f t="shared" si="18"/>
        <v/>
      </c>
      <c r="AE12" s="136" t="str">
        <f>IFERROR(IF(T12="Impacto",(P10-(+P10*W12)),IF(T12="Probabilidad",P10,"")),"")</f>
        <v/>
      </c>
      <c r="AF12" s="137" t="str">
        <f t="shared" si="19"/>
        <v/>
      </c>
      <c r="AG12" s="138"/>
      <c r="AH12" s="119"/>
      <c r="AI12" s="127"/>
      <c r="AJ12" s="144"/>
      <c r="AK12" s="144"/>
      <c r="AL12" s="119"/>
      <c r="AM12" s="140"/>
    </row>
    <row r="13" spans="1:39" s="225" customFormat="1" ht="151.5" customHeight="1" x14ac:dyDescent="0.35">
      <c r="A13" s="373">
        <v>3</v>
      </c>
      <c r="B13" s="374" t="s">
        <v>201</v>
      </c>
      <c r="C13" s="377" t="s">
        <v>365</v>
      </c>
      <c r="D13" s="377" t="s">
        <v>388</v>
      </c>
      <c r="E13" s="349" t="s">
        <v>118</v>
      </c>
      <c r="F13" s="349" t="s">
        <v>457</v>
      </c>
      <c r="G13" s="349" t="s">
        <v>202</v>
      </c>
      <c r="H13" s="344" t="s">
        <v>394</v>
      </c>
      <c r="I13" s="349" t="s">
        <v>334</v>
      </c>
      <c r="J13" s="351">
        <v>5000</v>
      </c>
      <c r="K13" s="353" t="str">
        <f>IF(J13&lt;=0,"",IF(J13&lt;=2,"Muy Baja",IF(J13&lt;=24,"Baja",IF(J13&lt;=500,"Media",IF(J13&lt;=5000,"Alta","Muy Alta")))))</f>
        <v>Alta</v>
      </c>
      <c r="L13" s="356">
        <f>IF(K13="","",IF(K13="Muy Baja",0.2,IF(K13="Baja",0.4,IF(K13="Media",0.6,IF(K13="Alta",0.8,IF(K13="Muy Alta",1,))))))</f>
        <v>0.8</v>
      </c>
      <c r="M13" s="359" t="s">
        <v>517</v>
      </c>
      <c r="N13" s="129"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53" t="str">
        <f>IF(OR(N13='Tabla Impacto'!$C$11,N13='Tabla Impacto'!$D$11),"Leve",IF(OR(N13='Tabla Impacto'!$C$12,N13='Tabla Impacto'!$D$12),"Menor",IF(OR(N13='Tabla Impacto'!$C$13,N13='Tabla Impacto'!$D$13),"Moderado",IF(OR(N13='Tabla Impacto'!$C$14,N13='Tabla Impacto'!$D$14),"Mayor",IF(OR(N13='Tabla Impacto'!$C$15,N13='Tabla Impacto'!$D$15),"Catastrófico","")))))</f>
        <v>Moderado</v>
      </c>
      <c r="P13" s="356">
        <f>IF(O13="","",IF(O13="Leve",0.2,IF(O13="Menor",0.4,IF(O13="Moderado",0.6,IF(O13="Mayor",0.8,IF(O13="Catastrófico",1,))))))</f>
        <v>0.6</v>
      </c>
      <c r="Q13" s="346"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0">
        <v>1</v>
      </c>
      <c r="S13" s="98" t="s">
        <v>203</v>
      </c>
      <c r="T13" s="131" t="str">
        <f t="shared" si="7"/>
        <v>Probabilidad</v>
      </c>
      <c r="U13" s="132" t="s">
        <v>14</v>
      </c>
      <c r="V13" s="132" t="s">
        <v>9</v>
      </c>
      <c r="W13" s="133" t="str">
        <f t="shared" si="8"/>
        <v>40%</v>
      </c>
      <c r="X13" s="132" t="s">
        <v>19</v>
      </c>
      <c r="Y13" s="132" t="s">
        <v>22</v>
      </c>
      <c r="Z13" s="132" t="s">
        <v>110</v>
      </c>
      <c r="AA13" s="134">
        <f t="shared" si="9"/>
        <v>0.48</v>
      </c>
      <c r="AB13" s="135" t="str">
        <f t="shared" si="10"/>
        <v>Media</v>
      </c>
      <c r="AC13" s="136">
        <f t="shared" si="11"/>
        <v>0.48</v>
      </c>
      <c r="AD13" s="135" t="str">
        <f t="shared" si="12"/>
        <v>Moderado</v>
      </c>
      <c r="AE13" s="136">
        <f t="shared" si="13"/>
        <v>0.6</v>
      </c>
      <c r="AF13" s="137" t="str">
        <f t="shared" si="14"/>
        <v>Moderado</v>
      </c>
      <c r="AG13" s="138" t="s">
        <v>122</v>
      </c>
      <c r="AH13" s="126" t="s">
        <v>395</v>
      </c>
      <c r="AI13" s="145" t="s">
        <v>204</v>
      </c>
      <c r="AJ13" s="144" t="s">
        <v>200</v>
      </c>
      <c r="AK13" s="144" t="s">
        <v>200</v>
      </c>
      <c r="AL13" s="119" t="s">
        <v>396</v>
      </c>
      <c r="AM13" s="140"/>
    </row>
    <row r="14" spans="1:39" s="225" customFormat="1" ht="151.5" customHeight="1" x14ac:dyDescent="0.35">
      <c r="A14" s="373"/>
      <c r="B14" s="375"/>
      <c r="C14" s="378"/>
      <c r="D14" s="378"/>
      <c r="E14" s="350"/>
      <c r="F14" s="350"/>
      <c r="G14" s="350"/>
      <c r="H14" s="345"/>
      <c r="I14" s="350"/>
      <c r="J14" s="352"/>
      <c r="K14" s="354"/>
      <c r="L14" s="357"/>
      <c r="M14" s="360"/>
      <c r="N14" s="143"/>
      <c r="O14" s="354"/>
      <c r="P14" s="357"/>
      <c r="Q14" s="347"/>
      <c r="R14" s="130">
        <v>2</v>
      </c>
      <c r="S14" s="146"/>
      <c r="T14" s="131" t="str">
        <f t="shared" ref="T14:T15" si="20">IF(OR(U14="Preventivo",U14="Detectivo"),"Probabilidad",IF(U14="Correctivo","Impacto",""))</f>
        <v/>
      </c>
      <c r="U14" s="132"/>
      <c r="V14" s="132"/>
      <c r="W14" s="133"/>
      <c r="X14" s="132"/>
      <c r="Y14" s="132"/>
      <c r="Z14" s="132"/>
      <c r="AA14" s="134" t="str">
        <f>IFERROR(IF(T14="Probabilidad",(AA13-(+AA13*W14)),IF(T14="Impacto",L13,"")),"")</f>
        <v/>
      </c>
      <c r="AB14" s="135" t="str">
        <f t="shared" ref="AB14:AB15" si="21">IFERROR(IF(AA14="","",IF(AA14&lt;=0.2,"Muy Baja",IF(AA14&lt;=0.4,"Baja",IF(AA14&lt;=0.6,"Media",IF(AA14&lt;=0.8,"Alta","Muy Alta"))))),"")</f>
        <v/>
      </c>
      <c r="AC14" s="136" t="str">
        <f t="shared" ref="AC14:AC15" si="22">+AA14</f>
        <v/>
      </c>
      <c r="AD14" s="135" t="str">
        <f t="shared" ref="AD14:AD15" si="23">IFERROR(IF(AE14="","",IF(AE14&lt;=0.2,"Leve",IF(AE14&lt;=0.4,"Menor",IF(AE14&lt;=0.6,"Moderado",IF(AE14&lt;=0.8,"Mayor","Catastrófico"))))),"")</f>
        <v/>
      </c>
      <c r="AE14" s="136" t="str">
        <f>IFERROR(IF(T14="Impacto",(P13-(+P13*W14)),IF(T14="Probabilidad",P13,"")),"")</f>
        <v/>
      </c>
      <c r="AF14" s="137"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8"/>
      <c r="AH14" s="119"/>
      <c r="AI14" s="127"/>
      <c r="AJ14" s="144"/>
      <c r="AK14" s="144"/>
      <c r="AL14" s="119"/>
      <c r="AM14" s="140"/>
    </row>
    <row r="15" spans="1:39" s="225" customFormat="1" ht="151.5" customHeight="1" x14ac:dyDescent="0.35">
      <c r="A15" s="373"/>
      <c r="B15" s="376"/>
      <c r="C15" s="378"/>
      <c r="D15" s="378"/>
      <c r="E15" s="350"/>
      <c r="F15" s="395"/>
      <c r="G15" s="395"/>
      <c r="H15" s="396"/>
      <c r="I15" s="350"/>
      <c r="J15" s="352"/>
      <c r="K15" s="355"/>
      <c r="L15" s="358"/>
      <c r="M15" s="360"/>
      <c r="N15" s="143"/>
      <c r="O15" s="355"/>
      <c r="P15" s="358"/>
      <c r="Q15" s="348"/>
      <c r="R15" s="130">
        <v>3</v>
      </c>
      <c r="S15" s="146"/>
      <c r="T15" s="131" t="str">
        <f t="shared" si="20"/>
        <v/>
      </c>
      <c r="U15" s="132"/>
      <c r="V15" s="132"/>
      <c r="W15" s="133"/>
      <c r="X15" s="132"/>
      <c r="Y15" s="132"/>
      <c r="Z15" s="132"/>
      <c r="AA15" s="134" t="str">
        <f>IFERROR(IF(T15="Probabilidad",(AA14-(+AA14*W15)),IF(T15="Impacto",L13,"")),"")</f>
        <v/>
      </c>
      <c r="AB15" s="135" t="str">
        <f t="shared" si="21"/>
        <v/>
      </c>
      <c r="AC15" s="136" t="str">
        <f t="shared" si="22"/>
        <v/>
      </c>
      <c r="AD15" s="135" t="str">
        <f t="shared" si="23"/>
        <v/>
      </c>
      <c r="AE15" s="136" t="str">
        <f>IFERROR(IF(T15="Impacto",(P13-(+P13*W15)),IF(T15="Probabilidad",P13,"")),"")</f>
        <v/>
      </c>
      <c r="AF15" s="137" t="str">
        <f t="shared" si="24"/>
        <v/>
      </c>
      <c r="AG15" s="138"/>
      <c r="AH15" s="119"/>
      <c r="AI15" s="127"/>
      <c r="AJ15" s="144"/>
      <c r="AK15" s="144"/>
      <c r="AL15" s="119"/>
      <c r="AM15" s="140"/>
    </row>
    <row r="16" spans="1:39" s="237" customFormat="1" ht="162" customHeight="1" x14ac:dyDescent="0.35">
      <c r="A16" s="338">
        <v>4</v>
      </c>
      <c r="B16" s="339" t="s">
        <v>554</v>
      </c>
      <c r="C16" s="342" t="s">
        <v>555</v>
      </c>
      <c r="D16" s="342" t="s">
        <v>556</v>
      </c>
      <c r="E16" s="344" t="s">
        <v>118</v>
      </c>
      <c r="F16" s="401" t="s">
        <v>458</v>
      </c>
      <c r="G16" s="401" t="s">
        <v>599</v>
      </c>
      <c r="H16" s="344" t="s">
        <v>600</v>
      </c>
      <c r="I16" s="344" t="s">
        <v>334</v>
      </c>
      <c r="J16" s="325">
        <v>52</v>
      </c>
      <c r="K16" s="327" t="str">
        <f>IF(J16&lt;=0,"",IF(J16&lt;=2,"Muy Baja",IF(J16&lt;=24,"Baja",IF(J16&lt;=500,"Media",IF(J16&lt;=5000,"Alta","Muy Alta")))))</f>
        <v>Media</v>
      </c>
      <c r="L16" s="330">
        <f>IF(K16="","",IF(K16="Muy Baja",0.2,IF(K16="Baja",0.4,IF(K16="Media",0.6,IF(K16="Alta",0.8,IF(K16="Muy Alta",1,))))))</f>
        <v>0.6</v>
      </c>
      <c r="M16" s="333" t="s">
        <v>517</v>
      </c>
      <c r="N16" s="221"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27" t="str">
        <f>IF(OR(N16='Tabla Impacto'!$C$11,N16='Tabla Impacto'!$D$11),"Leve",IF(OR(N16='Tabla Impacto'!$C$12,N16='Tabla Impacto'!$D$12),"Menor",IF(OR(N16='Tabla Impacto'!$C$13,N16='Tabla Impacto'!$D$13),"Moderado",IF(OR(N16='Tabla Impacto'!$C$14,N16='Tabla Impacto'!$D$14),"Mayor",IF(OR(N16='Tabla Impacto'!$C$15,N16='Tabla Impacto'!$D$15),"Catastrófico","")))))</f>
        <v>Moderado</v>
      </c>
      <c r="P16" s="330">
        <f>IF(O16="","",IF(O16="Leve",0.2,IF(O16="Menor",0.4,IF(O16="Moderado",0.6,IF(O16="Mayor",0.8,IF(O16="Catastrófico",1,))))))</f>
        <v>0.6</v>
      </c>
      <c r="Q16" s="335"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213">
        <v>1</v>
      </c>
      <c r="S16" s="139" t="s">
        <v>601</v>
      </c>
      <c r="T16" s="214" t="str">
        <f t="shared" ref="T16:T109" si="25">IF(OR(U16="Preventivo",U16="Detectivo"),"Probabilidad",IF(U16="Correctivo","Impacto",""))</f>
        <v>Probabilidad</v>
      </c>
      <c r="U16" s="215" t="s">
        <v>15</v>
      </c>
      <c r="V16" s="215" t="s">
        <v>9</v>
      </c>
      <c r="W16" s="216" t="str">
        <f t="shared" ref="W16:W109" si="26">IF(AND(U16="Preventivo",V16="Automático"),"50%",IF(AND(U16="Preventivo",V16="Manual"),"40%",IF(AND(U16="Detectivo",V16="Automático"),"40%",IF(AND(U16="Detectivo",V16="Manual"),"30%",IF(AND(U16="Correctivo",V16="Automático"),"35%",IF(AND(U16="Correctivo",V16="Manual"),"25%",""))))))</f>
        <v>30%</v>
      </c>
      <c r="X16" s="215" t="s">
        <v>19</v>
      </c>
      <c r="Y16" s="215" t="s">
        <v>22</v>
      </c>
      <c r="Z16" s="215" t="s">
        <v>110</v>
      </c>
      <c r="AA16" s="162">
        <f t="shared" ref="AA16:AA109" si="27">IFERROR(IF(T16="Probabilidad",(L16-(+L16*W16)),IF(T16="Impacto",L16,"")),"")</f>
        <v>0.42</v>
      </c>
      <c r="AB16" s="217" t="str">
        <f t="shared" ref="AB16:AB109" si="28">IFERROR(IF(AA16="","",IF(AA16&lt;=0.2,"Muy Baja",IF(AA16&lt;=0.4,"Baja",IF(AA16&lt;=0.6,"Media",IF(AA16&lt;=0.8,"Alta","Muy Alta"))))),"")</f>
        <v>Media</v>
      </c>
      <c r="AC16" s="218">
        <f t="shared" ref="AC16:AC109" si="29">+AA16</f>
        <v>0.42</v>
      </c>
      <c r="AD16" s="217" t="str">
        <f t="shared" ref="AD16:AD109" si="30">IFERROR(IF(AE16="","",IF(AE16&lt;=0.2,"Leve",IF(AE16&lt;=0.4,"Menor",IF(AE16&lt;=0.6,"Moderado",IF(AE16&lt;=0.8,"Mayor","Catastrófico"))))),"")</f>
        <v>Moderado</v>
      </c>
      <c r="AE16" s="218">
        <f t="shared" ref="AE16:AE109" si="31">IFERROR(IF(T16="Impacto",(P16-(+P16*W16)),IF(T16="Probabilidad",P16,"")),"")</f>
        <v>0.6</v>
      </c>
      <c r="AF16" s="219" t="str">
        <f t="shared" ref="AF16:AF109"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220" t="s">
        <v>122</v>
      </c>
      <c r="AH16" s="126" t="s">
        <v>598</v>
      </c>
      <c r="AI16" s="147" t="s">
        <v>262</v>
      </c>
      <c r="AJ16" s="128" t="s">
        <v>200</v>
      </c>
      <c r="AK16" s="128" t="s">
        <v>200</v>
      </c>
      <c r="AL16" s="126" t="s">
        <v>602</v>
      </c>
      <c r="AM16" s="236"/>
    </row>
    <row r="17" spans="1:39" s="237" customFormat="1" ht="151.5" customHeight="1" x14ac:dyDescent="0.35">
      <c r="A17" s="338"/>
      <c r="B17" s="340"/>
      <c r="C17" s="343"/>
      <c r="D17" s="343"/>
      <c r="E17" s="345"/>
      <c r="F17" s="345"/>
      <c r="G17" s="345"/>
      <c r="H17" s="345"/>
      <c r="I17" s="345"/>
      <c r="J17" s="326"/>
      <c r="K17" s="328"/>
      <c r="L17" s="331"/>
      <c r="M17" s="334"/>
      <c r="N17" s="222"/>
      <c r="O17" s="328"/>
      <c r="P17" s="331"/>
      <c r="Q17" s="336"/>
      <c r="R17" s="213">
        <v>2</v>
      </c>
      <c r="S17" s="139"/>
      <c r="T17" s="214" t="str">
        <f t="shared" ref="T17:T18" si="33">IF(OR(U17="Preventivo",U17="Detectivo"),"Probabilidad",IF(U17="Correctivo","Impacto",""))</f>
        <v/>
      </c>
      <c r="U17" s="215"/>
      <c r="V17" s="215"/>
      <c r="W17" s="216"/>
      <c r="X17" s="215"/>
      <c r="Y17" s="215"/>
      <c r="Z17" s="215"/>
      <c r="AA17" s="162" t="str">
        <f>IFERROR(IF(T17="Probabilidad",(AA16-(+AA16*W17)),IF(T17="Impacto",L17,"")),"")</f>
        <v/>
      </c>
      <c r="AB17" s="217" t="str">
        <f t="shared" ref="AB17:AB18" si="34">IFERROR(IF(AA17="","",IF(AA17&lt;=0.2,"Muy Baja",IF(AA17&lt;=0.4,"Baja",IF(AA17&lt;=0.6,"Media",IF(AA17&lt;=0.8,"Alta","Muy Alta"))))),"")</f>
        <v/>
      </c>
      <c r="AC17" s="218" t="str">
        <f t="shared" ref="AC17:AC18" si="35">+AA17</f>
        <v/>
      </c>
      <c r="AD17" s="217" t="str">
        <f t="shared" ref="AD17:AD18" si="36">IFERROR(IF(AE17="","",IF(AE17&lt;=0.2,"Leve",IF(AE17&lt;=0.4,"Menor",IF(AE17&lt;=0.6,"Moderado",IF(AE17&lt;=0.8,"Mayor","Catastrófico"))))),"")</f>
        <v/>
      </c>
      <c r="AE17" s="218" t="str">
        <f t="shared" ref="AE17:AE18" si="37">IFERROR(IF(T17="Impacto",(P17-(+P17*W17)),IF(T17="Probabilidad",P17,"")),"")</f>
        <v/>
      </c>
      <c r="AF17" s="219"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20"/>
      <c r="AH17" s="126"/>
      <c r="AI17" s="121"/>
      <c r="AJ17" s="128"/>
      <c r="AK17" s="128"/>
      <c r="AL17" s="126"/>
      <c r="AM17" s="236"/>
    </row>
    <row r="18" spans="1:39" s="237" customFormat="1" ht="151.5" customHeight="1" x14ac:dyDescent="0.35">
      <c r="A18" s="338"/>
      <c r="B18" s="341"/>
      <c r="C18" s="343"/>
      <c r="D18" s="343"/>
      <c r="E18" s="345"/>
      <c r="F18" s="345"/>
      <c r="G18" s="345"/>
      <c r="H18" s="345"/>
      <c r="I18" s="345"/>
      <c r="J18" s="326"/>
      <c r="K18" s="329"/>
      <c r="L18" s="332"/>
      <c r="M18" s="334"/>
      <c r="N18" s="222"/>
      <c r="O18" s="329"/>
      <c r="P18" s="332"/>
      <c r="Q18" s="337"/>
      <c r="R18" s="213">
        <v>3</v>
      </c>
      <c r="S18" s="139"/>
      <c r="T18" s="214" t="str">
        <f t="shared" si="33"/>
        <v/>
      </c>
      <c r="U18" s="215"/>
      <c r="V18" s="215"/>
      <c r="W18" s="216"/>
      <c r="X18" s="215"/>
      <c r="Y18" s="215"/>
      <c r="Z18" s="215"/>
      <c r="AA18" s="162" t="str">
        <f>IFERROR(IF(T18="Probabilidad",(AA17-(+AA17*W18)),IF(T18="Impacto",L18,"")),"")</f>
        <v/>
      </c>
      <c r="AB18" s="217" t="str">
        <f t="shared" si="34"/>
        <v/>
      </c>
      <c r="AC18" s="218" t="str">
        <f t="shared" si="35"/>
        <v/>
      </c>
      <c r="AD18" s="217" t="str">
        <f t="shared" si="36"/>
        <v/>
      </c>
      <c r="AE18" s="218" t="str">
        <f t="shared" si="37"/>
        <v/>
      </c>
      <c r="AF18" s="219" t="str">
        <f t="shared" si="38"/>
        <v/>
      </c>
      <c r="AG18" s="220"/>
      <c r="AH18" s="126"/>
      <c r="AI18" s="121"/>
      <c r="AJ18" s="128"/>
      <c r="AK18" s="128"/>
      <c r="AL18" s="126"/>
      <c r="AM18" s="236"/>
    </row>
    <row r="19" spans="1:39" s="237" customFormat="1" ht="151.5" customHeight="1" x14ac:dyDescent="0.35">
      <c r="A19" s="373">
        <v>5</v>
      </c>
      <c r="B19" s="374" t="s">
        <v>207</v>
      </c>
      <c r="C19" s="377" t="s">
        <v>208</v>
      </c>
      <c r="D19" s="377" t="s">
        <v>389</v>
      </c>
      <c r="E19" s="349" t="s">
        <v>118</v>
      </c>
      <c r="F19" s="349" t="s">
        <v>209</v>
      </c>
      <c r="G19" s="349" t="s">
        <v>210</v>
      </c>
      <c r="H19" s="344" t="s">
        <v>588</v>
      </c>
      <c r="I19" s="349" t="s">
        <v>115</v>
      </c>
      <c r="J19" s="351">
        <v>1</v>
      </c>
      <c r="K19" s="353" t="str">
        <f>IF(J19&lt;=0,"",IF(J19&lt;=2,"Muy Baja",IF(J19&lt;=24,"Baja",IF(J19&lt;=500,"Media",IF(J19&lt;=5000,"Alta","Muy Alta")))))</f>
        <v>Muy Baja</v>
      </c>
      <c r="L19" s="356">
        <f>IF(K19="","",IF(K19="Muy Baja",0.2,IF(K19="Baja",0.4,IF(K19="Media",0.6,IF(K19="Alta",0.8,IF(K19="Muy Alta",1,))))))</f>
        <v>0.2</v>
      </c>
      <c r="M19" s="359" t="s">
        <v>517</v>
      </c>
      <c r="N19" s="221" t="str">
        <f>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353" t="str">
        <f>IF(OR(N19='Tabla Impacto'!$C$11,N19='Tabla Impacto'!$D$11),"Leve",IF(OR(N19='Tabla Impacto'!$C$12,N19='Tabla Impacto'!$D$12),"Menor",IF(OR(N19='Tabla Impacto'!$C$13,N19='Tabla Impacto'!$D$13),"Moderado",IF(OR(N19='Tabla Impacto'!$C$14,N19='Tabla Impacto'!$D$14),"Mayor",IF(OR(N19='Tabla Impacto'!$C$15,N19='Tabla Impacto'!$D$15),"Catastrófico","")))))</f>
        <v>Moderado</v>
      </c>
      <c r="P19" s="356">
        <f>IF(O19="","",IF(O19="Leve",0.2,IF(O19="Menor",0.4,IF(O19="Moderado",0.6,IF(O19="Mayor",0.8,IF(O19="Catastrófico",1,))))))</f>
        <v>0.6</v>
      </c>
      <c r="Q19" s="346"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213">
        <v>1</v>
      </c>
      <c r="S19" s="139" t="s">
        <v>211</v>
      </c>
      <c r="T19" s="214" t="str">
        <f t="shared" si="25"/>
        <v>Probabilidad</v>
      </c>
      <c r="U19" s="215" t="s">
        <v>14</v>
      </c>
      <c r="V19" s="215" t="s">
        <v>9</v>
      </c>
      <c r="W19" s="216" t="str">
        <f t="shared" si="26"/>
        <v>40%</v>
      </c>
      <c r="X19" s="215" t="s">
        <v>19</v>
      </c>
      <c r="Y19" s="215" t="s">
        <v>22</v>
      </c>
      <c r="Z19" s="215" t="s">
        <v>110</v>
      </c>
      <c r="AA19" s="162">
        <f t="shared" si="27"/>
        <v>0.12</v>
      </c>
      <c r="AB19" s="217" t="str">
        <f t="shared" si="28"/>
        <v>Muy Baja</v>
      </c>
      <c r="AC19" s="218">
        <f t="shared" si="29"/>
        <v>0.12</v>
      </c>
      <c r="AD19" s="217" t="str">
        <f t="shared" si="30"/>
        <v>Moderado</v>
      </c>
      <c r="AE19" s="218">
        <f t="shared" si="31"/>
        <v>0.6</v>
      </c>
      <c r="AF19" s="219" t="str">
        <f t="shared" si="32"/>
        <v>Moderado</v>
      </c>
      <c r="AG19" s="220" t="s">
        <v>122</v>
      </c>
      <c r="AH19" s="126" t="s">
        <v>212</v>
      </c>
      <c r="AI19" s="121" t="s">
        <v>213</v>
      </c>
      <c r="AJ19" s="128">
        <v>44562</v>
      </c>
      <c r="AK19" s="128" t="s">
        <v>387</v>
      </c>
      <c r="AL19" s="126" t="s">
        <v>214</v>
      </c>
      <c r="AM19" s="236"/>
    </row>
    <row r="20" spans="1:39" s="237" customFormat="1" ht="151.5" customHeight="1" x14ac:dyDescent="0.35">
      <c r="A20" s="373"/>
      <c r="B20" s="375"/>
      <c r="C20" s="379"/>
      <c r="D20" s="378"/>
      <c r="E20" s="350"/>
      <c r="F20" s="350"/>
      <c r="G20" s="350"/>
      <c r="H20" s="345"/>
      <c r="I20" s="350"/>
      <c r="J20" s="352"/>
      <c r="K20" s="354"/>
      <c r="L20" s="357"/>
      <c r="M20" s="360"/>
      <c r="N20" s="222"/>
      <c r="O20" s="354"/>
      <c r="P20" s="357"/>
      <c r="Q20" s="347"/>
      <c r="R20" s="213">
        <v>2</v>
      </c>
      <c r="S20" s="139"/>
      <c r="T20" s="214" t="str">
        <f t="shared" ref="T20:T21" si="39">IF(OR(U20="Preventivo",U20="Detectivo"),"Probabilidad",IF(U20="Correctivo","Impacto",""))</f>
        <v/>
      </c>
      <c r="U20" s="238"/>
      <c r="V20" s="238"/>
      <c r="W20" s="239"/>
      <c r="X20" s="238"/>
      <c r="Y20" s="238"/>
      <c r="Z20" s="238"/>
      <c r="AA20" s="163" t="str">
        <f>IFERROR(IF(T20="Probabilidad",(AA19-(+AA19*W20)),IF(T20="Impacto",L20,"")),"")</f>
        <v/>
      </c>
      <c r="AB20" s="217" t="str">
        <f t="shared" ref="AB20:AB21" si="40">IFERROR(IF(AA20="","",IF(AA20&lt;=0.2,"Muy Baja",IF(AA20&lt;=0.4,"Baja",IF(AA20&lt;=0.6,"Media",IF(AA20&lt;=0.8,"Alta","Muy Alta"))))),"")</f>
        <v/>
      </c>
      <c r="AC20" s="240" t="str">
        <f t="shared" ref="AC20:AC21" si="41">+AA20</f>
        <v/>
      </c>
      <c r="AD20" s="217" t="str">
        <f t="shared" ref="AD20:AD21" si="42">IFERROR(IF(AE20="","",IF(AE20&lt;=0.2,"Leve",IF(AE20&lt;=0.4,"Menor",IF(AE20&lt;=0.6,"Moderado",IF(AE20&lt;=0.8,"Mayor","Catastrófico"))))),"")</f>
        <v/>
      </c>
      <c r="AE20" s="240" t="str">
        <f t="shared" ref="AE20:AE21" si="43">IFERROR(IF(T20="Impacto",(P20-(+P20*W20)),IF(T20="Probabilidad",P20,"")),"")</f>
        <v/>
      </c>
      <c r="AF20" s="241" t="str">
        <f t="shared" ref="AF20:AF21" si="44">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242"/>
      <c r="AH20" s="126"/>
      <c r="AI20" s="121"/>
      <c r="AJ20" s="128"/>
      <c r="AK20" s="128"/>
      <c r="AL20" s="126"/>
      <c r="AM20" s="236"/>
    </row>
    <row r="21" spans="1:39" s="165" customFormat="1" ht="151.5" customHeight="1" x14ac:dyDescent="0.35">
      <c r="A21" s="403"/>
      <c r="B21" s="376"/>
      <c r="C21" s="379"/>
      <c r="D21" s="378"/>
      <c r="E21" s="350"/>
      <c r="F21" s="350"/>
      <c r="G21" s="350"/>
      <c r="H21" s="345"/>
      <c r="I21" s="350"/>
      <c r="J21" s="352"/>
      <c r="K21" s="355"/>
      <c r="L21" s="358"/>
      <c r="M21" s="360"/>
      <c r="N21" s="143"/>
      <c r="O21" s="355"/>
      <c r="P21" s="358"/>
      <c r="Q21" s="348"/>
      <c r="R21" s="130">
        <v>3</v>
      </c>
      <c r="S21" s="98"/>
      <c r="T21" s="131" t="str">
        <f t="shared" si="39"/>
        <v/>
      </c>
      <c r="U21" s="148"/>
      <c r="V21" s="148"/>
      <c r="W21" s="149"/>
      <c r="X21" s="148"/>
      <c r="Y21" s="148"/>
      <c r="Z21" s="148"/>
      <c r="AA21" s="150" t="str">
        <f>IFERROR(IF(T21="Probabilidad",(AA20-(+AA20*W21)),IF(T21="Impacto",L21,"")),"")</f>
        <v/>
      </c>
      <c r="AB21" s="135" t="str">
        <f t="shared" si="40"/>
        <v/>
      </c>
      <c r="AC21" s="151" t="str">
        <f t="shared" si="41"/>
        <v/>
      </c>
      <c r="AD21" s="135" t="str">
        <f t="shared" si="42"/>
        <v/>
      </c>
      <c r="AE21" s="151" t="str">
        <f t="shared" si="43"/>
        <v/>
      </c>
      <c r="AF21" s="152" t="str">
        <f t="shared" si="44"/>
        <v/>
      </c>
      <c r="AG21" s="153"/>
      <c r="AH21" s="119"/>
      <c r="AI21" s="127"/>
      <c r="AJ21" s="144"/>
      <c r="AK21" s="144"/>
      <c r="AL21" s="119"/>
      <c r="AM21" s="140"/>
    </row>
    <row r="22" spans="1:39" s="165" customFormat="1" ht="172" customHeight="1" x14ac:dyDescent="0.35">
      <c r="A22" s="372">
        <v>6</v>
      </c>
      <c r="B22" s="374" t="s">
        <v>207</v>
      </c>
      <c r="C22" s="377" t="s">
        <v>208</v>
      </c>
      <c r="D22" s="377" t="s">
        <v>389</v>
      </c>
      <c r="E22" s="349" t="s">
        <v>119</v>
      </c>
      <c r="F22" s="402" t="s">
        <v>215</v>
      </c>
      <c r="G22" s="349" t="s">
        <v>216</v>
      </c>
      <c r="H22" s="344" t="s">
        <v>346</v>
      </c>
      <c r="I22" s="349" t="s">
        <v>334</v>
      </c>
      <c r="J22" s="351">
        <v>1</v>
      </c>
      <c r="K22" s="353" t="str">
        <f>IF(J22&lt;=0,"",IF(J22&lt;=2,"Muy Baja",IF(J22&lt;=24,"Baja",IF(J22&lt;=500,"Media",IF(J22&lt;=5000,"Alta","Muy Alta")))))</f>
        <v>Muy Baja</v>
      </c>
      <c r="L22" s="356">
        <f>IF(K22="","",IF(K22="Muy Baja",0.2,IF(K22="Baja",0.4,IF(K22="Media",0.6,IF(K22="Alta",0.8,IF(K22="Muy Alta",1,))))))</f>
        <v>0.2</v>
      </c>
      <c r="M22" s="359" t="s">
        <v>516</v>
      </c>
      <c r="N22" s="129" t="str">
        <f>IF(NOT(ISERROR(MATCH(M22,'Tabla Impacto'!$B$221:$B$223,0))),'Tabla Impacto'!$F$223&amp;"Por favor no seleccionar los criterios de impacto(Afectación Económica o presupuestal y Pérdida Reputacional)",M22)</f>
        <v xml:space="preserve"> Entre 50 y 100 SMLMV </v>
      </c>
      <c r="O22" s="353" t="str">
        <f>IF(OR(N22='Tabla Impacto'!$C$11,N22='Tabla Impacto'!$D$11),"Leve",IF(OR(N22='Tabla Impacto'!$C$12,N22='Tabla Impacto'!$D$12),"Menor",IF(OR(N22='Tabla Impacto'!$C$13,N22='Tabla Impacto'!$D$13),"Moderado",IF(OR(N22='Tabla Impacto'!$C$14,N22='Tabla Impacto'!$D$14),"Mayor",IF(OR(N22='Tabla Impacto'!$C$15,N22='Tabla Impacto'!$D$15),"Catastrófico","")))))</f>
        <v>Moderado</v>
      </c>
      <c r="P22" s="356">
        <f>IF(O22="","",IF(O22="Leve",0.2,IF(O22="Menor",0.4,IF(O22="Moderado",0.6,IF(O22="Mayor",0.8,IF(O22="Catastrófico",1,))))))</f>
        <v>0.6</v>
      </c>
      <c r="Q22" s="346"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30">
        <v>1</v>
      </c>
      <c r="S22" s="98" t="s">
        <v>217</v>
      </c>
      <c r="T22" s="131" t="str">
        <f t="shared" si="25"/>
        <v>Probabilidad</v>
      </c>
      <c r="U22" s="132" t="s">
        <v>15</v>
      </c>
      <c r="V22" s="132" t="s">
        <v>9</v>
      </c>
      <c r="W22" s="133" t="str">
        <f t="shared" si="26"/>
        <v>30%</v>
      </c>
      <c r="X22" s="132" t="s">
        <v>20</v>
      </c>
      <c r="Y22" s="132" t="s">
        <v>23</v>
      </c>
      <c r="Z22" s="132" t="s">
        <v>111</v>
      </c>
      <c r="AA22" s="134">
        <f t="shared" si="27"/>
        <v>0.14000000000000001</v>
      </c>
      <c r="AB22" s="135" t="str">
        <f t="shared" si="28"/>
        <v>Muy Baja</v>
      </c>
      <c r="AC22" s="136">
        <f t="shared" si="29"/>
        <v>0.14000000000000001</v>
      </c>
      <c r="AD22" s="135" t="str">
        <f t="shared" si="30"/>
        <v>Moderado</v>
      </c>
      <c r="AE22" s="136">
        <f t="shared" si="31"/>
        <v>0.6</v>
      </c>
      <c r="AF22" s="137" t="str">
        <f t="shared" si="32"/>
        <v>Moderado</v>
      </c>
      <c r="AG22" s="138" t="s">
        <v>122</v>
      </c>
      <c r="AH22" s="119" t="s">
        <v>218</v>
      </c>
      <c r="AI22" s="127" t="s">
        <v>204</v>
      </c>
      <c r="AJ22" s="128">
        <v>44562</v>
      </c>
      <c r="AK22" s="128" t="s">
        <v>387</v>
      </c>
      <c r="AL22" s="126" t="s">
        <v>335</v>
      </c>
      <c r="AM22" s="140"/>
    </row>
    <row r="23" spans="1:39" s="165" customFormat="1" ht="151.5" customHeight="1" x14ac:dyDescent="0.35">
      <c r="A23" s="373"/>
      <c r="B23" s="375"/>
      <c r="C23" s="379"/>
      <c r="D23" s="378"/>
      <c r="E23" s="350"/>
      <c r="F23" s="350"/>
      <c r="G23" s="350"/>
      <c r="H23" s="345"/>
      <c r="I23" s="350"/>
      <c r="J23" s="352"/>
      <c r="K23" s="354"/>
      <c r="L23" s="357"/>
      <c r="M23" s="360"/>
      <c r="N23" s="143"/>
      <c r="O23" s="354"/>
      <c r="P23" s="357"/>
      <c r="Q23" s="347"/>
      <c r="R23" s="130">
        <v>2</v>
      </c>
      <c r="S23" s="98"/>
      <c r="T23" s="131" t="str">
        <f t="shared" ref="T23:T45" si="45">IF(OR(U23="Preventivo",U23="Detectivo"),"Probabilidad",IF(U23="Correctivo","Impacto",""))</f>
        <v/>
      </c>
      <c r="U23" s="132"/>
      <c r="V23" s="132"/>
      <c r="W23" s="133" t="str">
        <f t="shared" ref="W23:W44" si="46">IF(AND(U23="Preventivo",V23="Automático"),"50%",IF(AND(U23="Preventivo",V23="Manual"),"40%",IF(AND(U23="Detectivo",V23="Automático"),"40%",IF(AND(U23="Detectivo",V23="Manual"),"30%",IF(AND(U23="Correctivo",V23="Automático"),"35%",IF(AND(U23="Correctivo",V23="Manual"),"25%",""))))))</f>
        <v/>
      </c>
      <c r="X23" s="132"/>
      <c r="Y23" s="132"/>
      <c r="Z23" s="132"/>
      <c r="AA23" s="134" t="str">
        <f>IFERROR(IF(T23="Probabilidad",(AA22-(+AA22*W23)),IF(T23="Impacto",L23,"")),"")</f>
        <v/>
      </c>
      <c r="AB23" s="135" t="str">
        <f t="shared" ref="AB23:AB45" si="47">IFERROR(IF(AA23="","",IF(AA23&lt;=0.2,"Muy Baja",IF(AA23&lt;=0.4,"Baja",IF(AA23&lt;=0.6,"Media",IF(AA23&lt;=0.8,"Alta","Muy Alta"))))),"")</f>
        <v/>
      </c>
      <c r="AC23" s="136" t="str">
        <f t="shared" ref="AC23:AC45" si="48">+AA23</f>
        <v/>
      </c>
      <c r="AD23" s="135" t="str">
        <f t="shared" ref="AD23:AD45" si="49">IFERROR(IF(AE23="","",IF(AE23&lt;=0.2,"Leve",IF(AE23&lt;=0.4,"Menor",IF(AE23&lt;=0.6,"Moderado",IF(AE23&lt;=0.8,"Mayor","Catastrófico"))))),"")</f>
        <v/>
      </c>
      <c r="AE23" s="136" t="str">
        <f t="shared" ref="AE23:AE45" si="50">IFERROR(IF(T23="Impacto",(P23-(+P23*W23)),IF(T23="Probabilidad",P23,"")),"")</f>
        <v/>
      </c>
      <c r="AF23" s="137" t="str">
        <f t="shared" ref="AF23:AF45" si="51">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38"/>
      <c r="AH23" s="119"/>
      <c r="AI23" s="127"/>
      <c r="AJ23" s="144"/>
      <c r="AK23" s="144"/>
      <c r="AL23" s="119"/>
      <c r="AM23" s="140"/>
    </row>
    <row r="24" spans="1:39" s="165" customFormat="1" ht="151.5" customHeight="1" x14ac:dyDescent="0.35">
      <c r="A24" s="373"/>
      <c r="B24" s="376"/>
      <c r="C24" s="379"/>
      <c r="D24" s="378"/>
      <c r="E24" s="350"/>
      <c r="F24" s="350"/>
      <c r="G24" s="350"/>
      <c r="H24" s="345"/>
      <c r="I24" s="350"/>
      <c r="J24" s="352"/>
      <c r="K24" s="355"/>
      <c r="L24" s="358"/>
      <c r="M24" s="360"/>
      <c r="N24" s="143"/>
      <c r="O24" s="355"/>
      <c r="P24" s="358"/>
      <c r="Q24" s="348"/>
      <c r="R24" s="130">
        <v>3</v>
      </c>
      <c r="S24" s="98"/>
      <c r="T24" s="131" t="str">
        <f t="shared" si="45"/>
        <v/>
      </c>
      <c r="U24" s="132"/>
      <c r="V24" s="132"/>
      <c r="W24" s="133" t="str">
        <f t="shared" si="46"/>
        <v/>
      </c>
      <c r="X24" s="132"/>
      <c r="Y24" s="132"/>
      <c r="Z24" s="132"/>
      <c r="AA24" s="134" t="str">
        <f>IFERROR(IF(T24="Probabilidad",(AA23-(+AA23*W24)),IF(T24="Impacto",L24,"")),"")</f>
        <v/>
      </c>
      <c r="AB24" s="135" t="str">
        <f t="shared" si="47"/>
        <v/>
      </c>
      <c r="AC24" s="136" t="str">
        <f t="shared" si="48"/>
        <v/>
      </c>
      <c r="AD24" s="135" t="str">
        <f t="shared" si="49"/>
        <v/>
      </c>
      <c r="AE24" s="136" t="str">
        <f t="shared" si="50"/>
        <v/>
      </c>
      <c r="AF24" s="137" t="str">
        <f t="shared" si="51"/>
        <v/>
      </c>
      <c r="AG24" s="138"/>
      <c r="AH24" s="119"/>
      <c r="AI24" s="127"/>
      <c r="AJ24" s="144"/>
      <c r="AK24" s="144"/>
      <c r="AL24" s="119"/>
      <c r="AM24" s="140"/>
    </row>
    <row r="25" spans="1:39" s="165" customFormat="1" ht="226.5" customHeight="1" x14ac:dyDescent="0.35">
      <c r="A25" s="373">
        <v>7</v>
      </c>
      <c r="B25" s="374" t="s">
        <v>219</v>
      </c>
      <c r="C25" s="377" t="s">
        <v>220</v>
      </c>
      <c r="D25" s="377" t="s">
        <v>221</v>
      </c>
      <c r="E25" s="349" t="s">
        <v>120</v>
      </c>
      <c r="F25" s="402" t="s">
        <v>222</v>
      </c>
      <c r="G25" s="349" t="s">
        <v>223</v>
      </c>
      <c r="H25" s="344" t="s">
        <v>593</v>
      </c>
      <c r="I25" s="349" t="s">
        <v>115</v>
      </c>
      <c r="J25" s="351">
        <v>1460</v>
      </c>
      <c r="K25" s="353" t="str">
        <f>IF(J25&lt;=0,"",IF(J25&lt;=2,"Muy Baja",IF(J25&lt;=24,"Baja",IF(J25&lt;=500,"Media",IF(J25&lt;=5000,"Alta","Muy Alta")))))</f>
        <v>Alta</v>
      </c>
      <c r="L25" s="356">
        <f>IF(K25="","",IF(K25="Muy Baja",0.2,IF(K25="Baja",0.4,IF(K25="Media",0.6,IF(K25="Alta",0.8,IF(K25="Muy Alta",1,))))))</f>
        <v>0.8</v>
      </c>
      <c r="M25" s="359" t="s">
        <v>517</v>
      </c>
      <c r="N25" s="129" t="str">
        <f>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353" t="str">
        <f>IF(OR(N25='Tabla Impacto'!$C$11,N25='Tabla Impacto'!$D$11),"Leve",IF(OR(N25='Tabla Impacto'!$C$12,N25='Tabla Impacto'!$D$12),"Menor",IF(OR(N25='Tabla Impacto'!$C$13,N25='Tabla Impacto'!$D$13),"Moderado",IF(OR(N25='Tabla Impacto'!$C$14,N25='Tabla Impacto'!$D$14),"Mayor",IF(OR(N25='Tabla Impacto'!$C$15,N25='Tabla Impacto'!$D$15),"Catastrófico","")))))</f>
        <v>Moderado</v>
      </c>
      <c r="P25" s="356">
        <f>IF(O25="","",IF(O25="Leve",0.2,IF(O25="Menor",0.4,IF(O25="Moderado",0.6,IF(O25="Mayor",0.8,IF(O25="Catastrófico",1,))))))</f>
        <v>0.6</v>
      </c>
      <c r="Q25" s="346"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30">
        <v>1</v>
      </c>
      <c r="S25" s="119" t="s">
        <v>386</v>
      </c>
      <c r="T25" s="160" t="str">
        <f t="shared" si="45"/>
        <v>Probabilidad</v>
      </c>
      <c r="U25" s="148" t="s">
        <v>14</v>
      </c>
      <c r="V25" s="132" t="s">
        <v>9</v>
      </c>
      <c r="W25" s="133" t="str">
        <f t="shared" si="46"/>
        <v>40%</v>
      </c>
      <c r="X25" s="132" t="s">
        <v>19</v>
      </c>
      <c r="Y25" s="132" t="s">
        <v>22</v>
      </c>
      <c r="Z25" s="132" t="s">
        <v>110</v>
      </c>
      <c r="AA25" s="134">
        <f t="shared" ref="AA25:AA43" si="52">IFERROR(IF(T25="Probabilidad",(L25-(+L25*W25)),IF(T25="Impacto",L25,"")),"")</f>
        <v>0.48</v>
      </c>
      <c r="AB25" s="135" t="str">
        <f t="shared" si="47"/>
        <v>Media</v>
      </c>
      <c r="AC25" s="136">
        <f t="shared" si="48"/>
        <v>0.48</v>
      </c>
      <c r="AD25" s="135" t="str">
        <f t="shared" si="49"/>
        <v>Moderado</v>
      </c>
      <c r="AE25" s="136">
        <f t="shared" si="50"/>
        <v>0.6</v>
      </c>
      <c r="AF25" s="137" t="str">
        <f t="shared" si="51"/>
        <v>Moderado</v>
      </c>
      <c r="AG25" s="138" t="s">
        <v>122</v>
      </c>
      <c r="AH25" s="154" t="s">
        <v>224</v>
      </c>
      <c r="AI25" s="155" t="s">
        <v>213</v>
      </c>
      <c r="AJ25" s="128">
        <v>44562</v>
      </c>
      <c r="AK25" s="128" t="s">
        <v>387</v>
      </c>
      <c r="AL25" s="154" t="s">
        <v>225</v>
      </c>
      <c r="AM25" s="140"/>
    </row>
    <row r="26" spans="1:39" s="165" customFormat="1" ht="151.5" customHeight="1" x14ac:dyDescent="0.35">
      <c r="A26" s="373"/>
      <c r="B26" s="375"/>
      <c r="C26" s="379"/>
      <c r="D26" s="378"/>
      <c r="E26" s="350"/>
      <c r="F26" s="350"/>
      <c r="G26" s="350"/>
      <c r="H26" s="345"/>
      <c r="I26" s="350"/>
      <c r="J26" s="352"/>
      <c r="K26" s="354"/>
      <c r="L26" s="357"/>
      <c r="M26" s="360"/>
      <c r="N26" s="143"/>
      <c r="O26" s="354"/>
      <c r="P26" s="357"/>
      <c r="Q26" s="347"/>
      <c r="R26" s="130">
        <v>2</v>
      </c>
      <c r="S26" s="98"/>
      <c r="T26" s="131" t="str">
        <f t="shared" si="45"/>
        <v/>
      </c>
      <c r="U26" s="132"/>
      <c r="V26" s="132"/>
      <c r="W26" s="133"/>
      <c r="X26" s="132"/>
      <c r="Y26" s="132"/>
      <c r="Z26" s="132"/>
      <c r="AA26" s="134" t="str">
        <f>IFERROR(IF(T26="Probabilidad",(AA25-(+AA25*W26)),IF(T26="Impacto",L26,"")),"")</f>
        <v/>
      </c>
      <c r="AB26" s="135" t="str">
        <f t="shared" si="47"/>
        <v/>
      </c>
      <c r="AC26" s="136" t="str">
        <f t="shared" si="48"/>
        <v/>
      </c>
      <c r="AD26" s="135" t="str">
        <f t="shared" si="49"/>
        <v/>
      </c>
      <c r="AE26" s="136" t="str">
        <f t="shared" si="50"/>
        <v/>
      </c>
      <c r="AF26" s="137" t="str">
        <f t="shared" si="51"/>
        <v/>
      </c>
      <c r="AG26" s="138"/>
      <c r="AH26" s="119"/>
      <c r="AI26" s="127"/>
      <c r="AJ26" s="144"/>
      <c r="AK26" s="144"/>
      <c r="AL26" s="119"/>
      <c r="AM26" s="140"/>
    </row>
    <row r="27" spans="1:39" s="165" customFormat="1" ht="151.5" customHeight="1" x14ac:dyDescent="0.35">
      <c r="A27" s="373"/>
      <c r="B27" s="376"/>
      <c r="C27" s="379"/>
      <c r="D27" s="378"/>
      <c r="E27" s="350"/>
      <c r="F27" s="350"/>
      <c r="G27" s="350"/>
      <c r="H27" s="345"/>
      <c r="I27" s="350"/>
      <c r="J27" s="352"/>
      <c r="K27" s="355"/>
      <c r="L27" s="358"/>
      <c r="M27" s="360"/>
      <c r="N27" s="143"/>
      <c r="O27" s="355"/>
      <c r="P27" s="358"/>
      <c r="Q27" s="348"/>
      <c r="R27" s="130">
        <v>3</v>
      </c>
      <c r="S27" s="98"/>
      <c r="T27" s="131" t="str">
        <f t="shared" si="45"/>
        <v/>
      </c>
      <c r="U27" s="132"/>
      <c r="V27" s="132"/>
      <c r="W27" s="133"/>
      <c r="X27" s="132"/>
      <c r="Y27" s="132"/>
      <c r="Z27" s="132"/>
      <c r="AA27" s="134" t="str">
        <f>IFERROR(IF(T27="Probabilidad",(AA26-(+AA26*W27)),IF(T27="Impacto",L27,"")),"")</f>
        <v/>
      </c>
      <c r="AB27" s="135" t="str">
        <f t="shared" si="47"/>
        <v/>
      </c>
      <c r="AC27" s="136" t="str">
        <f t="shared" si="48"/>
        <v/>
      </c>
      <c r="AD27" s="135" t="str">
        <f t="shared" si="49"/>
        <v/>
      </c>
      <c r="AE27" s="136" t="str">
        <f t="shared" si="50"/>
        <v/>
      </c>
      <c r="AF27" s="137" t="str">
        <f t="shared" si="51"/>
        <v/>
      </c>
      <c r="AG27" s="138"/>
      <c r="AH27" s="119"/>
      <c r="AI27" s="127"/>
      <c r="AJ27" s="144"/>
      <c r="AK27" s="144"/>
      <c r="AL27" s="119"/>
      <c r="AM27" s="140"/>
    </row>
    <row r="28" spans="1:39" s="165" customFormat="1" ht="151.5" customHeight="1" x14ac:dyDescent="0.35">
      <c r="A28" s="373">
        <v>8</v>
      </c>
      <c r="B28" s="374" t="s">
        <v>226</v>
      </c>
      <c r="C28" s="377" t="s">
        <v>220</v>
      </c>
      <c r="D28" s="377" t="s">
        <v>221</v>
      </c>
      <c r="E28" s="349" t="s">
        <v>118</v>
      </c>
      <c r="F28" s="349" t="s">
        <v>227</v>
      </c>
      <c r="G28" s="349" t="s">
        <v>459</v>
      </c>
      <c r="H28" s="344" t="s">
        <v>228</v>
      </c>
      <c r="I28" s="349" t="s">
        <v>334</v>
      </c>
      <c r="J28" s="351">
        <v>1460</v>
      </c>
      <c r="K28" s="353" t="str">
        <f>IF(J28&lt;=0,"",IF(J28&lt;=2,"Muy Baja",IF(J28&lt;=24,"Baja",IF(J28&lt;=500,"Media",IF(J28&lt;=5000,"Alta","Muy Alta")))))</f>
        <v>Alta</v>
      </c>
      <c r="L28" s="356">
        <f>IF(K28="","",IF(K28="Muy Baja",0.2,IF(K28="Baja",0.4,IF(K28="Media",0.6,IF(K28="Alta",0.8,IF(K28="Muy Alta",1,))))))</f>
        <v>0.8</v>
      </c>
      <c r="M28" s="359" t="s">
        <v>524</v>
      </c>
      <c r="N28" s="129" t="str">
        <f>IF(NOT(ISERROR(MATCH(M28,'Tabla Impacto'!$B$221:$B$223,0))),'Tabla Impacto'!$F$223&amp;"Por favor no seleccionar los criterios de impacto(Afectación Económica o presupuestal y Pérdida Reputacional)",M28)</f>
        <v xml:space="preserve"> El riesgo afecta la imagen de la entidad con efecto publicitario sostenido a nivel de sector administrativo, nivel departamental o municipal</v>
      </c>
      <c r="O28" s="353" t="str">
        <f>IF(OR(N28='Tabla Impacto'!$C$11,N28='Tabla Impacto'!$D$11),"Leve",IF(OR(N28='Tabla Impacto'!$C$12,N28='Tabla Impacto'!$D$12),"Menor",IF(OR(N28='Tabla Impacto'!$C$13,N28='Tabla Impacto'!$D$13),"Moderado",IF(OR(N28='Tabla Impacto'!$C$14,N28='Tabla Impacto'!$D$14),"Mayor",IF(OR(N28='Tabla Impacto'!$C$15,N28='Tabla Impacto'!$D$15),"Catastrófico","")))))</f>
        <v>Mayor</v>
      </c>
      <c r="P28" s="356">
        <f>IF(O28="","",IF(O28="Leve",0.2,IF(O28="Menor",0.4,IF(O28="Moderado",0.6,IF(O28="Mayor",0.8,IF(O28="Catastrófico",1,))))))</f>
        <v>0.8</v>
      </c>
      <c r="Q28" s="346"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0">
        <v>1</v>
      </c>
      <c r="S28" s="120" t="s">
        <v>229</v>
      </c>
      <c r="T28" s="131" t="str">
        <f t="shared" si="45"/>
        <v>Probabilidad</v>
      </c>
      <c r="U28" s="132" t="s">
        <v>14</v>
      </c>
      <c r="V28" s="132" t="s">
        <v>9</v>
      </c>
      <c r="W28" s="133" t="str">
        <f t="shared" si="46"/>
        <v>40%</v>
      </c>
      <c r="X28" s="132" t="s">
        <v>19</v>
      </c>
      <c r="Y28" s="132" t="s">
        <v>22</v>
      </c>
      <c r="Z28" s="132" t="s">
        <v>110</v>
      </c>
      <c r="AA28" s="134">
        <f t="shared" si="52"/>
        <v>0.48</v>
      </c>
      <c r="AB28" s="135" t="str">
        <f t="shared" si="47"/>
        <v>Media</v>
      </c>
      <c r="AC28" s="136">
        <f t="shared" si="48"/>
        <v>0.48</v>
      </c>
      <c r="AD28" s="135" t="str">
        <f t="shared" si="49"/>
        <v>Mayor</v>
      </c>
      <c r="AE28" s="136">
        <f t="shared" si="50"/>
        <v>0.8</v>
      </c>
      <c r="AF28" s="137" t="str">
        <f t="shared" si="51"/>
        <v>Alto</v>
      </c>
      <c r="AG28" s="138" t="s">
        <v>122</v>
      </c>
      <c r="AH28" s="154" t="s">
        <v>231</v>
      </c>
      <c r="AI28" s="155" t="s">
        <v>213</v>
      </c>
      <c r="AJ28" s="128">
        <v>44562</v>
      </c>
      <c r="AK28" s="128" t="s">
        <v>387</v>
      </c>
      <c r="AL28" s="154" t="s">
        <v>232</v>
      </c>
      <c r="AM28" s="140"/>
    </row>
    <row r="29" spans="1:39" s="165" customFormat="1" ht="151.5" customHeight="1" x14ac:dyDescent="0.35">
      <c r="A29" s="373"/>
      <c r="B29" s="375"/>
      <c r="C29" s="379"/>
      <c r="D29" s="378"/>
      <c r="E29" s="350"/>
      <c r="F29" s="350"/>
      <c r="G29" s="350"/>
      <c r="H29" s="345"/>
      <c r="I29" s="350"/>
      <c r="J29" s="352"/>
      <c r="K29" s="354"/>
      <c r="L29" s="357"/>
      <c r="M29" s="360"/>
      <c r="N29" s="143"/>
      <c r="O29" s="354"/>
      <c r="P29" s="357"/>
      <c r="Q29" s="347"/>
      <c r="R29" s="130">
        <v>2</v>
      </c>
      <c r="S29" s="120" t="s">
        <v>230</v>
      </c>
      <c r="T29" s="131" t="str">
        <f t="shared" si="45"/>
        <v>Probabilidad</v>
      </c>
      <c r="U29" s="132" t="s">
        <v>14</v>
      </c>
      <c r="V29" s="132" t="s">
        <v>9</v>
      </c>
      <c r="W29" s="133" t="str">
        <f t="shared" si="46"/>
        <v>40%</v>
      </c>
      <c r="X29" s="132" t="s">
        <v>19</v>
      </c>
      <c r="Y29" s="132" t="s">
        <v>22</v>
      </c>
      <c r="Z29" s="132" t="s">
        <v>110</v>
      </c>
      <c r="AA29" s="134">
        <f>IFERROR(IF(T29="Probabilidad",(AA28-(+AA28*W29)),IF(T29="Impacto",L29,"")),"")</f>
        <v>0.28799999999999998</v>
      </c>
      <c r="AB29" s="135" t="str">
        <f t="shared" si="47"/>
        <v>Baja</v>
      </c>
      <c r="AC29" s="136">
        <f t="shared" si="48"/>
        <v>0.28799999999999998</v>
      </c>
      <c r="AD29" s="135" t="str">
        <f t="shared" si="49"/>
        <v>Mayor</v>
      </c>
      <c r="AE29" s="136">
        <v>0.8</v>
      </c>
      <c r="AF29" s="137" t="str">
        <f t="shared" si="51"/>
        <v>Alto</v>
      </c>
      <c r="AG29" s="138" t="s">
        <v>122</v>
      </c>
      <c r="AH29" s="154" t="s">
        <v>233</v>
      </c>
      <c r="AI29" s="155" t="s">
        <v>213</v>
      </c>
      <c r="AJ29" s="128">
        <v>44562</v>
      </c>
      <c r="AK29" s="128" t="s">
        <v>387</v>
      </c>
      <c r="AL29" s="154" t="s">
        <v>232</v>
      </c>
      <c r="AM29" s="140"/>
    </row>
    <row r="30" spans="1:39" s="165" customFormat="1" ht="151.5" customHeight="1" x14ac:dyDescent="0.35">
      <c r="A30" s="373"/>
      <c r="B30" s="376"/>
      <c r="C30" s="379"/>
      <c r="D30" s="378"/>
      <c r="E30" s="350"/>
      <c r="F30" s="350"/>
      <c r="G30" s="350"/>
      <c r="H30" s="345"/>
      <c r="I30" s="350"/>
      <c r="J30" s="352"/>
      <c r="K30" s="355"/>
      <c r="L30" s="358"/>
      <c r="M30" s="360"/>
      <c r="N30" s="143"/>
      <c r="O30" s="355"/>
      <c r="P30" s="358"/>
      <c r="Q30" s="348"/>
      <c r="R30" s="130">
        <v>3</v>
      </c>
      <c r="S30" s="98"/>
      <c r="T30" s="131" t="str">
        <f t="shared" si="45"/>
        <v/>
      </c>
      <c r="U30" s="132"/>
      <c r="V30" s="132"/>
      <c r="W30" s="133"/>
      <c r="X30" s="132"/>
      <c r="Y30" s="132"/>
      <c r="Z30" s="132"/>
      <c r="AA30" s="134" t="str">
        <f>IFERROR(IF(T30="Probabilidad",(AA29-(+AA29*W30)),IF(T30="Impacto",L30,"")),"")</f>
        <v/>
      </c>
      <c r="AB30" s="135" t="str">
        <f t="shared" si="47"/>
        <v/>
      </c>
      <c r="AC30" s="136" t="str">
        <f t="shared" si="48"/>
        <v/>
      </c>
      <c r="AD30" s="135" t="str">
        <f t="shared" si="49"/>
        <v/>
      </c>
      <c r="AE30" s="136" t="str">
        <f t="shared" si="50"/>
        <v/>
      </c>
      <c r="AF30" s="137" t="str">
        <f t="shared" si="51"/>
        <v/>
      </c>
      <c r="AG30" s="138"/>
      <c r="AH30" s="119"/>
      <c r="AI30" s="127"/>
      <c r="AJ30" s="144"/>
      <c r="AK30" s="144"/>
      <c r="AL30" s="119"/>
      <c r="AM30" s="140"/>
    </row>
    <row r="31" spans="1:39" s="165" customFormat="1" ht="151.5" customHeight="1" x14ac:dyDescent="0.35">
      <c r="A31" s="373">
        <v>9</v>
      </c>
      <c r="B31" s="374" t="s">
        <v>226</v>
      </c>
      <c r="C31" s="377" t="s">
        <v>220</v>
      </c>
      <c r="D31" s="377" t="s">
        <v>221</v>
      </c>
      <c r="E31" s="349" t="s">
        <v>120</v>
      </c>
      <c r="F31" s="349" t="s">
        <v>546</v>
      </c>
      <c r="G31" s="349" t="s">
        <v>234</v>
      </c>
      <c r="H31" s="344" t="s">
        <v>235</v>
      </c>
      <c r="I31" s="349" t="s">
        <v>334</v>
      </c>
      <c r="J31" s="351">
        <v>1460</v>
      </c>
      <c r="K31" s="353" t="str">
        <f>IF(J31&lt;=0,"",IF(J31&lt;=2,"Muy Baja",IF(J31&lt;=24,"Baja",IF(J31&lt;=500,"Media",IF(J31&lt;=5000,"Alta","Muy Alta")))))</f>
        <v>Alta</v>
      </c>
      <c r="L31" s="356">
        <f>IF(K31="","",IF(K31="Muy Baja",0.2,IF(K31="Baja",0.4,IF(K31="Media",0.6,IF(K31="Alta",0.8,IF(K31="Muy Alta",1,))))))</f>
        <v>0.8</v>
      </c>
      <c r="M31" s="359" t="s">
        <v>517</v>
      </c>
      <c r="N31" s="129" t="str">
        <f>IF(NOT(ISERROR(MATCH(M31,'Tabla Impacto'!$B$221:$B$223,0))),'Tabla Impacto'!$F$223&amp;"Por favor no seleccionar los criterios de impacto(Afectación Económica o presupuestal y Pérdida Reputacional)",M31)</f>
        <v xml:space="preserve"> El riesgo afecta la imagen de la entidad con algunos usuarios de relevancia frente al logro de los objetivos</v>
      </c>
      <c r="O31" s="353" t="str">
        <f>IF(OR(N31='Tabla Impacto'!$C$11,N31='Tabla Impacto'!$D$11),"Leve",IF(OR(N31='Tabla Impacto'!$C$12,N31='Tabla Impacto'!$D$12),"Menor",IF(OR(N31='Tabla Impacto'!$C$13,N31='Tabla Impacto'!$D$13),"Moderado",IF(OR(N31='Tabla Impacto'!$C$14,N31='Tabla Impacto'!$D$14),"Mayor",IF(OR(N31='Tabla Impacto'!$C$15,N31='Tabla Impacto'!$D$15),"Catastrófico","")))))</f>
        <v>Moderado</v>
      </c>
      <c r="P31" s="356">
        <f>IF(O31="","",IF(O31="Leve",0.2,IF(O31="Menor",0.4,IF(O31="Moderado",0.6,IF(O31="Mayor",0.8,IF(O31="Catastrófico",1,))))))</f>
        <v>0.6</v>
      </c>
      <c r="Q31" s="346"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30">
        <v>1</v>
      </c>
      <c r="S31" s="98" t="s">
        <v>229</v>
      </c>
      <c r="T31" s="131" t="str">
        <f t="shared" si="45"/>
        <v>Probabilidad</v>
      </c>
      <c r="U31" s="132" t="s">
        <v>14</v>
      </c>
      <c r="V31" s="132" t="s">
        <v>9</v>
      </c>
      <c r="W31" s="133" t="str">
        <f t="shared" si="46"/>
        <v>40%</v>
      </c>
      <c r="X31" s="132" t="s">
        <v>19</v>
      </c>
      <c r="Y31" s="132" t="s">
        <v>23</v>
      </c>
      <c r="Z31" s="132" t="s">
        <v>110</v>
      </c>
      <c r="AA31" s="134">
        <f t="shared" si="52"/>
        <v>0.48</v>
      </c>
      <c r="AB31" s="135" t="str">
        <f t="shared" si="47"/>
        <v>Media</v>
      </c>
      <c r="AC31" s="136">
        <f t="shared" si="48"/>
        <v>0.48</v>
      </c>
      <c r="AD31" s="135" t="str">
        <f t="shared" si="49"/>
        <v>Moderado</v>
      </c>
      <c r="AE31" s="136">
        <f t="shared" si="50"/>
        <v>0.6</v>
      </c>
      <c r="AF31" s="137" t="str">
        <f t="shared" si="51"/>
        <v>Moderado</v>
      </c>
      <c r="AG31" s="138" t="s">
        <v>122</v>
      </c>
      <c r="AH31" s="154" t="s">
        <v>238</v>
      </c>
      <c r="AI31" s="155" t="s">
        <v>213</v>
      </c>
      <c r="AJ31" s="128">
        <v>44562</v>
      </c>
      <c r="AK31" s="128" t="s">
        <v>387</v>
      </c>
      <c r="AL31" s="154" t="s">
        <v>237</v>
      </c>
      <c r="AM31" s="127"/>
    </row>
    <row r="32" spans="1:39" s="165" customFormat="1" ht="151.5" customHeight="1" x14ac:dyDescent="0.35">
      <c r="A32" s="373"/>
      <c r="B32" s="375"/>
      <c r="C32" s="379"/>
      <c r="D32" s="378"/>
      <c r="E32" s="350"/>
      <c r="F32" s="350"/>
      <c r="G32" s="350"/>
      <c r="H32" s="345"/>
      <c r="I32" s="350"/>
      <c r="J32" s="352"/>
      <c r="K32" s="354"/>
      <c r="L32" s="357"/>
      <c r="M32" s="360"/>
      <c r="N32" s="143"/>
      <c r="O32" s="354"/>
      <c r="P32" s="357"/>
      <c r="Q32" s="347"/>
      <c r="R32" s="130">
        <v>2</v>
      </c>
      <c r="S32" s="98" t="s">
        <v>230</v>
      </c>
      <c r="T32" s="131" t="str">
        <f t="shared" si="45"/>
        <v>Probabilidad</v>
      </c>
      <c r="U32" s="132" t="s">
        <v>14</v>
      </c>
      <c r="V32" s="132" t="s">
        <v>9</v>
      </c>
      <c r="W32" s="133" t="str">
        <f t="shared" si="46"/>
        <v>40%</v>
      </c>
      <c r="X32" s="132" t="s">
        <v>19</v>
      </c>
      <c r="Y32" s="132" t="s">
        <v>23</v>
      </c>
      <c r="Z32" s="132" t="s">
        <v>111</v>
      </c>
      <c r="AA32" s="134">
        <f>IFERROR(IF(T32="Probabilidad",(AA31-(+AA31*W32)),IF(T32="Impacto",L32,"")),"")</f>
        <v>0.28799999999999998</v>
      </c>
      <c r="AB32" s="135" t="str">
        <f t="shared" si="47"/>
        <v>Baja</v>
      </c>
      <c r="AC32" s="136">
        <f t="shared" si="48"/>
        <v>0.28799999999999998</v>
      </c>
      <c r="AD32" s="135" t="str">
        <f t="shared" si="49"/>
        <v>Moderado</v>
      </c>
      <c r="AE32" s="136">
        <v>0.6</v>
      </c>
      <c r="AF32" s="137" t="str">
        <f t="shared" si="51"/>
        <v>Moderado</v>
      </c>
      <c r="AG32" s="138" t="s">
        <v>122</v>
      </c>
      <c r="AH32" s="154" t="s">
        <v>238</v>
      </c>
      <c r="AI32" s="155" t="s">
        <v>213</v>
      </c>
      <c r="AJ32" s="128">
        <v>44562</v>
      </c>
      <c r="AK32" s="128" t="s">
        <v>387</v>
      </c>
      <c r="AL32" s="154" t="s">
        <v>237</v>
      </c>
      <c r="AM32" s="127"/>
    </row>
    <row r="33" spans="1:39" s="165" customFormat="1" ht="151.5" customHeight="1" x14ac:dyDescent="0.35">
      <c r="A33" s="373"/>
      <c r="B33" s="376"/>
      <c r="C33" s="379"/>
      <c r="D33" s="378"/>
      <c r="E33" s="350"/>
      <c r="F33" s="350"/>
      <c r="G33" s="350"/>
      <c r="H33" s="345"/>
      <c r="I33" s="350"/>
      <c r="J33" s="352"/>
      <c r="K33" s="355"/>
      <c r="L33" s="358"/>
      <c r="M33" s="360"/>
      <c r="N33" s="143"/>
      <c r="O33" s="355"/>
      <c r="P33" s="358"/>
      <c r="Q33" s="348"/>
      <c r="R33" s="130">
        <v>3</v>
      </c>
      <c r="S33" s="98" t="s">
        <v>236</v>
      </c>
      <c r="T33" s="131" t="str">
        <f t="shared" si="45"/>
        <v>Probabilidad</v>
      </c>
      <c r="U33" s="132" t="s">
        <v>15</v>
      </c>
      <c r="V33" s="132" t="s">
        <v>9</v>
      </c>
      <c r="W33" s="133" t="str">
        <f t="shared" si="46"/>
        <v>30%</v>
      </c>
      <c r="X33" s="132" t="s">
        <v>19</v>
      </c>
      <c r="Y33" s="132" t="s">
        <v>22</v>
      </c>
      <c r="Z33" s="132" t="s">
        <v>110</v>
      </c>
      <c r="AA33" s="134">
        <f>IFERROR(IF(T33="Probabilidad",(AA32-(+AA32*W33)),IF(T33="Impacto",L33,"")),"")</f>
        <v>0.2016</v>
      </c>
      <c r="AB33" s="135" t="str">
        <f t="shared" si="47"/>
        <v>Baja</v>
      </c>
      <c r="AC33" s="136">
        <f t="shared" si="48"/>
        <v>0.2016</v>
      </c>
      <c r="AD33" s="135" t="str">
        <f t="shared" si="49"/>
        <v>Moderado</v>
      </c>
      <c r="AE33" s="136">
        <v>0.6</v>
      </c>
      <c r="AF33" s="137" t="str">
        <f t="shared" si="51"/>
        <v>Moderado</v>
      </c>
      <c r="AG33" s="138" t="s">
        <v>122</v>
      </c>
      <c r="AH33" s="154" t="s">
        <v>238</v>
      </c>
      <c r="AI33" s="155" t="s">
        <v>213</v>
      </c>
      <c r="AJ33" s="128">
        <v>44562</v>
      </c>
      <c r="AK33" s="128" t="s">
        <v>387</v>
      </c>
      <c r="AL33" s="154" t="s">
        <v>237</v>
      </c>
      <c r="AM33" s="127"/>
    </row>
    <row r="34" spans="1:39" s="165" customFormat="1" ht="285" customHeight="1" x14ac:dyDescent="0.35">
      <c r="A34" s="373">
        <v>10</v>
      </c>
      <c r="B34" s="374" t="s">
        <v>239</v>
      </c>
      <c r="C34" s="377" t="s">
        <v>366</v>
      </c>
      <c r="D34" s="377" t="s">
        <v>397</v>
      </c>
      <c r="E34" s="349" t="s">
        <v>118</v>
      </c>
      <c r="F34" s="402" t="s">
        <v>375</v>
      </c>
      <c r="G34" s="402" t="s">
        <v>376</v>
      </c>
      <c r="H34" s="344" t="s">
        <v>584</v>
      </c>
      <c r="I34" s="349" t="s">
        <v>115</v>
      </c>
      <c r="J34" s="351">
        <v>20</v>
      </c>
      <c r="K34" s="353" t="str">
        <f>IF(J34&lt;=0,"",IF(J34&lt;=2,"Muy Baja",IF(J34&lt;=24,"Baja",IF(J34&lt;=500,"Media",IF(J34&lt;=5000,"Alta","Muy Alta")))))</f>
        <v>Baja</v>
      </c>
      <c r="L34" s="356">
        <f>IF(K34="","",IF(K34="Muy Baja",0.2,IF(K34="Baja",0.4,IF(K34="Media",0.6,IF(K34="Alta",0.8,IF(K34="Muy Alta",1,))))))</f>
        <v>0.4</v>
      </c>
      <c r="M34" s="359" t="s">
        <v>524</v>
      </c>
      <c r="N34" s="129" t="str">
        <f>IF(NOT(ISERROR(MATCH(M34,'Tabla Impacto'!$B$221:$B$223,0))),'Tabla Impacto'!$F$223&amp;"Por favor no seleccionar los criterios de impacto(Afectación Económica o presupuestal y Pérdida Reputacional)",M34)</f>
        <v xml:space="preserve"> El riesgo afecta la imagen de la entidad con efecto publicitario sostenido a nivel de sector administrativo, nivel departamental o municipal</v>
      </c>
      <c r="O34" s="353" t="str">
        <f>IF(OR(N34='Tabla Impacto'!$C$11,N34='Tabla Impacto'!$D$11),"Leve",IF(OR(N34='Tabla Impacto'!$C$12,N34='Tabla Impacto'!$D$12),"Menor",IF(OR(N34='Tabla Impacto'!$C$13,N34='Tabla Impacto'!$D$13),"Moderado",IF(OR(N34='Tabla Impacto'!$C$14,N34='Tabla Impacto'!$D$14),"Mayor",IF(OR(N34='Tabla Impacto'!$C$15,N34='Tabla Impacto'!$D$15),"Catastrófico","")))))</f>
        <v>Mayor</v>
      </c>
      <c r="P34" s="356">
        <f>IF(O34="","",IF(O34="Leve",0.2,IF(O34="Menor",0.4,IF(O34="Moderado",0.6,IF(O34="Mayor",0.8,IF(O34="Catastrófico",1,))))))</f>
        <v>0.8</v>
      </c>
      <c r="Q34" s="346"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30">
        <v>1</v>
      </c>
      <c r="S34" s="98" t="s">
        <v>377</v>
      </c>
      <c r="T34" s="131" t="str">
        <f t="shared" si="45"/>
        <v>Probabilidad</v>
      </c>
      <c r="U34" s="132" t="s">
        <v>14</v>
      </c>
      <c r="V34" s="132" t="s">
        <v>9</v>
      </c>
      <c r="W34" s="133" t="str">
        <f t="shared" si="46"/>
        <v>40%</v>
      </c>
      <c r="X34" s="132" t="s">
        <v>19</v>
      </c>
      <c r="Y34" s="132" t="s">
        <v>22</v>
      </c>
      <c r="Z34" s="132" t="s">
        <v>110</v>
      </c>
      <c r="AA34" s="134">
        <f t="shared" si="52"/>
        <v>0.24</v>
      </c>
      <c r="AB34" s="135" t="str">
        <f t="shared" si="47"/>
        <v>Baja</v>
      </c>
      <c r="AC34" s="136">
        <f t="shared" si="48"/>
        <v>0.24</v>
      </c>
      <c r="AD34" s="135" t="str">
        <f t="shared" si="49"/>
        <v>Mayor</v>
      </c>
      <c r="AE34" s="136">
        <f t="shared" si="50"/>
        <v>0.8</v>
      </c>
      <c r="AF34" s="137" t="str">
        <f t="shared" si="51"/>
        <v>Alto</v>
      </c>
      <c r="AG34" s="138" t="s">
        <v>122</v>
      </c>
      <c r="AH34" s="154" t="s">
        <v>378</v>
      </c>
      <c r="AI34" s="121" t="s">
        <v>241</v>
      </c>
      <c r="AJ34" s="128">
        <v>44562</v>
      </c>
      <c r="AK34" s="128" t="s">
        <v>387</v>
      </c>
      <c r="AL34" s="119" t="s">
        <v>379</v>
      </c>
      <c r="AM34" s="127"/>
    </row>
    <row r="35" spans="1:39" s="165" customFormat="1" ht="151.5" customHeight="1" x14ac:dyDescent="0.35">
      <c r="A35" s="373"/>
      <c r="B35" s="375"/>
      <c r="C35" s="378"/>
      <c r="D35" s="378"/>
      <c r="E35" s="350"/>
      <c r="F35" s="350"/>
      <c r="G35" s="350"/>
      <c r="H35" s="345"/>
      <c r="I35" s="350"/>
      <c r="J35" s="352"/>
      <c r="K35" s="354"/>
      <c r="L35" s="357"/>
      <c r="M35" s="360"/>
      <c r="N35" s="143"/>
      <c r="O35" s="354"/>
      <c r="P35" s="357"/>
      <c r="Q35" s="347"/>
      <c r="R35" s="130">
        <v>2</v>
      </c>
      <c r="S35" s="98"/>
      <c r="T35" s="131" t="str">
        <f t="shared" si="45"/>
        <v/>
      </c>
      <c r="U35" s="132"/>
      <c r="V35" s="132"/>
      <c r="W35" s="133"/>
      <c r="X35" s="132"/>
      <c r="Y35" s="132"/>
      <c r="Z35" s="132"/>
      <c r="AA35" s="134" t="str">
        <f>IFERROR(IF(T35="Probabilidad",(AA34-(+AA34*W35)),IF(T35="Impacto",L35,"")),"")</f>
        <v/>
      </c>
      <c r="AB35" s="135" t="str">
        <f t="shared" si="47"/>
        <v/>
      </c>
      <c r="AC35" s="136" t="str">
        <f t="shared" si="48"/>
        <v/>
      </c>
      <c r="AD35" s="135" t="str">
        <f t="shared" si="49"/>
        <v/>
      </c>
      <c r="AE35" s="136" t="str">
        <f t="shared" si="50"/>
        <v/>
      </c>
      <c r="AF35" s="137" t="str">
        <f t="shared" si="51"/>
        <v/>
      </c>
      <c r="AG35" s="138"/>
      <c r="AH35" s="119"/>
      <c r="AI35" s="127"/>
      <c r="AJ35" s="144"/>
      <c r="AK35" s="144"/>
      <c r="AL35" s="119"/>
      <c r="AM35" s="127"/>
    </row>
    <row r="36" spans="1:39" s="165" customFormat="1" ht="151.5" customHeight="1" x14ac:dyDescent="0.35">
      <c r="A36" s="373"/>
      <c r="B36" s="376"/>
      <c r="C36" s="378"/>
      <c r="D36" s="378"/>
      <c r="E36" s="350"/>
      <c r="F36" s="350"/>
      <c r="G36" s="350"/>
      <c r="H36" s="345"/>
      <c r="I36" s="350"/>
      <c r="J36" s="352"/>
      <c r="K36" s="355"/>
      <c r="L36" s="358"/>
      <c r="M36" s="360"/>
      <c r="N36" s="143"/>
      <c r="O36" s="355"/>
      <c r="P36" s="358"/>
      <c r="Q36" s="348"/>
      <c r="R36" s="130">
        <v>3</v>
      </c>
      <c r="S36" s="98"/>
      <c r="T36" s="131" t="str">
        <f t="shared" si="45"/>
        <v/>
      </c>
      <c r="U36" s="132"/>
      <c r="V36" s="132"/>
      <c r="W36" s="133"/>
      <c r="X36" s="132"/>
      <c r="Y36" s="132"/>
      <c r="Z36" s="132"/>
      <c r="AA36" s="134" t="str">
        <f>IFERROR(IF(T36="Probabilidad",(AA35-(+AA35*W36)),IF(T36="Impacto",L36,"")),"")</f>
        <v/>
      </c>
      <c r="AB36" s="135" t="str">
        <f t="shared" si="47"/>
        <v/>
      </c>
      <c r="AC36" s="136" t="str">
        <f t="shared" si="48"/>
        <v/>
      </c>
      <c r="AD36" s="135" t="str">
        <f t="shared" si="49"/>
        <v/>
      </c>
      <c r="AE36" s="136" t="str">
        <f t="shared" si="50"/>
        <v/>
      </c>
      <c r="AF36" s="137" t="str">
        <f t="shared" si="51"/>
        <v/>
      </c>
      <c r="AG36" s="138"/>
      <c r="AH36" s="119"/>
      <c r="AI36" s="127"/>
      <c r="AJ36" s="144"/>
      <c r="AK36" s="144"/>
      <c r="AL36" s="119"/>
      <c r="AM36" s="127"/>
    </row>
    <row r="37" spans="1:39" s="165" customFormat="1" ht="176.25" customHeight="1" x14ac:dyDescent="0.35">
      <c r="A37" s="373">
        <v>11</v>
      </c>
      <c r="B37" s="374" t="s">
        <v>239</v>
      </c>
      <c r="C37" s="377" t="s">
        <v>366</v>
      </c>
      <c r="D37" s="377" t="s">
        <v>397</v>
      </c>
      <c r="E37" s="349" t="s">
        <v>120</v>
      </c>
      <c r="F37" s="402" t="s">
        <v>380</v>
      </c>
      <c r="G37" s="402" t="s">
        <v>376</v>
      </c>
      <c r="H37" s="344" t="s">
        <v>240</v>
      </c>
      <c r="I37" s="349" t="s">
        <v>115</v>
      </c>
      <c r="J37" s="351">
        <v>20</v>
      </c>
      <c r="K37" s="353" t="str">
        <f>IF(J37&lt;=0,"",IF(J37&lt;=2,"Muy Baja",IF(J37&lt;=24,"Baja",IF(J37&lt;=500,"Media",IF(J37&lt;=5000,"Alta","Muy Alta")))))</f>
        <v>Baja</v>
      </c>
      <c r="L37" s="356">
        <f>IF(K37="","",IF(K37="Muy Baja",0.2,IF(K37="Baja",0.4,IF(K37="Media",0.6,IF(K37="Alta",0.8,IF(K37="Muy Alta",1,))))))</f>
        <v>0.4</v>
      </c>
      <c r="M37" s="359" t="s">
        <v>517</v>
      </c>
      <c r="N37" s="129"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53" t="str">
        <f>IF(OR(N37='Tabla Impacto'!$C$11,N37='Tabla Impacto'!$D$11),"Leve",IF(OR(N37='Tabla Impacto'!$C$12,N37='Tabla Impacto'!$D$12),"Menor",IF(OR(N37='Tabla Impacto'!$C$13,N37='Tabla Impacto'!$D$13),"Moderado",IF(OR(N37='Tabla Impacto'!$C$14,N37='Tabla Impacto'!$D$14),"Mayor",IF(OR(N37='Tabla Impacto'!$C$15,N37='Tabla Impacto'!$D$15),"Catastrófico","")))))</f>
        <v>Moderado</v>
      </c>
      <c r="P37" s="356">
        <f>IF(O37="","",IF(O37="Leve",0.2,IF(O37="Menor",0.4,IF(O37="Moderado",0.6,IF(O37="Mayor",0.8,IF(O37="Catastrófico",1,))))))</f>
        <v>0.6</v>
      </c>
      <c r="Q37" s="346"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30">
        <v>1</v>
      </c>
      <c r="S37" s="98" t="s">
        <v>585</v>
      </c>
      <c r="T37" s="131" t="str">
        <f t="shared" si="45"/>
        <v>Probabilidad</v>
      </c>
      <c r="U37" s="132" t="s">
        <v>14</v>
      </c>
      <c r="V37" s="132" t="s">
        <v>9</v>
      </c>
      <c r="W37" s="133" t="str">
        <f t="shared" si="46"/>
        <v>40%</v>
      </c>
      <c r="X37" s="132" t="s">
        <v>19</v>
      </c>
      <c r="Y37" s="132" t="s">
        <v>22</v>
      </c>
      <c r="Z37" s="132" t="s">
        <v>110</v>
      </c>
      <c r="AA37" s="134">
        <f t="shared" si="52"/>
        <v>0.24</v>
      </c>
      <c r="AB37" s="135" t="str">
        <f t="shared" si="47"/>
        <v>Baja</v>
      </c>
      <c r="AC37" s="136">
        <f t="shared" si="48"/>
        <v>0.24</v>
      </c>
      <c r="AD37" s="135" t="str">
        <f t="shared" si="49"/>
        <v>Moderado</v>
      </c>
      <c r="AE37" s="136">
        <f t="shared" si="50"/>
        <v>0.6</v>
      </c>
      <c r="AF37" s="137" t="str">
        <f t="shared" si="51"/>
        <v>Moderado</v>
      </c>
      <c r="AG37" s="138" t="s">
        <v>122</v>
      </c>
      <c r="AH37" s="119" t="s">
        <v>381</v>
      </c>
      <c r="AI37" s="127" t="s">
        <v>241</v>
      </c>
      <c r="AJ37" s="128">
        <v>44562</v>
      </c>
      <c r="AK37" s="128" t="s">
        <v>387</v>
      </c>
      <c r="AL37" s="119" t="s">
        <v>379</v>
      </c>
      <c r="AM37" s="140"/>
    </row>
    <row r="38" spans="1:39" s="165" customFormat="1" ht="151.5" customHeight="1" x14ac:dyDescent="0.35">
      <c r="A38" s="373"/>
      <c r="B38" s="375"/>
      <c r="C38" s="378"/>
      <c r="D38" s="378"/>
      <c r="E38" s="350"/>
      <c r="F38" s="350"/>
      <c r="G38" s="350"/>
      <c r="H38" s="345"/>
      <c r="I38" s="350"/>
      <c r="J38" s="352"/>
      <c r="K38" s="354"/>
      <c r="L38" s="357"/>
      <c r="M38" s="360"/>
      <c r="N38" s="143"/>
      <c r="O38" s="354"/>
      <c r="P38" s="357"/>
      <c r="Q38" s="347"/>
      <c r="R38" s="130">
        <v>2</v>
      </c>
      <c r="S38" s="98"/>
      <c r="T38" s="131" t="str">
        <f t="shared" si="45"/>
        <v/>
      </c>
      <c r="U38" s="132"/>
      <c r="V38" s="132"/>
      <c r="W38" s="133"/>
      <c r="X38" s="132"/>
      <c r="Y38" s="132"/>
      <c r="Z38" s="132"/>
      <c r="AA38" s="134" t="str">
        <f>IFERROR(IF(T38="Probabilidad",(AA37-(+AA37*W38)),IF(T38="Impacto",L38,"")),"")</f>
        <v/>
      </c>
      <c r="AB38" s="135" t="str">
        <f t="shared" si="47"/>
        <v/>
      </c>
      <c r="AC38" s="136" t="str">
        <f t="shared" si="48"/>
        <v/>
      </c>
      <c r="AD38" s="135" t="str">
        <f t="shared" si="49"/>
        <v/>
      </c>
      <c r="AE38" s="136" t="str">
        <f t="shared" si="50"/>
        <v/>
      </c>
      <c r="AF38" s="137" t="str">
        <f t="shared" si="51"/>
        <v/>
      </c>
      <c r="AG38" s="138"/>
      <c r="AH38" s="119"/>
      <c r="AI38" s="127"/>
      <c r="AJ38" s="144"/>
      <c r="AK38" s="144"/>
      <c r="AL38" s="119"/>
      <c r="AM38" s="140"/>
    </row>
    <row r="39" spans="1:39" s="165" customFormat="1" ht="151.5" customHeight="1" x14ac:dyDescent="0.35">
      <c r="A39" s="403"/>
      <c r="B39" s="376"/>
      <c r="C39" s="378"/>
      <c r="D39" s="378"/>
      <c r="E39" s="350"/>
      <c r="F39" s="350"/>
      <c r="G39" s="350"/>
      <c r="H39" s="345"/>
      <c r="I39" s="350"/>
      <c r="J39" s="352"/>
      <c r="K39" s="355"/>
      <c r="L39" s="358"/>
      <c r="M39" s="360"/>
      <c r="N39" s="143"/>
      <c r="O39" s="355"/>
      <c r="P39" s="358"/>
      <c r="Q39" s="348"/>
      <c r="R39" s="130">
        <v>3</v>
      </c>
      <c r="S39" s="98"/>
      <c r="T39" s="131" t="str">
        <f t="shared" si="45"/>
        <v/>
      </c>
      <c r="U39" s="132"/>
      <c r="V39" s="132"/>
      <c r="W39" s="133"/>
      <c r="X39" s="132"/>
      <c r="Y39" s="132"/>
      <c r="Z39" s="132"/>
      <c r="AA39" s="134" t="str">
        <f>IFERROR(IF(T39="Probabilidad",(AA38-(+AA38*W39)),IF(T39="Impacto",L39,"")),"")</f>
        <v/>
      </c>
      <c r="AB39" s="135" t="str">
        <f t="shared" si="47"/>
        <v/>
      </c>
      <c r="AC39" s="136" t="str">
        <f t="shared" si="48"/>
        <v/>
      </c>
      <c r="AD39" s="135" t="str">
        <f t="shared" si="49"/>
        <v/>
      </c>
      <c r="AE39" s="136" t="str">
        <f t="shared" si="50"/>
        <v/>
      </c>
      <c r="AF39" s="137" t="str">
        <f t="shared" si="51"/>
        <v/>
      </c>
      <c r="AG39" s="138"/>
      <c r="AH39" s="119"/>
      <c r="AI39" s="127"/>
      <c r="AJ39" s="144"/>
      <c r="AK39" s="144"/>
      <c r="AL39" s="119"/>
      <c r="AM39" s="140"/>
    </row>
    <row r="40" spans="1:39" s="165" customFormat="1" ht="183.75" customHeight="1" x14ac:dyDescent="0.35">
      <c r="A40" s="372">
        <v>12</v>
      </c>
      <c r="B40" s="374" t="s">
        <v>239</v>
      </c>
      <c r="C40" s="377" t="s">
        <v>366</v>
      </c>
      <c r="D40" s="377" t="s">
        <v>397</v>
      </c>
      <c r="E40" s="349" t="s">
        <v>120</v>
      </c>
      <c r="F40" s="350" t="s">
        <v>460</v>
      </c>
      <c r="G40" s="350" t="s">
        <v>461</v>
      </c>
      <c r="H40" s="344" t="s">
        <v>462</v>
      </c>
      <c r="I40" s="349" t="s">
        <v>334</v>
      </c>
      <c r="J40" s="351">
        <v>2</v>
      </c>
      <c r="K40" s="353" t="str">
        <f>IF(J40&lt;=0,"",IF(J40&lt;=2,"Muy Baja",IF(J40&lt;=24,"Baja",IF(J40&lt;=500,"Media",IF(J40&lt;=5000,"Alta","Muy Alta")))))</f>
        <v>Muy Baja</v>
      </c>
      <c r="L40" s="356">
        <f>IF(K40="","",IF(K40="Muy Baja",0.2,IF(K40="Baja",0.4,IF(K40="Media",0.6,IF(K40="Alta",0.8,IF(K40="Muy Alta",1,))))))</f>
        <v>0.2</v>
      </c>
      <c r="M40" s="359" t="s">
        <v>517</v>
      </c>
      <c r="N40" s="129"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53" t="str">
        <f>IF(OR(N40='Tabla Impacto'!$C$11,N40='Tabla Impacto'!$D$11),"Leve",IF(OR(N40='Tabla Impacto'!$C$12,N40='Tabla Impacto'!$D$12),"Menor",IF(OR(N40='Tabla Impacto'!$C$13,N40='Tabla Impacto'!$D$13),"Moderado",IF(OR(N40='Tabla Impacto'!$C$14,N40='Tabla Impacto'!$D$14),"Mayor",IF(OR(N40='Tabla Impacto'!$C$15,N40='Tabla Impacto'!$D$15),"Catastrófico","")))))</f>
        <v>Moderado</v>
      </c>
      <c r="P40" s="356">
        <f>IF(O40="","",IF(O40="Leve",0.2,IF(O40="Menor",0.4,IF(O40="Moderado",0.6,IF(O40="Mayor",0.8,IF(O40="Catastrófico",1,))))))</f>
        <v>0.6</v>
      </c>
      <c r="Q40" s="346"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30">
        <v>1</v>
      </c>
      <c r="S40" s="98" t="s">
        <v>382</v>
      </c>
      <c r="T40" s="131" t="str">
        <f t="shared" si="45"/>
        <v>Probabilidad</v>
      </c>
      <c r="U40" s="132" t="s">
        <v>14</v>
      </c>
      <c r="V40" s="132" t="s">
        <v>9</v>
      </c>
      <c r="W40" s="133" t="str">
        <f t="shared" si="46"/>
        <v>40%</v>
      </c>
      <c r="X40" s="132" t="s">
        <v>19</v>
      </c>
      <c r="Y40" s="132" t="s">
        <v>22</v>
      </c>
      <c r="Z40" s="132" t="s">
        <v>110</v>
      </c>
      <c r="AA40" s="134">
        <f t="shared" si="52"/>
        <v>0.12</v>
      </c>
      <c r="AB40" s="135" t="str">
        <f t="shared" si="47"/>
        <v>Muy Baja</v>
      </c>
      <c r="AC40" s="136">
        <f t="shared" si="48"/>
        <v>0.12</v>
      </c>
      <c r="AD40" s="135" t="str">
        <f t="shared" si="49"/>
        <v>Moderado</v>
      </c>
      <c r="AE40" s="136">
        <f t="shared" si="50"/>
        <v>0.6</v>
      </c>
      <c r="AF40" s="137" t="str">
        <f t="shared" si="51"/>
        <v>Moderado</v>
      </c>
      <c r="AG40" s="138" t="s">
        <v>122</v>
      </c>
      <c r="AH40" s="119" t="s">
        <v>383</v>
      </c>
      <c r="AI40" s="127" t="s">
        <v>241</v>
      </c>
      <c r="AJ40" s="128">
        <v>44562</v>
      </c>
      <c r="AK40" s="128" t="s">
        <v>387</v>
      </c>
      <c r="AL40" s="119" t="s">
        <v>384</v>
      </c>
      <c r="AM40" s="140"/>
    </row>
    <row r="41" spans="1:39" s="165" customFormat="1" ht="151.5" customHeight="1" x14ac:dyDescent="0.35">
      <c r="A41" s="373"/>
      <c r="B41" s="375"/>
      <c r="C41" s="378"/>
      <c r="D41" s="378"/>
      <c r="E41" s="350"/>
      <c r="F41" s="350" t="s">
        <v>242</v>
      </c>
      <c r="G41" s="350" t="s">
        <v>243</v>
      </c>
      <c r="H41" s="345"/>
      <c r="I41" s="350"/>
      <c r="J41" s="352"/>
      <c r="K41" s="354"/>
      <c r="L41" s="357"/>
      <c r="M41" s="360"/>
      <c r="N41" s="143"/>
      <c r="O41" s="354"/>
      <c r="P41" s="357"/>
      <c r="Q41" s="347"/>
      <c r="R41" s="130">
        <v>2</v>
      </c>
      <c r="S41" s="98"/>
      <c r="T41" s="131" t="str">
        <f t="shared" si="45"/>
        <v/>
      </c>
      <c r="U41" s="132"/>
      <c r="V41" s="132"/>
      <c r="W41" s="133"/>
      <c r="X41" s="132"/>
      <c r="Y41" s="132"/>
      <c r="Z41" s="132"/>
      <c r="AA41" s="134"/>
      <c r="AB41" s="135"/>
      <c r="AC41" s="136"/>
      <c r="AD41" s="135"/>
      <c r="AE41" s="136"/>
      <c r="AF41" s="137"/>
      <c r="AG41" s="138"/>
      <c r="AH41" s="119"/>
      <c r="AI41" s="127"/>
      <c r="AJ41" s="144"/>
      <c r="AK41" s="144"/>
      <c r="AL41" s="119"/>
      <c r="AM41" s="140"/>
    </row>
    <row r="42" spans="1:39" s="165" customFormat="1" ht="151.5" customHeight="1" x14ac:dyDescent="0.35">
      <c r="A42" s="373"/>
      <c r="B42" s="376"/>
      <c r="C42" s="378"/>
      <c r="D42" s="378"/>
      <c r="E42" s="350"/>
      <c r="F42" s="350" t="s">
        <v>242</v>
      </c>
      <c r="G42" s="350" t="s">
        <v>243</v>
      </c>
      <c r="H42" s="345"/>
      <c r="I42" s="350"/>
      <c r="J42" s="352"/>
      <c r="K42" s="355"/>
      <c r="L42" s="358"/>
      <c r="M42" s="360"/>
      <c r="N42" s="143"/>
      <c r="O42" s="355"/>
      <c r="P42" s="358"/>
      <c r="Q42" s="348"/>
      <c r="R42" s="130">
        <v>3</v>
      </c>
      <c r="S42" s="98"/>
      <c r="T42" s="131" t="str">
        <f t="shared" si="45"/>
        <v/>
      </c>
      <c r="U42" s="132"/>
      <c r="V42" s="132"/>
      <c r="W42" s="133"/>
      <c r="X42" s="132"/>
      <c r="Y42" s="132"/>
      <c r="Z42" s="132"/>
      <c r="AA42" s="134"/>
      <c r="AB42" s="135"/>
      <c r="AC42" s="136"/>
      <c r="AD42" s="135"/>
      <c r="AE42" s="136"/>
      <c r="AF42" s="137"/>
      <c r="AG42" s="138"/>
      <c r="AH42" s="119"/>
      <c r="AI42" s="127"/>
      <c r="AJ42" s="144"/>
      <c r="AK42" s="144"/>
      <c r="AL42" s="119"/>
      <c r="AM42" s="140"/>
    </row>
    <row r="43" spans="1:39" s="165" customFormat="1" ht="151.5" customHeight="1" x14ac:dyDescent="0.35">
      <c r="A43" s="373">
        <v>13</v>
      </c>
      <c r="B43" s="374" t="s">
        <v>244</v>
      </c>
      <c r="C43" s="377" t="s">
        <v>399</v>
      </c>
      <c r="D43" s="377" t="s">
        <v>251</v>
      </c>
      <c r="E43" s="349" t="s">
        <v>120</v>
      </c>
      <c r="F43" s="402" t="s">
        <v>245</v>
      </c>
      <c r="G43" s="402" t="s">
        <v>246</v>
      </c>
      <c r="H43" s="344" t="s">
        <v>398</v>
      </c>
      <c r="I43" s="349" t="s">
        <v>334</v>
      </c>
      <c r="J43" s="351">
        <v>12</v>
      </c>
      <c r="K43" s="353" t="str">
        <f>IF(J43&lt;=0,"",IF(J43&lt;=2,"Muy Baja",IF(J43&lt;=24,"Baja",IF(J43&lt;=500,"Media",IF(J43&lt;=5000,"Alta","Muy Alta")))))</f>
        <v>Baja</v>
      </c>
      <c r="L43" s="356">
        <f>IF(K43="","",IF(K43="Muy Baja",0.2,IF(K43="Baja",0.4,IF(K43="Media",0.6,IF(K43="Alta",0.8,IF(K43="Muy Alta",1,))))))</f>
        <v>0.4</v>
      </c>
      <c r="M43" s="359" t="s">
        <v>517</v>
      </c>
      <c r="N43" s="129"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53" t="str">
        <f>IF(OR(N43='Tabla Impacto'!$C$11,N43='Tabla Impacto'!$D$11),"Leve",IF(OR(N43='Tabla Impacto'!$C$12,N43='Tabla Impacto'!$D$12),"Menor",IF(OR(N43='Tabla Impacto'!$C$13,N43='Tabla Impacto'!$D$13),"Moderado",IF(OR(N43='Tabla Impacto'!$C$14,N43='Tabla Impacto'!$D$14),"Mayor",IF(OR(N43='Tabla Impacto'!$C$15,N43='Tabla Impacto'!$D$15),"Catastrófico","")))))</f>
        <v>Moderado</v>
      </c>
      <c r="P43" s="356">
        <f>IF(O43="","",IF(O43="Leve",0.2,IF(O43="Menor",0.4,IF(O43="Moderado",0.6,IF(O43="Mayor",0.8,IF(O43="Catastrófico",1,))))))</f>
        <v>0.6</v>
      </c>
      <c r="Q43" s="346"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30">
        <v>1</v>
      </c>
      <c r="S43" s="98" t="s">
        <v>247</v>
      </c>
      <c r="T43" s="131" t="str">
        <f t="shared" si="45"/>
        <v>Probabilidad</v>
      </c>
      <c r="U43" s="132" t="s">
        <v>14</v>
      </c>
      <c r="V43" s="132" t="s">
        <v>9</v>
      </c>
      <c r="W43" s="133" t="str">
        <f t="shared" si="46"/>
        <v>40%</v>
      </c>
      <c r="X43" s="132" t="s">
        <v>19</v>
      </c>
      <c r="Y43" s="132" t="s">
        <v>22</v>
      </c>
      <c r="Z43" s="132" t="s">
        <v>110</v>
      </c>
      <c r="AA43" s="134">
        <f t="shared" si="52"/>
        <v>0.24</v>
      </c>
      <c r="AB43" s="135" t="str">
        <f t="shared" si="47"/>
        <v>Baja</v>
      </c>
      <c r="AC43" s="136">
        <f t="shared" si="48"/>
        <v>0.24</v>
      </c>
      <c r="AD43" s="135" t="str">
        <f t="shared" si="49"/>
        <v>Moderado</v>
      </c>
      <c r="AE43" s="136">
        <f t="shared" si="50"/>
        <v>0.6</v>
      </c>
      <c r="AF43" s="137" t="str">
        <f t="shared" si="51"/>
        <v>Moderado</v>
      </c>
      <c r="AG43" s="138" t="s">
        <v>122</v>
      </c>
      <c r="AH43" s="119" t="s">
        <v>248</v>
      </c>
      <c r="AI43" s="127" t="s">
        <v>204</v>
      </c>
      <c r="AJ43" s="144">
        <v>44562</v>
      </c>
      <c r="AK43" s="144">
        <v>44926</v>
      </c>
      <c r="AL43" s="119" t="s">
        <v>249</v>
      </c>
      <c r="AM43" s="140"/>
    </row>
    <row r="44" spans="1:39" s="165" customFormat="1" ht="151.5" customHeight="1" x14ac:dyDescent="0.35">
      <c r="A44" s="373"/>
      <c r="B44" s="375"/>
      <c r="C44" s="378"/>
      <c r="D44" s="379"/>
      <c r="E44" s="350"/>
      <c r="F44" s="350"/>
      <c r="G44" s="350"/>
      <c r="H44" s="345"/>
      <c r="I44" s="350"/>
      <c r="J44" s="352"/>
      <c r="K44" s="354"/>
      <c r="L44" s="357"/>
      <c r="M44" s="360"/>
      <c r="N44" s="143"/>
      <c r="O44" s="354"/>
      <c r="P44" s="357"/>
      <c r="Q44" s="347"/>
      <c r="R44" s="130">
        <v>2</v>
      </c>
      <c r="S44" s="98" t="s">
        <v>206</v>
      </c>
      <c r="T44" s="131" t="str">
        <f t="shared" si="45"/>
        <v>Probabilidad</v>
      </c>
      <c r="U44" s="132" t="s">
        <v>14</v>
      </c>
      <c r="V44" s="132" t="s">
        <v>9</v>
      </c>
      <c r="W44" s="133" t="str">
        <f t="shared" si="46"/>
        <v>40%</v>
      </c>
      <c r="X44" s="132" t="s">
        <v>19</v>
      </c>
      <c r="Y44" s="132" t="s">
        <v>22</v>
      </c>
      <c r="Z44" s="132" t="s">
        <v>110</v>
      </c>
      <c r="AA44" s="156">
        <f>IFERROR(IF(T44="Probabilidad",(AA43-(+AA43*W44)),IF(T44="Impacto",L44,"")),"")</f>
        <v>0.14399999999999999</v>
      </c>
      <c r="AB44" s="135" t="str">
        <f t="shared" si="47"/>
        <v>Muy Baja</v>
      </c>
      <c r="AC44" s="136">
        <f t="shared" si="48"/>
        <v>0.14399999999999999</v>
      </c>
      <c r="AD44" s="135" t="str">
        <f t="shared" si="49"/>
        <v>Moderado</v>
      </c>
      <c r="AE44" s="136">
        <v>0.6</v>
      </c>
      <c r="AF44" s="137" t="str">
        <f t="shared" si="51"/>
        <v>Moderado</v>
      </c>
      <c r="AG44" s="138" t="s">
        <v>122</v>
      </c>
      <c r="AH44" s="119" t="s">
        <v>250</v>
      </c>
      <c r="AI44" s="127" t="s">
        <v>204</v>
      </c>
      <c r="AJ44" s="144">
        <v>44562</v>
      </c>
      <c r="AK44" s="144">
        <v>44926</v>
      </c>
      <c r="AL44" s="119" t="s">
        <v>249</v>
      </c>
      <c r="AM44" s="140"/>
    </row>
    <row r="45" spans="1:39" s="165" customFormat="1" ht="151.5" customHeight="1" x14ac:dyDescent="0.35">
      <c r="A45" s="373"/>
      <c r="B45" s="376"/>
      <c r="C45" s="378"/>
      <c r="D45" s="379"/>
      <c r="E45" s="350"/>
      <c r="F45" s="350"/>
      <c r="G45" s="350"/>
      <c r="H45" s="345"/>
      <c r="I45" s="350"/>
      <c r="J45" s="352"/>
      <c r="K45" s="355"/>
      <c r="L45" s="358"/>
      <c r="M45" s="360"/>
      <c r="N45" s="143"/>
      <c r="O45" s="355"/>
      <c r="P45" s="358"/>
      <c r="Q45" s="348"/>
      <c r="R45" s="130">
        <v>3</v>
      </c>
      <c r="S45" s="98"/>
      <c r="T45" s="131" t="str">
        <f t="shared" si="45"/>
        <v/>
      </c>
      <c r="U45" s="132"/>
      <c r="V45" s="132"/>
      <c r="W45" s="133"/>
      <c r="X45" s="132"/>
      <c r="Y45" s="132"/>
      <c r="Z45" s="132"/>
      <c r="AA45" s="134" t="str">
        <f>IFERROR(IF(T45="Probabilidad",(AA44-(+AA44*W45)),IF(T45="Impacto",L45,"")),"")</f>
        <v/>
      </c>
      <c r="AB45" s="135" t="str">
        <f t="shared" si="47"/>
        <v/>
      </c>
      <c r="AC45" s="136" t="str">
        <f t="shared" si="48"/>
        <v/>
      </c>
      <c r="AD45" s="135" t="str">
        <f t="shared" si="49"/>
        <v/>
      </c>
      <c r="AE45" s="136" t="str">
        <f t="shared" si="50"/>
        <v/>
      </c>
      <c r="AF45" s="137" t="str">
        <f t="shared" si="51"/>
        <v/>
      </c>
      <c r="AG45" s="138"/>
      <c r="AH45" s="119"/>
      <c r="AI45" s="127"/>
      <c r="AJ45" s="144"/>
      <c r="AK45" s="144"/>
      <c r="AL45" s="119"/>
      <c r="AM45" s="140"/>
    </row>
    <row r="46" spans="1:39" s="165" customFormat="1" ht="151.5" customHeight="1" x14ac:dyDescent="0.35">
      <c r="A46" s="373">
        <v>14</v>
      </c>
      <c r="B46" s="374" t="s">
        <v>244</v>
      </c>
      <c r="C46" s="377" t="s">
        <v>399</v>
      </c>
      <c r="D46" s="377" t="s">
        <v>251</v>
      </c>
      <c r="E46" s="349" t="s">
        <v>120</v>
      </c>
      <c r="F46" s="349" t="s">
        <v>252</v>
      </c>
      <c r="G46" s="402" t="s">
        <v>253</v>
      </c>
      <c r="H46" s="344" t="s">
        <v>254</v>
      </c>
      <c r="I46" s="349" t="s">
        <v>334</v>
      </c>
      <c r="J46" s="351">
        <v>900</v>
      </c>
      <c r="K46" s="353" t="str">
        <f>IF(J46&lt;=0,"",IF(J46&lt;=2,"Muy Baja",IF(J46&lt;=24,"Baja",IF(J46&lt;=500,"Media",IF(J46&lt;=5000,"Alta","Muy Alta")))))</f>
        <v>Alta</v>
      </c>
      <c r="L46" s="356">
        <f>IF(K46="","",IF(K46="Muy Baja",0.2,IF(K46="Baja",0.4,IF(K46="Media",0.6,IF(K46="Alta",0.8,IF(K46="Muy Alta",1,))))))</f>
        <v>0.8</v>
      </c>
      <c r="M46" s="359" t="s">
        <v>517</v>
      </c>
      <c r="N46" s="129"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53" t="str">
        <f>IF(OR(N46='Tabla Impacto'!$C$11,N46='Tabla Impacto'!$D$11),"Leve",IF(OR(N46='Tabla Impacto'!$C$12,N46='Tabla Impacto'!$D$12),"Menor",IF(OR(N46='Tabla Impacto'!$C$13,N46='Tabla Impacto'!$D$13),"Moderado",IF(OR(N46='Tabla Impacto'!$C$14,N46='Tabla Impacto'!$D$14),"Mayor",IF(OR(N46='Tabla Impacto'!$C$15,N46='Tabla Impacto'!$D$15),"Catastrófico","")))))</f>
        <v>Moderado</v>
      </c>
      <c r="P46" s="356">
        <f>IF(O46="","",IF(O46="Leve",0.2,IF(O46="Menor",0.4,IF(O46="Moderado",0.6,IF(O46="Mayor",0.8,IF(O46="Catastrófico",1,))))))</f>
        <v>0.6</v>
      </c>
      <c r="Q46" s="346"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30">
        <v>1</v>
      </c>
      <c r="S46" s="98" t="s">
        <v>255</v>
      </c>
      <c r="T46" s="131" t="str">
        <f t="shared" ref="T46:T48" si="53">IF(OR(U46="Preventivo",U46="Detectivo"),"Probabilidad",IF(U46="Correctivo","Impacto",""))</f>
        <v>Probabilidad</v>
      </c>
      <c r="U46" s="132" t="s">
        <v>14</v>
      </c>
      <c r="V46" s="132" t="s">
        <v>9</v>
      </c>
      <c r="W46" s="133" t="str">
        <f t="shared" ref="W46" si="54">IF(AND(U46="Preventivo",V46="Automático"),"50%",IF(AND(U46="Preventivo",V46="Manual"),"40%",IF(AND(U46="Detectivo",V46="Automático"),"40%",IF(AND(U46="Detectivo",V46="Manual"),"30%",IF(AND(U46="Correctivo",V46="Automático"),"35%",IF(AND(U46="Correctivo",V46="Manual"),"25%",""))))))</f>
        <v>40%</v>
      </c>
      <c r="X46" s="132" t="s">
        <v>19</v>
      </c>
      <c r="Y46" s="132" t="s">
        <v>22</v>
      </c>
      <c r="Z46" s="132" t="s">
        <v>110</v>
      </c>
      <c r="AA46" s="134">
        <f t="shared" ref="AA46" si="55">IFERROR(IF(T46="Probabilidad",(L46-(+L46*W46)),IF(T46="Impacto",L46,"")),"")</f>
        <v>0.48</v>
      </c>
      <c r="AB46" s="135" t="str">
        <f t="shared" ref="AB46:AB48" si="56">IFERROR(IF(AA46="","",IF(AA46&lt;=0.2,"Muy Baja",IF(AA46&lt;=0.4,"Baja",IF(AA46&lt;=0.6,"Media",IF(AA46&lt;=0.8,"Alta","Muy Alta"))))),"")</f>
        <v>Media</v>
      </c>
      <c r="AC46" s="136">
        <f t="shared" ref="AC46:AC48" si="57">+AA46</f>
        <v>0.48</v>
      </c>
      <c r="AD46" s="135" t="str">
        <f t="shared" ref="AD46:AD48" si="58">IFERROR(IF(AE46="","",IF(AE46&lt;=0.2,"Leve",IF(AE46&lt;=0.4,"Menor",IF(AE46&lt;=0.6,"Moderado",IF(AE46&lt;=0.8,"Mayor","Catastrófico"))))),"")</f>
        <v>Moderado</v>
      </c>
      <c r="AE46" s="136">
        <f t="shared" ref="AE46:AE48" si="59">IFERROR(IF(T46="Impacto",(P46-(+P46*W46)),IF(T46="Probabilidad",P46,"")),"")</f>
        <v>0.6</v>
      </c>
      <c r="AF46" s="137" t="str">
        <f t="shared" ref="AF46:AF48" si="60">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Moderado</v>
      </c>
      <c r="AG46" s="138" t="s">
        <v>122</v>
      </c>
      <c r="AH46" s="119" t="s">
        <v>256</v>
      </c>
      <c r="AI46" s="127" t="s">
        <v>204</v>
      </c>
      <c r="AJ46" s="144">
        <v>44562</v>
      </c>
      <c r="AK46" s="144">
        <v>44926</v>
      </c>
      <c r="AL46" s="119" t="s">
        <v>257</v>
      </c>
      <c r="AM46" s="140"/>
    </row>
    <row r="47" spans="1:39" s="165" customFormat="1" ht="151.5" customHeight="1" x14ac:dyDescent="0.35">
      <c r="A47" s="373"/>
      <c r="B47" s="375"/>
      <c r="C47" s="378"/>
      <c r="D47" s="379"/>
      <c r="E47" s="350"/>
      <c r="F47" s="350"/>
      <c r="G47" s="350"/>
      <c r="H47" s="345"/>
      <c r="I47" s="350"/>
      <c r="J47" s="352"/>
      <c r="K47" s="354"/>
      <c r="L47" s="357"/>
      <c r="M47" s="360"/>
      <c r="N47" s="143"/>
      <c r="O47" s="354"/>
      <c r="P47" s="357"/>
      <c r="Q47" s="347"/>
      <c r="R47" s="130">
        <v>2</v>
      </c>
      <c r="S47" s="98"/>
      <c r="T47" s="131" t="str">
        <f t="shared" si="53"/>
        <v/>
      </c>
      <c r="U47" s="132"/>
      <c r="V47" s="132"/>
      <c r="W47" s="133"/>
      <c r="X47" s="132"/>
      <c r="Y47" s="132"/>
      <c r="Z47" s="132"/>
      <c r="AA47" s="134" t="str">
        <f>IFERROR(IF(T47="Probabilidad",(AA46-(+AA46*W47)),IF(T47="Impacto",L47,"")),"")</f>
        <v/>
      </c>
      <c r="AB47" s="135" t="str">
        <f t="shared" si="56"/>
        <v/>
      </c>
      <c r="AC47" s="136" t="str">
        <f t="shared" si="57"/>
        <v/>
      </c>
      <c r="AD47" s="135" t="str">
        <f t="shared" si="58"/>
        <v/>
      </c>
      <c r="AE47" s="136" t="str">
        <f t="shared" si="59"/>
        <v/>
      </c>
      <c r="AF47" s="137" t="str">
        <f t="shared" si="60"/>
        <v/>
      </c>
      <c r="AG47" s="138"/>
      <c r="AH47" s="119"/>
      <c r="AI47" s="127"/>
      <c r="AJ47" s="144"/>
      <c r="AK47" s="144"/>
      <c r="AL47" s="119"/>
      <c r="AM47" s="140"/>
    </row>
    <row r="48" spans="1:39" s="165" customFormat="1" ht="151.5" customHeight="1" x14ac:dyDescent="0.35">
      <c r="A48" s="373"/>
      <c r="B48" s="376"/>
      <c r="C48" s="378"/>
      <c r="D48" s="379"/>
      <c r="E48" s="350"/>
      <c r="F48" s="350"/>
      <c r="G48" s="350"/>
      <c r="H48" s="345"/>
      <c r="I48" s="350"/>
      <c r="J48" s="352"/>
      <c r="K48" s="355"/>
      <c r="L48" s="358"/>
      <c r="M48" s="360"/>
      <c r="N48" s="143"/>
      <c r="O48" s="355"/>
      <c r="P48" s="358"/>
      <c r="Q48" s="348"/>
      <c r="R48" s="130">
        <v>3</v>
      </c>
      <c r="S48" s="98"/>
      <c r="T48" s="131" t="str">
        <f t="shared" si="53"/>
        <v/>
      </c>
      <c r="U48" s="132"/>
      <c r="V48" s="132"/>
      <c r="W48" s="133"/>
      <c r="X48" s="132"/>
      <c r="Y48" s="132"/>
      <c r="Z48" s="132"/>
      <c r="AA48" s="134" t="str">
        <f>IFERROR(IF(T48="Probabilidad",(AA47-(+AA47*W48)),IF(T48="Impacto",L48,"")),"")</f>
        <v/>
      </c>
      <c r="AB48" s="135" t="str">
        <f t="shared" si="56"/>
        <v/>
      </c>
      <c r="AC48" s="136" t="str">
        <f t="shared" si="57"/>
        <v/>
      </c>
      <c r="AD48" s="135" t="str">
        <f t="shared" si="58"/>
        <v/>
      </c>
      <c r="AE48" s="136" t="str">
        <f t="shared" si="59"/>
        <v/>
      </c>
      <c r="AF48" s="137" t="str">
        <f t="shared" si="60"/>
        <v/>
      </c>
      <c r="AG48" s="138"/>
      <c r="AH48" s="119"/>
      <c r="AI48" s="127"/>
      <c r="AJ48" s="144"/>
      <c r="AK48" s="144"/>
      <c r="AL48" s="119"/>
      <c r="AM48" s="140"/>
    </row>
    <row r="49" spans="1:39" s="165" customFormat="1" ht="151.5" customHeight="1" x14ac:dyDescent="0.35">
      <c r="A49" s="373">
        <v>15</v>
      </c>
      <c r="B49" s="406" t="s">
        <v>244</v>
      </c>
      <c r="C49" s="377" t="s">
        <v>399</v>
      </c>
      <c r="D49" s="377" t="s">
        <v>251</v>
      </c>
      <c r="E49" s="349" t="s">
        <v>118</v>
      </c>
      <c r="F49" s="349" t="s">
        <v>258</v>
      </c>
      <c r="G49" s="349" t="s">
        <v>259</v>
      </c>
      <c r="H49" s="344" t="s">
        <v>589</v>
      </c>
      <c r="I49" s="349" t="s">
        <v>115</v>
      </c>
      <c r="J49" s="404">
        <v>40</v>
      </c>
      <c r="K49" s="353" t="str">
        <f>IF(J49&lt;=0,"",IF(J49&lt;=2,"Muy Baja",IF(J49&lt;=24,"Baja",IF(J49&lt;=500,"Media",IF(J49&lt;=5000,"Alta","Muy Alta")))))</f>
        <v>Media</v>
      </c>
      <c r="L49" s="356">
        <f>IF(K49="","",IF(K49="Muy Baja",0.2,IF(K49="Baja",0.4,IF(K49="Media",0.6,IF(K49="Alta",0.8,IF(K49="Muy Alta",1,))))))</f>
        <v>0.6</v>
      </c>
      <c r="M49" s="359" t="s">
        <v>517</v>
      </c>
      <c r="N49" s="129"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353" t="str">
        <f>IF(OR(N49='Tabla Impacto'!$C$11,N49='Tabla Impacto'!$D$11),"Leve",IF(OR(N49='Tabla Impacto'!$C$12,N49='Tabla Impacto'!$D$12),"Menor",IF(OR(N49='Tabla Impacto'!$C$13,N49='Tabla Impacto'!$D$13),"Moderado",IF(OR(N49='Tabla Impacto'!$C$14,N49='Tabla Impacto'!$D$14),"Mayor",IF(OR(N49='Tabla Impacto'!$C$15,N49='Tabla Impacto'!$D$15),"Catastrófico","")))))</f>
        <v>Moderado</v>
      </c>
      <c r="P49" s="356">
        <f>IF(O49="","",IF(O49="Leve",0.2,IF(O49="Menor",0.4,IF(O49="Moderado",0.6,IF(O49="Mayor",0.8,IF(O49="Catastrófico",1,))))))</f>
        <v>0.6</v>
      </c>
      <c r="Q49" s="346"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Moderado</v>
      </c>
      <c r="R49" s="130">
        <v>1</v>
      </c>
      <c r="S49" s="98" t="s">
        <v>590</v>
      </c>
      <c r="T49" s="131" t="str">
        <f t="shared" si="25"/>
        <v>Probabilidad</v>
      </c>
      <c r="U49" s="132" t="s">
        <v>14</v>
      </c>
      <c r="V49" s="132" t="s">
        <v>9</v>
      </c>
      <c r="W49" s="133" t="str">
        <f t="shared" si="26"/>
        <v>40%</v>
      </c>
      <c r="X49" s="132" t="s">
        <v>19</v>
      </c>
      <c r="Y49" s="132" t="s">
        <v>22</v>
      </c>
      <c r="Z49" s="132" t="s">
        <v>110</v>
      </c>
      <c r="AA49" s="134">
        <f t="shared" si="27"/>
        <v>0.36</v>
      </c>
      <c r="AB49" s="135" t="str">
        <f t="shared" si="28"/>
        <v>Baja</v>
      </c>
      <c r="AC49" s="136">
        <f t="shared" si="29"/>
        <v>0.36</v>
      </c>
      <c r="AD49" s="135" t="str">
        <f t="shared" si="30"/>
        <v>Moderado</v>
      </c>
      <c r="AE49" s="136">
        <f t="shared" si="31"/>
        <v>0.6</v>
      </c>
      <c r="AF49" s="137" t="str">
        <f t="shared" si="32"/>
        <v>Moderado</v>
      </c>
      <c r="AG49" s="138" t="s">
        <v>122</v>
      </c>
      <c r="AH49" s="126" t="s">
        <v>261</v>
      </c>
      <c r="AI49" s="127" t="s">
        <v>262</v>
      </c>
      <c r="AJ49" s="144">
        <v>44562</v>
      </c>
      <c r="AK49" s="144">
        <v>44926</v>
      </c>
      <c r="AL49" s="119" t="s">
        <v>257</v>
      </c>
      <c r="AM49" s="140"/>
    </row>
    <row r="50" spans="1:39" s="165" customFormat="1" ht="151.5" customHeight="1" x14ac:dyDescent="0.35">
      <c r="A50" s="373"/>
      <c r="B50" s="407"/>
      <c r="C50" s="378"/>
      <c r="D50" s="379"/>
      <c r="E50" s="350"/>
      <c r="F50" s="350"/>
      <c r="G50" s="350"/>
      <c r="H50" s="345"/>
      <c r="I50" s="350"/>
      <c r="J50" s="405"/>
      <c r="K50" s="354"/>
      <c r="L50" s="357"/>
      <c r="M50" s="360"/>
      <c r="N50" s="143"/>
      <c r="O50" s="354"/>
      <c r="P50" s="357"/>
      <c r="Q50" s="347"/>
      <c r="R50" s="130">
        <v>2</v>
      </c>
      <c r="S50" s="98"/>
      <c r="T50" s="131" t="str">
        <f t="shared" ref="T50:T51" si="61">IF(OR(U50="Preventivo",U50="Detectivo"),"Probabilidad",IF(U50="Correctivo","Impacto",""))</f>
        <v/>
      </c>
      <c r="U50" s="132"/>
      <c r="V50" s="132"/>
      <c r="W50" s="133"/>
      <c r="X50" s="132"/>
      <c r="Y50" s="132"/>
      <c r="Z50" s="132"/>
      <c r="AA50" s="134" t="str">
        <f>IFERROR(IF(T50="Probabilidad",(AA49-(+AA49*W50)),IF(T50="Impacto",L50,"")),"")</f>
        <v/>
      </c>
      <c r="AB50" s="135" t="str">
        <f t="shared" ref="AB50:AB51" si="62">IFERROR(IF(AA50="","",IF(AA50&lt;=0.2,"Muy Baja",IF(AA50&lt;=0.4,"Baja",IF(AA50&lt;=0.6,"Media",IF(AA50&lt;=0.8,"Alta","Muy Alta"))))),"")</f>
        <v/>
      </c>
      <c r="AC50" s="136" t="str">
        <f t="shared" ref="AC50:AC51" si="63">+AA50</f>
        <v/>
      </c>
      <c r="AD50" s="135" t="str">
        <f t="shared" ref="AD50:AD51" si="64">IFERROR(IF(AE50="","",IF(AE50&lt;=0.2,"Leve",IF(AE50&lt;=0.4,"Menor",IF(AE50&lt;=0.6,"Moderado",IF(AE50&lt;=0.8,"Mayor","Catastrófico"))))),"")</f>
        <v/>
      </c>
      <c r="AE50" s="136" t="str">
        <f t="shared" ref="AE50:AE51" si="65">IFERROR(IF(T50="Impacto",(P50-(+P50*W50)),IF(T50="Probabilidad",P50,"")),"")</f>
        <v/>
      </c>
      <c r="AF50" s="137" t="str">
        <f t="shared" ref="AF50:AF51" si="66">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
      </c>
      <c r="AG50" s="138"/>
      <c r="AH50" s="119"/>
      <c r="AI50" s="127"/>
      <c r="AJ50" s="144"/>
      <c r="AK50" s="144"/>
      <c r="AL50" s="119"/>
      <c r="AM50" s="140"/>
    </row>
    <row r="51" spans="1:39" s="165" customFormat="1" ht="151.5" customHeight="1" x14ac:dyDescent="0.35">
      <c r="A51" s="373"/>
      <c r="B51" s="408"/>
      <c r="C51" s="378"/>
      <c r="D51" s="379"/>
      <c r="E51" s="350"/>
      <c r="F51" s="350"/>
      <c r="G51" s="350"/>
      <c r="H51" s="345"/>
      <c r="I51" s="350"/>
      <c r="J51" s="405"/>
      <c r="K51" s="355"/>
      <c r="L51" s="358"/>
      <c r="M51" s="360"/>
      <c r="N51" s="143"/>
      <c r="O51" s="355"/>
      <c r="P51" s="358"/>
      <c r="Q51" s="348"/>
      <c r="R51" s="130">
        <v>3</v>
      </c>
      <c r="S51" s="98"/>
      <c r="T51" s="131" t="str">
        <f t="shared" si="61"/>
        <v/>
      </c>
      <c r="U51" s="132"/>
      <c r="V51" s="132"/>
      <c r="W51" s="133"/>
      <c r="X51" s="132"/>
      <c r="Y51" s="132"/>
      <c r="Z51" s="132"/>
      <c r="AA51" s="134" t="str">
        <f>IFERROR(IF(T51="Probabilidad",(AA50-(+AA50*W51)),IF(T51="Impacto",L51,"")),"")</f>
        <v/>
      </c>
      <c r="AB51" s="135" t="str">
        <f t="shared" si="62"/>
        <v/>
      </c>
      <c r="AC51" s="136" t="str">
        <f t="shared" si="63"/>
        <v/>
      </c>
      <c r="AD51" s="135" t="str">
        <f t="shared" si="64"/>
        <v/>
      </c>
      <c r="AE51" s="136" t="str">
        <f t="shared" si="65"/>
        <v/>
      </c>
      <c r="AF51" s="137" t="str">
        <f t="shared" si="66"/>
        <v/>
      </c>
      <c r="AG51" s="138"/>
      <c r="AH51" s="119"/>
      <c r="AI51" s="127"/>
      <c r="AJ51" s="144"/>
      <c r="AK51" s="144"/>
      <c r="AL51" s="119"/>
      <c r="AM51" s="140"/>
    </row>
    <row r="52" spans="1:39" s="165" customFormat="1" ht="151.5" customHeight="1" x14ac:dyDescent="0.35">
      <c r="A52" s="373">
        <v>16</v>
      </c>
      <c r="B52" s="374" t="s">
        <v>244</v>
      </c>
      <c r="C52" s="377" t="s">
        <v>399</v>
      </c>
      <c r="D52" s="377" t="s">
        <v>251</v>
      </c>
      <c r="E52" s="349" t="s">
        <v>120</v>
      </c>
      <c r="F52" s="349" t="s">
        <v>463</v>
      </c>
      <c r="G52" s="349" t="s">
        <v>264</v>
      </c>
      <c r="H52" s="344" t="s">
        <v>263</v>
      </c>
      <c r="I52" s="349" t="s">
        <v>334</v>
      </c>
      <c r="J52" s="351" t="s">
        <v>260</v>
      </c>
      <c r="K52" s="353" t="str">
        <f>IF(J52&lt;=0,"",IF(J52&lt;=2,"Muy Baja",IF(J52&lt;=24,"Baja",IF(J52&lt;=500,"Media",IF(J52&lt;=5000,"Alta","Muy Alta")))))</f>
        <v>Muy Alta</v>
      </c>
      <c r="L52" s="356">
        <f>IF(K52="","",IF(K52="Muy Baja",0.2,IF(K52="Baja",0.4,IF(K52="Media",0.6,IF(K52="Alta",0.8,IF(K52="Muy Alta",1,))))))</f>
        <v>1</v>
      </c>
      <c r="M52" s="359" t="s">
        <v>524</v>
      </c>
      <c r="N52" s="129" t="str">
        <f>IF(NOT(ISERROR(MATCH(M52,'Tabla Impacto'!$B$221:$B$223,0))),'Tabla Impacto'!$F$223&amp;"Por favor no seleccionar los criterios de impacto(Afectación Económica o presupuestal y Pérdida Reputacional)",M52)</f>
        <v xml:space="preserve"> El riesgo afecta la imagen de la entidad con efecto publicitario sostenido a nivel de sector administrativo, nivel departamental o municipal</v>
      </c>
      <c r="O52" s="353" t="str">
        <f>IF(OR(N52='Tabla Impacto'!$C$11,N52='Tabla Impacto'!$D$11),"Leve",IF(OR(N52='Tabla Impacto'!$C$12,N52='Tabla Impacto'!$D$12),"Menor",IF(OR(N52='Tabla Impacto'!$C$13,N52='Tabla Impacto'!$D$13),"Moderado",IF(OR(N52='Tabla Impacto'!$C$14,N52='Tabla Impacto'!$D$14),"Mayor",IF(OR(N52='Tabla Impacto'!$C$15,N52='Tabla Impacto'!$D$15),"Catastrófico","")))))</f>
        <v>Mayor</v>
      </c>
      <c r="P52" s="356">
        <f>IF(O52="","",IF(O52="Leve",0.2,IF(O52="Menor",0.4,IF(O52="Moderado",0.6,IF(O52="Mayor",0.8,IF(O52="Catastrófico",1,))))))</f>
        <v>0.8</v>
      </c>
      <c r="Q52" s="346"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30">
        <v>1</v>
      </c>
      <c r="S52" s="98" t="s">
        <v>265</v>
      </c>
      <c r="T52" s="131" t="str">
        <f t="shared" ref="T52:T54" si="67">IF(OR(U52="Preventivo",U52="Detectivo"),"Probabilidad",IF(U52="Correctivo","Impacto",""))</f>
        <v>Probabilidad</v>
      </c>
      <c r="U52" s="132" t="s">
        <v>14</v>
      </c>
      <c r="V52" s="132" t="s">
        <v>9</v>
      </c>
      <c r="W52" s="133" t="str">
        <f t="shared" ref="W52" si="68">IF(AND(U52="Preventivo",V52="Automático"),"50%",IF(AND(U52="Preventivo",V52="Manual"),"40%",IF(AND(U52="Detectivo",V52="Automático"),"40%",IF(AND(U52="Detectivo",V52="Manual"),"30%",IF(AND(U52="Correctivo",V52="Automático"),"35%",IF(AND(U52="Correctivo",V52="Manual"),"25%",""))))))</f>
        <v>40%</v>
      </c>
      <c r="X52" s="132" t="s">
        <v>19</v>
      </c>
      <c r="Y52" s="132" t="s">
        <v>22</v>
      </c>
      <c r="Z52" s="132" t="s">
        <v>110</v>
      </c>
      <c r="AA52" s="134">
        <f t="shared" ref="AA52" si="69">IFERROR(IF(T52="Probabilidad",(L52-(+L52*W52)),IF(T52="Impacto",L52,"")),"")</f>
        <v>0.6</v>
      </c>
      <c r="AB52" s="135" t="str">
        <f t="shared" ref="AB52:AB54" si="70">IFERROR(IF(AA52="","",IF(AA52&lt;=0.2,"Muy Baja",IF(AA52&lt;=0.4,"Baja",IF(AA52&lt;=0.6,"Media",IF(AA52&lt;=0.8,"Alta","Muy Alta"))))),"")</f>
        <v>Media</v>
      </c>
      <c r="AC52" s="136">
        <f t="shared" ref="AC52:AC54" si="71">+AA52</f>
        <v>0.6</v>
      </c>
      <c r="AD52" s="135" t="str">
        <f t="shared" ref="AD52:AD54" si="72">IFERROR(IF(AE52="","",IF(AE52&lt;=0.2,"Leve",IF(AE52&lt;=0.4,"Menor",IF(AE52&lt;=0.6,"Moderado",IF(AE52&lt;=0.8,"Mayor","Catastrófico"))))),"")</f>
        <v>Mayor</v>
      </c>
      <c r="AE52" s="136">
        <f t="shared" ref="AE52:AE54" si="73">IFERROR(IF(T52="Impacto",(P52-(+P52*W52)),IF(T52="Probabilidad",P52,"")),"")</f>
        <v>0.8</v>
      </c>
      <c r="AF52" s="137" t="str">
        <f t="shared" ref="AF52:AF54" si="74">IFERROR(IF(OR(AND(AB52="Muy Baja",AD52="Leve"),AND(AB52="Muy Baja",AD52="Menor"),AND(AB52="Baja",AD52="Leve")),"Bajo",IF(OR(AND(AB52="Muy baja",AD52="Moderado"),AND(AB52="Baja",AD52="Menor"),AND(AB52="Baja",AD52="Moderado"),AND(AB52="Media",AD52="Leve"),AND(AB52="Media",AD52="Menor"),AND(AB52="Media",AD52="Moderado"),AND(AB52="Alta",AD52="Leve"),AND(AB52="Alta",AD52="Menor")),"Moderado",IF(OR(AND(AB52="Muy Baja",AD52="Mayor"),AND(AB52="Baja",AD52="Mayor"),AND(AB52="Media",AD52="Mayor"),AND(AB52="Alta",AD52="Moderado"),AND(AB52="Alta",AD52="Mayor"),AND(AB52="Muy Alta",AD52="Leve"),AND(AB52="Muy Alta",AD52="Menor"),AND(AB52="Muy Alta",AD52="Moderado"),AND(AB52="Muy Alta",AD52="Mayor")),"Alto",IF(OR(AND(AB52="Muy Baja",AD52="Catastrófico"),AND(AB52="Baja",AD52="Catastrófico"),AND(AB52="Media",AD52="Catastrófico"),AND(AB52="Alta",AD52="Catastrófico"),AND(AB52="Muy Alta",AD52="Catastrófico")),"Extremo","")))),"")</f>
        <v>Alto</v>
      </c>
      <c r="AG52" s="138" t="s">
        <v>122</v>
      </c>
      <c r="AH52" s="119" t="s">
        <v>557</v>
      </c>
      <c r="AI52" s="127" t="s">
        <v>204</v>
      </c>
      <c r="AJ52" s="144">
        <v>44562</v>
      </c>
      <c r="AK52" s="144">
        <v>44926</v>
      </c>
      <c r="AL52" s="126" t="s">
        <v>266</v>
      </c>
      <c r="AM52" s="140"/>
    </row>
    <row r="53" spans="1:39" s="165" customFormat="1" ht="151.5" customHeight="1" x14ac:dyDescent="0.35">
      <c r="A53" s="373"/>
      <c r="B53" s="375"/>
      <c r="C53" s="378"/>
      <c r="D53" s="379"/>
      <c r="E53" s="350"/>
      <c r="F53" s="350"/>
      <c r="G53" s="350"/>
      <c r="H53" s="345"/>
      <c r="I53" s="350"/>
      <c r="J53" s="352"/>
      <c r="K53" s="354"/>
      <c r="L53" s="357"/>
      <c r="M53" s="360"/>
      <c r="N53" s="143"/>
      <c r="O53" s="354"/>
      <c r="P53" s="357"/>
      <c r="Q53" s="347"/>
      <c r="R53" s="130">
        <v>2</v>
      </c>
      <c r="S53" s="98"/>
      <c r="T53" s="131" t="str">
        <f t="shared" si="67"/>
        <v/>
      </c>
      <c r="U53" s="132"/>
      <c r="V53" s="132"/>
      <c r="W53" s="133"/>
      <c r="X53" s="132"/>
      <c r="Y53" s="132"/>
      <c r="Z53" s="132"/>
      <c r="AA53" s="134" t="str">
        <f>IFERROR(IF(T53="Probabilidad",(AA52-(+AA52*W53)),IF(T53="Impacto",L53,"")),"")</f>
        <v/>
      </c>
      <c r="AB53" s="135" t="str">
        <f t="shared" si="70"/>
        <v/>
      </c>
      <c r="AC53" s="136" t="str">
        <f t="shared" si="71"/>
        <v/>
      </c>
      <c r="AD53" s="135" t="str">
        <f t="shared" si="72"/>
        <v/>
      </c>
      <c r="AE53" s="136" t="str">
        <f t="shared" si="73"/>
        <v/>
      </c>
      <c r="AF53" s="137" t="str">
        <f t="shared" si="74"/>
        <v/>
      </c>
      <c r="AG53" s="138"/>
      <c r="AH53" s="119"/>
      <c r="AI53" s="127"/>
      <c r="AJ53" s="144"/>
      <c r="AK53" s="144"/>
      <c r="AL53" s="119"/>
      <c r="AM53" s="140"/>
    </row>
    <row r="54" spans="1:39" s="165" customFormat="1" ht="151.5" customHeight="1" x14ac:dyDescent="0.35">
      <c r="A54" s="403"/>
      <c r="B54" s="376"/>
      <c r="C54" s="378"/>
      <c r="D54" s="379"/>
      <c r="E54" s="350"/>
      <c r="F54" s="350"/>
      <c r="G54" s="350"/>
      <c r="H54" s="345"/>
      <c r="I54" s="350"/>
      <c r="J54" s="352"/>
      <c r="K54" s="355"/>
      <c r="L54" s="358"/>
      <c r="M54" s="360"/>
      <c r="N54" s="143"/>
      <c r="O54" s="355"/>
      <c r="P54" s="358"/>
      <c r="Q54" s="348"/>
      <c r="R54" s="130">
        <v>3</v>
      </c>
      <c r="S54" s="98"/>
      <c r="T54" s="131" t="str">
        <f t="shared" si="67"/>
        <v/>
      </c>
      <c r="U54" s="132"/>
      <c r="V54" s="132"/>
      <c r="W54" s="133"/>
      <c r="X54" s="132"/>
      <c r="Y54" s="132"/>
      <c r="Z54" s="132"/>
      <c r="AA54" s="134" t="str">
        <f>IFERROR(IF(T54="Probabilidad",(AA53-(+AA53*W54)),IF(T54="Impacto",L54,"")),"")</f>
        <v/>
      </c>
      <c r="AB54" s="135" t="str">
        <f t="shared" si="70"/>
        <v/>
      </c>
      <c r="AC54" s="136" t="str">
        <f t="shared" si="71"/>
        <v/>
      </c>
      <c r="AD54" s="135" t="str">
        <f t="shared" si="72"/>
        <v/>
      </c>
      <c r="AE54" s="136" t="str">
        <f t="shared" si="73"/>
        <v/>
      </c>
      <c r="AF54" s="137" t="str">
        <f t="shared" si="74"/>
        <v/>
      </c>
      <c r="AG54" s="138"/>
      <c r="AH54" s="119"/>
      <c r="AI54" s="127"/>
      <c r="AJ54" s="144"/>
      <c r="AK54" s="144"/>
      <c r="AL54" s="119"/>
      <c r="AM54" s="140"/>
    </row>
    <row r="55" spans="1:39" s="165" customFormat="1" ht="151.5" customHeight="1" x14ac:dyDescent="0.35">
      <c r="A55" s="372">
        <v>17</v>
      </c>
      <c r="B55" s="374" t="s">
        <v>244</v>
      </c>
      <c r="C55" s="377" t="s">
        <v>399</v>
      </c>
      <c r="D55" s="377" t="s">
        <v>251</v>
      </c>
      <c r="E55" s="349" t="s">
        <v>120</v>
      </c>
      <c r="F55" s="349" t="s">
        <v>464</v>
      </c>
      <c r="G55" s="349" t="s">
        <v>268</v>
      </c>
      <c r="H55" s="344" t="s">
        <v>267</v>
      </c>
      <c r="I55" s="349" t="s">
        <v>334</v>
      </c>
      <c r="J55" s="351">
        <v>60</v>
      </c>
      <c r="K55" s="353" t="str">
        <f>IF(J55&lt;=0,"",IF(J55&lt;=2,"Muy Baja",IF(J55&lt;=24,"Baja",IF(J55&lt;=500,"Media",IF(J55&lt;=5000,"Alta","Muy Alta")))))</f>
        <v>Media</v>
      </c>
      <c r="L55" s="356">
        <f>IF(K55="","",IF(K55="Muy Baja",0.2,IF(K55="Baja",0.4,IF(K55="Media",0.6,IF(K55="Alta",0.8,IF(K55="Muy Alta",1,))))))</f>
        <v>0.6</v>
      </c>
      <c r="M55" s="359" t="s">
        <v>517</v>
      </c>
      <c r="N55" s="129"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53" t="str">
        <f>IF(OR(N55='Tabla Impacto'!$C$11,N55='Tabla Impacto'!$D$11),"Leve",IF(OR(N55='Tabla Impacto'!$C$12,N55='Tabla Impacto'!$D$12),"Menor",IF(OR(N55='Tabla Impacto'!$C$13,N55='Tabla Impacto'!$D$13),"Moderado",IF(OR(N55='Tabla Impacto'!$C$14,N55='Tabla Impacto'!$D$14),"Mayor",IF(OR(N55='Tabla Impacto'!$C$15,N55='Tabla Impacto'!$D$15),"Catastrófico","")))))</f>
        <v>Moderado</v>
      </c>
      <c r="P55" s="356">
        <f>IF(O55="","",IF(O55="Leve",0.2,IF(O55="Menor",0.4,IF(O55="Moderado",0.6,IF(O55="Mayor",0.8,IF(O55="Catastrófico",1,))))))</f>
        <v>0.6</v>
      </c>
      <c r="Q55" s="346"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30">
        <v>1</v>
      </c>
      <c r="S55" s="98" t="s">
        <v>269</v>
      </c>
      <c r="T55" s="131" t="str">
        <f t="shared" si="25"/>
        <v>Probabilidad</v>
      </c>
      <c r="U55" s="132" t="s">
        <v>15</v>
      </c>
      <c r="V55" s="132" t="s">
        <v>9</v>
      </c>
      <c r="W55" s="133" t="str">
        <f t="shared" si="26"/>
        <v>30%</v>
      </c>
      <c r="X55" s="132" t="s">
        <v>19</v>
      </c>
      <c r="Y55" s="132" t="s">
        <v>22</v>
      </c>
      <c r="Z55" s="132" t="s">
        <v>110</v>
      </c>
      <c r="AA55" s="134">
        <f t="shared" si="27"/>
        <v>0.42</v>
      </c>
      <c r="AB55" s="135" t="str">
        <f t="shared" si="28"/>
        <v>Media</v>
      </c>
      <c r="AC55" s="136">
        <f t="shared" si="29"/>
        <v>0.42</v>
      </c>
      <c r="AD55" s="135" t="str">
        <f t="shared" si="30"/>
        <v>Moderado</v>
      </c>
      <c r="AE55" s="136">
        <f t="shared" si="31"/>
        <v>0.6</v>
      </c>
      <c r="AF55" s="137" t="str">
        <f t="shared" si="32"/>
        <v>Moderado</v>
      </c>
      <c r="AG55" s="138" t="s">
        <v>122</v>
      </c>
      <c r="AH55" s="119" t="s">
        <v>271</v>
      </c>
      <c r="AI55" s="145" t="s">
        <v>272</v>
      </c>
      <c r="AJ55" s="144">
        <v>44562</v>
      </c>
      <c r="AK55" s="144">
        <v>44926</v>
      </c>
      <c r="AL55" s="119" t="s">
        <v>273</v>
      </c>
      <c r="AM55" s="140"/>
    </row>
    <row r="56" spans="1:39" s="165" customFormat="1" ht="151.5" customHeight="1" x14ac:dyDescent="0.35">
      <c r="A56" s="373"/>
      <c r="B56" s="375"/>
      <c r="C56" s="378"/>
      <c r="D56" s="379"/>
      <c r="E56" s="350"/>
      <c r="F56" s="350"/>
      <c r="G56" s="350"/>
      <c r="H56" s="345"/>
      <c r="I56" s="350"/>
      <c r="J56" s="352"/>
      <c r="K56" s="354"/>
      <c r="L56" s="357"/>
      <c r="M56" s="360"/>
      <c r="N56" s="143"/>
      <c r="O56" s="354"/>
      <c r="P56" s="357"/>
      <c r="Q56" s="347"/>
      <c r="R56" s="130">
        <v>2</v>
      </c>
      <c r="S56" s="98" t="s">
        <v>270</v>
      </c>
      <c r="T56" s="131" t="str">
        <f t="shared" ref="T56:T57" si="75">IF(OR(U56="Preventivo",U56="Detectivo"),"Probabilidad",IF(U56="Correctivo","Impacto",""))</f>
        <v>Probabilidad</v>
      </c>
      <c r="U56" s="132" t="s">
        <v>15</v>
      </c>
      <c r="V56" s="132" t="s">
        <v>9</v>
      </c>
      <c r="W56" s="133" t="str">
        <f t="shared" ref="W56" si="76">IF(AND(U56="Preventivo",V56="Automático"),"50%",IF(AND(U56="Preventivo",V56="Manual"),"40%",IF(AND(U56="Detectivo",V56="Automático"),"40%",IF(AND(U56="Detectivo",V56="Manual"),"30%",IF(AND(U56="Correctivo",V56="Automático"),"35%",IF(AND(U56="Correctivo",V56="Manual"),"25%",""))))))</f>
        <v>30%</v>
      </c>
      <c r="X56" s="132" t="s">
        <v>19</v>
      </c>
      <c r="Y56" s="132" t="s">
        <v>22</v>
      </c>
      <c r="Z56" s="132" t="s">
        <v>110</v>
      </c>
      <c r="AA56" s="134">
        <f>IFERROR(IF(T56="Probabilidad",(AA55-(+AA55*W56)),IF(T56="Impacto",L56,"")),"")</f>
        <v>0.29399999999999998</v>
      </c>
      <c r="AB56" s="135" t="str">
        <f t="shared" ref="AB56:AB57" si="77">IFERROR(IF(AA56="","",IF(AA56&lt;=0.2,"Muy Baja",IF(AA56&lt;=0.4,"Baja",IF(AA56&lt;=0.6,"Media",IF(AA56&lt;=0.8,"Alta","Muy Alta"))))),"")</f>
        <v>Baja</v>
      </c>
      <c r="AC56" s="136">
        <f t="shared" ref="AC56:AC57" si="78">+AA56</f>
        <v>0.29399999999999998</v>
      </c>
      <c r="AD56" s="135" t="str">
        <f t="shared" ref="AD56:AD57" si="79">IFERROR(IF(AE56="","",IF(AE56&lt;=0.2,"Leve",IF(AE56&lt;=0.4,"Menor",IF(AE56&lt;=0.6,"Moderado",IF(AE56&lt;=0.8,"Mayor","Catastrófico"))))),"")</f>
        <v>Moderado</v>
      </c>
      <c r="AE56" s="136">
        <v>0.6</v>
      </c>
      <c r="AF56" s="137" t="str">
        <f t="shared" ref="AF56:AF57" si="80">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Moderado</v>
      </c>
      <c r="AG56" s="138" t="s">
        <v>122</v>
      </c>
      <c r="AH56" s="119" t="s">
        <v>271</v>
      </c>
      <c r="AI56" s="145" t="s">
        <v>272</v>
      </c>
      <c r="AJ56" s="144">
        <v>44562</v>
      </c>
      <c r="AK56" s="144">
        <v>44926</v>
      </c>
      <c r="AL56" s="119" t="s">
        <v>273</v>
      </c>
      <c r="AM56" s="140"/>
    </row>
    <row r="57" spans="1:39" s="165" customFormat="1" ht="151.5" customHeight="1" x14ac:dyDescent="0.35">
      <c r="A57" s="373"/>
      <c r="B57" s="376"/>
      <c r="C57" s="378"/>
      <c r="D57" s="379"/>
      <c r="E57" s="350"/>
      <c r="F57" s="350"/>
      <c r="G57" s="350"/>
      <c r="H57" s="345"/>
      <c r="I57" s="350"/>
      <c r="J57" s="352"/>
      <c r="K57" s="355"/>
      <c r="L57" s="358"/>
      <c r="M57" s="360"/>
      <c r="N57" s="143"/>
      <c r="O57" s="355"/>
      <c r="P57" s="358"/>
      <c r="Q57" s="348"/>
      <c r="R57" s="130">
        <v>3</v>
      </c>
      <c r="S57" s="98"/>
      <c r="T57" s="131" t="str">
        <f t="shared" si="75"/>
        <v/>
      </c>
      <c r="U57" s="132"/>
      <c r="V57" s="132"/>
      <c r="W57" s="133"/>
      <c r="X57" s="132"/>
      <c r="Y57" s="132"/>
      <c r="Z57" s="132"/>
      <c r="AA57" s="134" t="str">
        <f>IFERROR(IF(T57="Probabilidad",(AA56-(+AA56*W57)),IF(T57="Impacto",L57,"")),"")</f>
        <v/>
      </c>
      <c r="AB57" s="135" t="str">
        <f t="shared" si="77"/>
        <v/>
      </c>
      <c r="AC57" s="136" t="str">
        <f t="shared" si="78"/>
        <v/>
      </c>
      <c r="AD57" s="135" t="str">
        <f t="shared" si="79"/>
        <v/>
      </c>
      <c r="AE57" s="136" t="str">
        <f t="shared" ref="AE57" si="81">IFERROR(IF(T57="Impacto",(P57-(+P57*W57)),IF(T57="Probabilidad",P57,"")),"")</f>
        <v/>
      </c>
      <c r="AF57" s="137" t="str">
        <f t="shared" si="80"/>
        <v/>
      </c>
      <c r="AG57" s="138"/>
      <c r="AH57" s="119"/>
      <c r="AI57" s="127"/>
      <c r="AJ57" s="144"/>
      <c r="AK57" s="144"/>
      <c r="AL57" s="119"/>
      <c r="AM57" s="140"/>
    </row>
    <row r="58" spans="1:39" s="165" customFormat="1" ht="151.5" customHeight="1" x14ac:dyDescent="0.35">
      <c r="A58" s="373">
        <v>18</v>
      </c>
      <c r="B58" s="374" t="s">
        <v>274</v>
      </c>
      <c r="C58" s="377" t="s">
        <v>275</v>
      </c>
      <c r="D58" s="377" t="s">
        <v>401</v>
      </c>
      <c r="E58" s="349" t="s">
        <v>120</v>
      </c>
      <c r="F58" s="349" t="s">
        <v>276</v>
      </c>
      <c r="G58" s="349" t="s">
        <v>277</v>
      </c>
      <c r="H58" s="344" t="s">
        <v>465</v>
      </c>
      <c r="I58" s="349" t="s">
        <v>117</v>
      </c>
      <c r="J58" s="351">
        <v>360</v>
      </c>
      <c r="K58" s="353" t="str">
        <f>IF(J58&lt;=0,"",IF(J58&lt;=2,"Muy Baja",IF(J58&lt;=24,"Baja",IF(J58&lt;=500,"Media",IF(J58&lt;=5000,"Alta","Muy Alta")))))</f>
        <v>Media</v>
      </c>
      <c r="L58" s="356">
        <f>IF(K58="","",IF(K58="Muy Baja",0.2,IF(K58="Baja",0.4,IF(K58="Media",0.6,IF(K58="Alta",0.8,IF(K58="Muy Alta",1,))))))</f>
        <v>0.6</v>
      </c>
      <c r="M58" s="359" t="s">
        <v>517</v>
      </c>
      <c r="N58" s="129"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353" t="str">
        <f>IF(OR(N58='Tabla Impacto'!$C$11,N58='Tabla Impacto'!$D$11),"Leve",IF(OR(N58='Tabla Impacto'!$C$12,N58='Tabla Impacto'!$D$12),"Menor",IF(OR(N58='Tabla Impacto'!$C$13,N58='Tabla Impacto'!$D$13),"Moderado",IF(OR(N58='Tabla Impacto'!$C$14,N58='Tabla Impacto'!$D$14),"Mayor",IF(OR(N58='Tabla Impacto'!$C$15,N58='Tabla Impacto'!$D$15),"Catastrófico","")))))</f>
        <v>Moderado</v>
      </c>
      <c r="P58" s="356">
        <f>IF(O58="","",IF(O58="Leve",0.2,IF(O58="Menor",0.4,IF(O58="Moderado",0.6,IF(O58="Mayor",0.8,IF(O58="Catastrófico",1,))))))</f>
        <v>0.6</v>
      </c>
      <c r="Q58" s="346"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30">
        <v>1</v>
      </c>
      <c r="S58" s="98" t="s">
        <v>278</v>
      </c>
      <c r="T58" s="131" t="str">
        <f t="shared" si="25"/>
        <v>Probabilidad</v>
      </c>
      <c r="U58" s="132" t="s">
        <v>15</v>
      </c>
      <c r="V58" s="132" t="s">
        <v>9</v>
      </c>
      <c r="W58" s="133" t="str">
        <f t="shared" si="26"/>
        <v>30%</v>
      </c>
      <c r="X58" s="132" t="s">
        <v>20</v>
      </c>
      <c r="Y58" s="132" t="s">
        <v>22</v>
      </c>
      <c r="Z58" s="132" t="s">
        <v>110</v>
      </c>
      <c r="AA58" s="134">
        <f t="shared" si="27"/>
        <v>0.42</v>
      </c>
      <c r="AB58" s="135" t="str">
        <f t="shared" si="28"/>
        <v>Media</v>
      </c>
      <c r="AC58" s="136">
        <f t="shared" si="29"/>
        <v>0.42</v>
      </c>
      <c r="AD58" s="135" t="str">
        <f t="shared" si="30"/>
        <v>Moderado</v>
      </c>
      <c r="AE58" s="136">
        <f t="shared" si="31"/>
        <v>0.6</v>
      </c>
      <c r="AF58" s="137" t="str">
        <f t="shared" si="32"/>
        <v>Moderado</v>
      </c>
      <c r="AG58" s="138" t="s">
        <v>122</v>
      </c>
      <c r="AH58" s="119" t="s">
        <v>400</v>
      </c>
      <c r="AI58" s="127" t="s">
        <v>199</v>
      </c>
      <c r="AJ58" s="144">
        <v>44562</v>
      </c>
      <c r="AK58" s="144">
        <v>44926</v>
      </c>
      <c r="AL58" s="119" t="s">
        <v>279</v>
      </c>
      <c r="AM58" s="140"/>
    </row>
    <row r="59" spans="1:39" s="165" customFormat="1" ht="151.5" customHeight="1" x14ac:dyDescent="0.35">
      <c r="A59" s="373"/>
      <c r="B59" s="375"/>
      <c r="C59" s="379"/>
      <c r="D59" s="378"/>
      <c r="E59" s="350"/>
      <c r="F59" s="350"/>
      <c r="G59" s="350"/>
      <c r="H59" s="345"/>
      <c r="I59" s="350"/>
      <c r="J59" s="352"/>
      <c r="K59" s="354"/>
      <c r="L59" s="357"/>
      <c r="M59" s="360"/>
      <c r="N59" s="143"/>
      <c r="O59" s="354"/>
      <c r="P59" s="357"/>
      <c r="Q59" s="347"/>
      <c r="R59" s="130">
        <v>2</v>
      </c>
      <c r="S59" s="98"/>
      <c r="T59" s="131" t="str">
        <f t="shared" ref="T59:T60" si="82">IF(OR(U59="Preventivo",U59="Detectivo"),"Probabilidad",IF(U59="Correctivo","Impacto",""))</f>
        <v/>
      </c>
      <c r="U59" s="132"/>
      <c r="V59" s="132"/>
      <c r="W59" s="133"/>
      <c r="X59" s="132"/>
      <c r="Y59" s="132"/>
      <c r="Z59" s="132"/>
      <c r="AA59" s="134" t="str">
        <f>IFERROR(IF(T59="Probabilidad",(AA58-(+AA58*W59)),IF(T59="Impacto",L59,"")),"")</f>
        <v/>
      </c>
      <c r="AB59" s="135" t="str">
        <f t="shared" ref="AB59:AB60" si="83">IFERROR(IF(AA59="","",IF(AA59&lt;=0.2,"Muy Baja",IF(AA59&lt;=0.4,"Baja",IF(AA59&lt;=0.6,"Media",IF(AA59&lt;=0.8,"Alta","Muy Alta"))))),"")</f>
        <v/>
      </c>
      <c r="AC59" s="136" t="str">
        <f t="shared" ref="AC59:AC60" si="84">+AA59</f>
        <v/>
      </c>
      <c r="AD59" s="135" t="str">
        <f t="shared" ref="AD59:AD60" si="85">IFERROR(IF(AE59="","",IF(AE59&lt;=0.2,"Leve",IF(AE59&lt;=0.4,"Menor",IF(AE59&lt;=0.6,"Moderado",IF(AE59&lt;=0.8,"Mayor","Catastrófico"))))),"")</f>
        <v/>
      </c>
      <c r="AE59" s="136" t="str">
        <f t="shared" ref="AE59:AE60" si="86">IFERROR(IF(T59="Impacto",(P59-(+P59*W59)),IF(T59="Probabilidad",P59,"")),"")</f>
        <v/>
      </c>
      <c r="AF59" s="137"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8"/>
      <c r="AH59" s="119"/>
      <c r="AI59" s="127"/>
      <c r="AJ59" s="144"/>
      <c r="AK59" s="144"/>
      <c r="AL59" s="119"/>
      <c r="AM59" s="140"/>
    </row>
    <row r="60" spans="1:39" s="165" customFormat="1" ht="151.5" customHeight="1" x14ac:dyDescent="0.35">
      <c r="A60" s="373"/>
      <c r="B60" s="376"/>
      <c r="C60" s="379"/>
      <c r="D60" s="378"/>
      <c r="E60" s="350"/>
      <c r="F60" s="350"/>
      <c r="G60" s="350"/>
      <c r="H60" s="345"/>
      <c r="I60" s="350"/>
      <c r="J60" s="352"/>
      <c r="K60" s="355"/>
      <c r="L60" s="358"/>
      <c r="M60" s="413"/>
      <c r="N60" s="143"/>
      <c r="O60" s="355"/>
      <c r="P60" s="358"/>
      <c r="Q60" s="348"/>
      <c r="R60" s="130">
        <v>3</v>
      </c>
      <c r="S60" s="98"/>
      <c r="T60" s="131" t="str">
        <f t="shared" si="82"/>
        <v/>
      </c>
      <c r="U60" s="132"/>
      <c r="V60" s="132"/>
      <c r="W60" s="133"/>
      <c r="X60" s="132"/>
      <c r="Y60" s="132"/>
      <c r="Z60" s="132"/>
      <c r="AA60" s="134" t="str">
        <f>IFERROR(IF(T60="Probabilidad",(AA59-(+AA59*W60)),IF(T60="Impacto",L60,"")),"")</f>
        <v/>
      </c>
      <c r="AB60" s="135" t="str">
        <f t="shared" si="83"/>
        <v/>
      </c>
      <c r="AC60" s="136" t="str">
        <f t="shared" si="84"/>
        <v/>
      </c>
      <c r="AD60" s="135" t="str">
        <f t="shared" si="85"/>
        <v/>
      </c>
      <c r="AE60" s="136" t="str">
        <f t="shared" si="86"/>
        <v/>
      </c>
      <c r="AF60" s="137" t="str">
        <f t="shared" si="87"/>
        <v/>
      </c>
      <c r="AG60" s="138"/>
      <c r="AH60" s="119"/>
      <c r="AI60" s="127"/>
      <c r="AJ60" s="144"/>
      <c r="AK60" s="144"/>
      <c r="AL60" s="119"/>
      <c r="AM60" s="140"/>
    </row>
    <row r="61" spans="1:39" s="165" customFormat="1" ht="151.5" customHeight="1" x14ac:dyDescent="0.35">
      <c r="A61" s="373">
        <v>19</v>
      </c>
      <c r="B61" s="374" t="s">
        <v>274</v>
      </c>
      <c r="C61" s="377" t="s">
        <v>275</v>
      </c>
      <c r="D61" s="377" t="s">
        <v>401</v>
      </c>
      <c r="E61" s="349" t="s">
        <v>120</v>
      </c>
      <c r="F61" s="402" t="s">
        <v>280</v>
      </c>
      <c r="G61" s="349" t="s">
        <v>281</v>
      </c>
      <c r="H61" s="344" t="s">
        <v>594</v>
      </c>
      <c r="I61" s="349" t="s">
        <v>115</v>
      </c>
      <c r="J61" s="351">
        <v>246</v>
      </c>
      <c r="K61" s="353" t="str">
        <f>IF(J61&lt;=0,"",IF(J61&lt;=2,"Muy Baja",IF(J61&lt;=24,"Baja",IF(J61&lt;=500,"Media",IF(J61&lt;=5000,"Alta","Muy Alta")))))</f>
        <v>Media</v>
      </c>
      <c r="L61" s="356">
        <f>IF(K61="","",IF(K61="Muy Baja",0.2,IF(K61="Baja",0.4,IF(K61="Media",0.6,IF(K61="Alta",0.8,IF(K61="Muy Alta",1,))))))</f>
        <v>0.6</v>
      </c>
      <c r="M61" s="359" t="s">
        <v>524</v>
      </c>
      <c r="N61" s="129" t="str">
        <f>IF(NOT(ISERROR(MATCH(M61,'Tabla Impacto'!$B$221:$B$223,0))),'Tabla Impacto'!$F$223&amp;"Por favor no seleccionar los criterios de impacto(Afectación Económica o presupuestal y Pérdida Reputacional)",M61)</f>
        <v xml:space="preserve"> El riesgo afecta la imagen de la entidad con efecto publicitario sostenido a nivel de sector administrativo, nivel departamental o municipal</v>
      </c>
      <c r="O61" s="353" t="str">
        <f>IF(OR(N61='Tabla Impacto'!$C$11,N61='Tabla Impacto'!$D$11),"Leve",IF(OR(N61='Tabla Impacto'!$C$12,N61='Tabla Impacto'!$D$12),"Menor",IF(OR(N61='Tabla Impacto'!$C$13,N61='Tabla Impacto'!$D$13),"Moderado",IF(OR(N61='Tabla Impacto'!$C$14,N61='Tabla Impacto'!$D$14),"Mayor",IF(OR(N61='Tabla Impacto'!$C$15,N61='Tabla Impacto'!$D$15),"Catastrófico","")))))</f>
        <v>Mayor</v>
      </c>
      <c r="P61" s="356">
        <f>IF(O61="","",IF(O61="Leve",0.2,IF(O61="Menor",0.4,IF(O61="Moderado",0.6,IF(O61="Mayor",0.8,IF(O61="Catastrófico",1,))))))</f>
        <v>0.8</v>
      </c>
      <c r="Q61" s="346"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Alto</v>
      </c>
      <c r="R61" s="130">
        <v>1</v>
      </c>
      <c r="S61" s="98" t="s">
        <v>586</v>
      </c>
      <c r="T61" s="131" t="str">
        <f t="shared" si="25"/>
        <v>Probabilidad</v>
      </c>
      <c r="U61" s="132" t="s">
        <v>14</v>
      </c>
      <c r="V61" s="132" t="s">
        <v>9</v>
      </c>
      <c r="W61" s="133" t="str">
        <f t="shared" si="26"/>
        <v>40%</v>
      </c>
      <c r="X61" s="132" t="s">
        <v>20</v>
      </c>
      <c r="Y61" s="132" t="s">
        <v>22</v>
      </c>
      <c r="Z61" s="132" t="s">
        <v>110</v>
      </c>
      <c r="AA61" s="134">
        <f t="shared" si="27"/>
        <v>0.36</v>
      </c>
      <c r="AB61" s="135" t="str">
        <f t="shared" si="28"/>
        <v>Baja</v>
      </c>
      <c r="AC61" s="136">
        <f t="shared" si="29"/>
        <v>0.36</v>
      </c>
      <c r="AD61" s="135" t="str">
        <f t="shared" si="30"/>
        <v>Mayor</v>
      </c>
      <c r="AE61" s="136">
        <f t="shared" si="31"/>
        <v>0.8</v>
      </c>
      <c r="AF61" s="137" t="str">
        <f t="shared" si="32"/>
        <v>Alto</v>
      </c>
      <c r="AG61" s="138" t="s">
        <v>122</v>
      </c>
      <c r="AH61" s="126" t="s">
        <v>385</v>
      </c>
      <c r="AI61" s="121" t="s">
        <v>213</v>
      </c>
      <c r="AJ61" s="157">
        <v>44562</v>
      </c>
      <c r="AK61" s="158" t="s">
        <v>387</v>
      </c>
      <c r="AL61" s="119" t="s">
        <v>282</v>
      </c>
      <c r="AM61" s="140"/>
    </row>
    <row r="62" spans="1:39" s="165" customFormat="1" ht="151.5" customHeight="1" x14ac:dyDescent="0.35">
      <c r="A62" s="373"/>
      <c r="B62" s="375"/>
      <c r="C62" s="379"/>
      <c r="D62" s="378"/>
      <c r="E62" s="350"/>
      <c r="F62" s="350"/>
      <c r="G62" s="350"/>
      <c r="H62" s="345"/>
      <c r="I62" s="350"/>
      <c r="J62" s="352"/>
      <c r="K62" s="354"/>
      <c r="L62" s="357"/>
      <c r="M62" s="360"/>
      <c r="N62" s="143"/>
      <c r="O62" s="354"/>
      <c r="P62" s="357"/>
      <c r="Q62" s="347"/>
      <c r="R62" s="130">
        <v>2</v>
      </c>
      <c r="S62" s="98"/>
      <c r="T62" s="131" t="str">
        <f t="shared" ref="T62:T63" si="88">IF(OR(U62="Preventivo",U62="Detectivo"),"Probabilidad",IF(U62="Correctivo","Impacto",""))</f>
        <v/>
      </c>
      <c r="U62" s="132"/>
      <c r="V62" s="132"/>
      <c r="W62" s="133"/>
      <c r="X62" s="132"/>
      <c r="Y62" s="132"/>
      <c r="Z62" s="132"/>
      <c r="AA62" s="134" t="str">
        <f>IFERROR(IF(T62="Probabilidad",(AA61-(+AA61*W62)),IF(T62="Impacto",L62,"")),"")</f>
        <v/>
      </c>
      <c r="AB62" s="135" t="str">
        <f t="shared" ref="AB62:AB63" si="89">IFERROR(IF(AA62="","",IF(AA62&lt;=0.2,"Muy Baja",IF(AA62&lt;=0.4,"Baja",IF(AA62&lt;=0.6,"Media",IF(AA62&lt;=0.8,"Alta","Muy Alta"))))),"")</f>
        <v/>
      </c>
      <c r="AC62" s="136" t="str">
        <f t="shared" ref="AC62:AC63" si="90">+AA62</f>
        <v/>
      </c>
      <c r="AD62" s="135" t="str">
        <f t="shared" ref="AD62:AD63" si="91">IFERROR(IF(AE62="","",IF(AE62&lt;=0.2,"Leve",IF(AE62&lt;=0.4,"Menor",IF(AE62&lt;=0.6,"Moderado",IF(AE62&lt;=0.8,"Mayor","Catastrófico"))))),"")</f>
        <v/>
      </c>
      <c r="AE62" s="136" t="str">
        <f t="shared" ref="AE62:AE63" si="92">IFERROR(IF(T62="Impacto",(P62-(+P62*W62)),IF(T62="Probabilidad",P62,"")),"")</f>
        <v/>
      </c>
      <c r="AF62" s="137" t="str">
        <f t="shared" ref="AF62:AF63" si="93">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38"/>
      <c r="AH62" s="119"/>
      <c r="AI62" s="127"/>
      <c r="AJ62" s="144"/>
      <c r="AK62" s="144"/>
      <c r="AL62" s="119"/>
      <c r="AM62" s="140"/>
    </row>
    <row r="63" spans="1:39" s="165" customFormat="1" ht="151.5" customHeight="1" x14ac:dyDescent="0.35">
      <c r="A63" s="373"/>
      <c r="B63" s="376"/>
      <c r="C63" s="379"/>
      <c r="D63" s="378"/>
      <c r="E63" s="350"/>
      <c r="F63" s="350"/>
      <c r="G63" s="350"/>
      <c r="H63" s="345"/>
      <c r="I63" s="350"/>
      <c r="J63" s="352"/>
      <c r="K63" s="355"/>
      <c r="L63" s="358"/>
      <c r="M63" s="360"/>
      <c r="N63" s="143"/>
      <c r="O63" s="355"/>
      <c r="P63" s="358"/>
      <c r="Q63" s="348"/>
      <c r="R63" s="130">
        <v>3</v>
      </c>
      <c r="S63" s="98"/>
      <c r="T63" s="131" t="str">
        <f t="shared" si="88"/>
        <v/>
      </c>
      <c r="U63" s="132"/>
      <c r="V63" s="132"/>
      <c r="W63" s="133"/>
      <c r="X63" s="132"/>
      <c r="Y63" s="132"/>
      <c r="Z63" s="132"/>
      <c r="AA63" s="134" t="str">
        <f>IFERROR(IF(T63="Probabilidad",(AA62-(+AA62*W63)),IF(T63="Impacto",L63,"")),"")</f>
        <v/>
      </c>
      <c r="AB63" s="135" t="str">
        <f t="shared" si="89"/>
        <v/>
      </c>
      <c r="AC63" s="136" t="str">
        <f t="shared" si="90"/>
        <v/>
      </c>
      <c r="AD63" s="135" t="str">
        <f t="shared" si="91"/>
        <v/>
      </c>
      <c r="AE63" s="136" t="str">
        <f t="shared" si="92"/>
        <v/>
      </c>
      <c r="AF63" s="137" t="str">
        <f t="shared" si="93"/>
        <v/>
      </c>
      <c r="AG63" s="138"/>
      <c r="AH63" s="119"/>
      <c r="AI63" s="127"/>
      <c r="AJ63" s="144"/>
      <c r="AK63" s="144"/>
      <c r="AL63" s="119"/>
      <c r="AM63" s="140"/>
    </row>
    <row r="64" spans="1:39" s="165" customFormat="1" ht="151.5" customHeight="1" x14ac:dyDescent="0.35">
      <c r="A64" s="373">
        <v>20</v>
      </c>
      <c r="B64" s="374" t="s">
        <v>283</v>
      </c>
      <c r="C64" s="377" t="s">
        <v>367</v>
      </c>
      <c r="D64" s="377" t="s">
        <v>402</v>
      </c>
      <c r="E64" s="349" t="s">
        <v>120</v>
      </c>
      <c r="F64" s="402" t="s">
        <v>569</v>
      </c>
      <c r="G64" s="402" t="s">
        <v>570</v>
      </c>
      <c r="H64" s="344" t="s">
        <v>568</v>
      </c>
      <c r="I64" s="349" t="s">
        <v>336</v>
      </c>
      <c r="J64" s="351">
        <v>4</v>
      </c>
      <c r="K64" s="353" t="str">
        <f>IF(J64&lt;=0,"",IF(J64&lt;=2,"Muy Baja",IF(J64&lt;=24,"Baja",IF(J64&lt;=500,"Media",IF(J64&lt;=5000,"Alta","Muy Alta")))))</f>
        <v>Baja</v>
      </c>
      <c r="L64" s="356">
        <f>IF(K64="","",IF(K64="Muy Baja",0.2,IF(K64="Baja",0.4,IF(K64="Media",0.6,IF(K64="Alta",0.8,IF(K64="Muy Alta",1,))))))</f>
        <v>0.4</v>
      </c>
      <c r="M64" s="359" t="s">
        <v>513</v>
      </c>
      <c r="N64" s="129" t="str">
        <f>IF(NOT(ISERROR(MATCH(M64,'Tabla Impacto'!$B$221:$B$223,0))),'Tabla Impacto'!$F$223&amp;"Por favor no seleccionar los criterios de impacto(Afectación Económica o presupuestal y Pérdida Reputacional)",M64)</f>
        <v xml:space="preserve"> Afectación menor a 10 SMLMV .</v>
      </c>
      <c r="O64" s="353" t="str">
        <f>IF(OR(N64='Tabla Impacto'!$C$11,N64='Tabla Impacto'!$D$11),"Leve",IF(OR(N64='Tabla Impacto'!$C$12,N64='Tabla Impacto'!$D$12),"Menor",IF(OR(N64='Tabla Impacto'!$C$13,N64='Tabla Impacto'!$D$13),"Moderado",IF(OR(N64='Tabla Impacto'!$C$14,N64='Tabla Impacto'!$D$14),"Mayor",IF(OR(N64='Tabla Impacto'!$C$15,N64='Tabla Impacto'!$D$15),"Catastrófico","")))))</f>
        <v>Leve</v>
      </c>
      <c r="P64" s="356">
        <f>IF(O64="","",IF(O64="Leve",0.2,IF(O64="Menor",0.4,IF(O64="Moderado",0.6,IF(O64="Mayor",0.8,IF(O64="Catastrófico",1,))))))</f>
        <v>0.2</v>
      </c>
      <c r="Q64" s="346"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Bajo</v>
      </c>
      <c r="R64" s="130">
        <v>1</v>
      </c>
      <c r="S64" s="98" t="s">
        <v>571</v>
      </c>
      <c r="T64" s="131" t="str">
        <f t="shared" si="25"/>
        <v>Probabilidad</v>
      </c>
      <c r="U64" s="132" t="s">
        <v>14</v>
      </c>
      <c r="V64" s="132" t="s">
        <v>9</v>
      </c>
      <c r="W64" s="133" t="str">
        <f t="shared" si="26"/>
        <v>40%</v>
      </c>
      <c r="X64" s="132" t="s">
        <v>19</v>
      </c>
      <c r="Y64" s="132" t="s">
        <v>22</v>
      </c>
      <c r="Z64" s="132" t="s">
        <v>110</v>
      </c>
      <c r="AA64" s="134">
        <f t="shared" si="27"/>
        <v>0.24</v>
      </c>
      <c r="AB64" s="135" t="str">
        <f t="shared" si="28"/>
        <v>Baja</v>
      </c>
      <c r="AC64" s="136">
        <f t="shared" si="29"/>
        <v>0.24</v>
      </c>
      <c r="AD64" s="135" t="str">
        <f t="shared" si="30"/>
        <v>Leve</v>
      </c>
      <c r="AE64" s="136">
        <f t="shared" si="31"/>
        <v>0.2</v>
      </c>
      <c r="AF64" s="137" t="str">
        <f t="shared" si="32"/>
        <v>Bajo</v>
      </c>
      <c r="AG64" s="138" t="s">
        <v>122</v>
      </c>
      <c r="AH64" s="119" t="s">
        <v>572</v>
      </c>
      <c r="AI64" s="127" t="s">
        <v>213</v>
      </c>
      <c r="AJ64" s="144" t="s">
        <v>288</v>
      </c>
      <c r="AK64" s="144" t="s">
        <v>289</v>
      </c>
      <c r="AL64" s="159" t="s">
        <v>581</v>
      </c>
      <c r="AM64" s="140"/>
    </row>
    <row r="65" spans="1:39" s="165" customFormat="1" ht="151.5" customHeight="1" x14ac:dyDescent="0.35">
      <c r="A65" s="373"/>
      <c r="B65" s="375"/>
      <c r="C65" s="378"/>
      <c r="D65" s="378"/>
      <c r="E65" s="350"/>
      <c r="F65" s="350"/>
      <c r="G65" s="350"/>
      <c r="H65" s="345"/>
      <c r="I65" s="350"/>
      <c r="J65" s="352"/>
      <c r="K65" s="354"/>
      <c r="L65" s="357"/>
      <c r="M65" s="360"/>
      <c r="N65" s="143"/>
      <c r="O65" s="354"/>
      <c r="P65" s="357"/>
      <c r="Q65" s="347"/>
      <c r="R65" s="130">
        <v>2</v>
      </c>
      <c r="S65" s="98"/>
      <c r="T65" s="131"/>
      <c r="U65" s="132"/>
      <c r="V65" s="132"/>
      <c r="W65" s="133"/>
      <c r="X65" s="132"/>
      <c r="Y65" s="132"/>
      <c r="Z65" s="132"/>
      <c r="AA65" s="134"/>
      <c r="AB65" s="135"/>
      <c r="AC65" s="136"/>
      <c r="AD65" s="135"/>
      <c r="AE65" s="136"/>
      <c r="AF65" s="137"/>
      <c r="AG65" s="138"/>
      <c r="AH65" s="119"/>
      <c r="AI65" s="127"/>
      <c r="AJ65" s="144"/>
      <c r="AK65" s="144"/>
      <c r="AL65" s="159"/>
      <c r="AM65" s="140"/>
    </row>
    <row r="66" spans="1:39" s="165" customFormat="1" ht="151.5" customHeight="1" x14ac:dyDescent="0.35">
      <c r="A66" s="373"/>
      <c r="B66" s="376"/>
      <c r="C66" s="378"/>
      <c r="D66" s="378"/>
      <c r="E66" s="350"/>
      <c r="F66" s="350"/>
      <c r="G66" s="350"/>
      <c r="H66" s="345"/>
      <c r="I66" s="350"/>
      <c r="J66" s="352"/>
      <c r="K66" s="355"/>
      <c r="L66" s="358"/>
      <c r="M66" s="360"/>
      <c r="N66" s="143"/>
      <c r="O66" s="355"/>
      <c r="P66" s="358"/>
      <c r="Q66" s="348"/>
      <c r="R66" s="130">
        <v>3</v>
      </c>
      <c r="S66" s="98"/>
      <c r="T66" s="131" t="str">
        <f t="shared" ref="T66" si="94">IF(OR(U66="Preventivo",U66="Detectivo"),"Probabilidad",IF(U66="Correctivo","Impacto",""))</f>
        <v/>
      </c>
      <c r="U66" s="132"/>
      <c r="V66" s="132"/>
      <c r="W66" s="133"/>
      <c r="X66" s="132"/>
      <c r="Y66" s="132"/>
      <c r="Z66" s="132"/>
      <c r="AA66" s="134"/>
      <c r="AB66" s="135"/>
      <c r="AC66" s="136"/>
      <c r="AD66" s="135"/>
      <c r="AE66" s="136"/>
      <c r="AF66" s="137"/>
      <c r="AG66" s="138"/>
      <c r="AH66" s="119"/>
      <c r="AI66" s="127"/>
      <c r="AJ66" s="144"/>
      <c r="AK66" s="144"/>
      <c r="AL66" s="119"/>
      <c r="AM66" s="140"/>
    </row>
    <row r="67" spans="1:39" s="165" customFormat="1" ht="151.5" customHeight="1" x14ac:dyDescent="0.35">
      <c r="A67" s="373">
        <v>21</v>
      </c>
      <c r="B67" s="374" t="s">
        <v>283</v>
      </c>
      <c r="C67" s="377" t="s">
        <v>367</v>
      </c>
      <c r="D67" s="377" t="s">
        <v>402</v>
      </c>
      <c r="E67" s="349" t="s">
        <v>118</v>
      </c>
      <c r="F67" s="349" t="s">
        <v>466</v>
      </c>
      <c r="G67" s="349" t="s">
        <v>286</v>
      </c>
      <c r="H67" s="344" t="s">
        <v>285</v>
      </c>
      <c r="I67" s="349" t="s">
        <v>334</v>
      </c>
      <c r="J67" s="351">
        <v>12</v>
      </c>
      <c r="K67" s="353" t="str">
        <f>IF(J67&lt;=0,"",IF(J67&lt;=2,"Muy Baja",IF(J67&lt;=24,"Baja",IF(J67&lt;=500,"Media",IF(J67&lt;=5000,"Alta","Muy Alta")))))</f>
        <v>Baja</v>
      </c>
      <c r="L67" s="356">
        <f>IF(K67="","",IF(K67="Muy Baja",0.2,IF(K67="Baja",0.4,IF(K67="Media",0.6,IF(K67="Alta",0.8,IF(K67="Muy Alta",1,))))))</f>
        <v>0.4</v>
      </c>
      <c r="M67" s="359" t="s">
        <v>522</v>
      </c>
      <c r="N67" s="129" t="str">
        <f>IF(NOT(ISERROR(MATCH(M67,'Tabla Impacto'!$B$221:$B$223,0))),'Tabla Impacto'!$F$223&amp;"Por favor no seleccionar los criterios de impacto(Afectación Económica o presupuestal y Pérdida Reputacional)",M67)</f>
        <v xml:space="preserve"> El riesgo afecta la imagen de la entidad internamente, de conocimiento general, nivel interno, de junta directiva y accionistas y/o de proveedores</v>
      </c>
      <c r="O67" s="353" t="str">
        <f>IF(OR(N67='Tabla Impacto'!$C$11,N67='Tabla Impacto'!$D$11),"Leve",IF(OR(N67='Tabla Impacto'!$C$12,N67='Tabla Impacto'!$D$12),"Menor",IF(OR(N67='Tabla Impacto'!$C$13,N67='Tabla Impacto'!$D$13),"Moderado",IF(OR(N67='Tabla Impacto'!$C$14,N67='Tabla Impacto'!$D$14),"Mayor",IF(OR(N67='Tabla Impacto'!$C$15,N67='Tabla Impacto'!$D$15),"Catastrófico","")))))</f>
        <v>Menor</v>
      </c>
      <c r="P67" s="356">
        <f>IF(O67="","",IF(O67="Leve",0.2,IF(O67="Menor",0.4,IF(O67="Moderado",0.6,IF(O67="Mayor",0.8,IF(O67="Catastrófico",1,))))))</f>
        <v>0.4</v>
      </c>
      <c r="Q67" s="346"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30">
        <v>1</v>
      </c>
      <c r="S67" s="119" t="s">
        <v>573</v>
      </c>
      <c r="T67" s="131" t="str">
        <f t="shared" si="25"/>
        <v>Probabilidad</v>
      </c>
      <c r="U67" s="132" t="s">
        <v>15</v>
      </c>
      <c r="V67" s="132" t="s">
        <v>9</v>
      </c>
      <c r="W67" s="133" t="str">
        <f t="shared" si="26"/>
        <v>30%</v>
      </c>
      <c r="X67" s="132" t="s">
        <v>19</v>
      </c>
      <c r="Y67" s="132" t="s">
        <v>22</v>
      </c>
      <c r="Z67" s="132" t="s">
        <v>110</v>
      </c>
      <c r="AA67" s="134">
        <f t="shared" si="27"/>
        <v>0.28000000000000003</v>
      </c>
      <c r="AB67" s="135" t="str">
        <f t="shared" si="28"/>
        <v>Baja</v>
      </c>
      <c r="AC67" s="136">
        <f t="shared" si="29"/>
        <v>0.28000000000000003</v>
      </c>
      <c r="AD67" s="135" t="str">
        <f t="shared" si="30"/>
        <v>Menor</v>
      </c>
      <c r="AE67" s="136">
        <f t="shared" si="31"/>
        <v>0.4</v>
      </c>
      <c r="AF67" s="137" t="str">
        <f t="shared" si="32"/>
        <v>Moderado</v>
      </c>
      <c r="AG67" s="138" t="s">
        <v>122</v>
      </c>
      <c r="AH67" s="119" t="s">
        <v>574</v>
      </c>
      <c r="AI67" s="127" t="s">
        <v>262</v>
      </c>
      <c r="AJ67" s="144" t="s">
        <v>288</v>
      </c>
      <c r="AK67" s="144" t="s">
        <v>289</v>
      </c>
      <c r="AL67" s="119" t="s">
        <v>575</v>
      </c>
      <c r="AM67" s="140"/>
    </row>
    <row r="68" spans="1:39" s="165" customFormat="1" ht="151.5" customHeight="1" x14ac:dyDescent="0.35">
      <c r="A68" s="373"/>
      <c r="B68" s="375"/>
      <c r="C68" s="378"/>
      <c r="D68" s="378"/>
      <c r="E68" s="350"/>
      <c r="F68" s="350"/>
      <c r="G68" s="350"/>
      <c r="H68" s="345"/>
      <c r="I68" s="350"/>
      <c r="J68" s="352"/>
      <c r="K68" s="354"/>
      <c r="L68" s="357"/>
      <c r="M68" s="360"/>
      <c r="N68" s="143"/>
      <c r="O68" s="354"/>
      <c r="P68" s="357"/>
      <c r="Q68" s="347"/>
      <c r="R68" s="130">
        <v>2</v>
      </c>
      <c r="S68" s="119"/>
      <c r="T68" s="131"/>
      <c r="U68" s="132"/>
      <c r="V68" s="132"/>
      <c r="W68" s="133"/>
      <c r="X68" s="132"/>
      <c r="Y68" s="132"/>
      <c r="Z68" s="132"/>
      <c r="AA68" s="134"/>
      <c r="AB68" s="135"/>
      <c r="AC68" s="136"/>
      <c r="AD68" s="135"/>
      <c r="AE68" s="136"/>
      <c r="AF68" s="137"/>
      <c r="AG68" s="138"/>
      <c r="AH68" s="119"/>
      <c r="AI68" s="127"/>
      <c r="AJ68" s="144"/>
      <c r="AK68" s="144"/>
      <c r="AL68" s="119"/>
      <c r="AM68" s="140"/>
    </row>
    <row r="69" spans="1:39" s="165" customFormat="1" ht="151.5" customHeight="1" x14ac:dyDescent="0.35">
      <c r="A69" s="373"/>
      <c r="B69" s="376"/>
      <c r="C69" s="378"/>
      <c r="D69" s="378"/>
      <c r="E69" s="350"/>
      <c r="F69" s="350"/>
      <c r="G69" s="350"/>
      <c r="H69" s="345"/>
      <c r="I69" s="350"/>
      <c r="J69" s="352"/>
      <c r="K69" s="355"/>
      <c r="L69" s="358"/>
      <c r="M69" s="360"/>
      <c r="N69" s="143"/>
      <c r="O69" s="355"/>
      <c r="P69" s="358"/>
      <c r="Q69" s="348"/>
      <c r="R69" s="130">
        <v>3</v>
      </c>
      <c r="S69" s="119"/>
      <c r="T69" s="131"/>
      <c r="U69" s="132"/>
      <c r="V69" s="132"/>
      <c r="W69" s="133"/>
      <c r="X69" s="132"/>
      <c r="Y69" s="132"/>
      <c r="Z69" s="132"/>
      <c r="AA69" s="134"/>
      <c r="AB69" s="135"/>
      <c r="AC69" s="136"/>
      <c r="AD69" s="135"/>
      <c r="AE69" s="136"/>
      <c r="AF69" s="137"/>
      <c r="AG69" s="138"/>
      <c r="AH69" s="119"/>
      <c r="AI69" s="127"/>
      <c r="AJ69" s="144"/>
      <c r="AK69" s="144"/>
      <c r="AL69" s="119"/>
      <c r="AM69" s="140"/>
    </row>
    <row r="70" spans="1:39" s="226" customFormat="1" ht="151.5" customHeight="1" x14ac:dyDescent="0.35">
      <c r="A70" s="338">
        <v>22</v>
      </c>
      <c r="B70" s="339" t="s">
        <v>283</v>
      </c>
      <c r="C70" s="342" t="s">
        <v>367</v>
      </c>
      <c r="D70" s="342" t="s">
        <v>402</v>
      </c>
      <c r="E70" s="344" t="s">
        <v>120</v>
      </c>
      <c r="F70" s="344" t="s">
        <v>577</v>
      </c>
      <c r="G70" s="344" t="s">
        <v>376</v>
      </c>
      <c r="H70" s="344" t="s">
        <v>576</v>
      </c>
      <c r="I70" s="344" t="s">
        <v>115</v>
      </c>
      <c r="J70" s="325">
        <v>20</v>
      </c>
      <c r="K70" s="327" t="str">
        <f>IF(J70&lt;=0,"",IF(J70&lt;=2,"Muy Baja",IF(J70&lt;=24,"Baja",IF(J70&lt;=500,"Media",IF(J70&lt;=5000,"Alta","Muy Alta")))))</f>
        <v>Baja</v>
      </c>
      <c r="L70" s="330">
        <f>IF(K70="","",IF(K70="Muy Baja",0.2,IF(K70="Baja",0.4,IF(K70="Media",0.6,IF(K70="Alta",0.8,IF(K70="Muy Alta",1,))))))</f>
        <v>0.4</v>
      </c>
      <c r="M70" s="333" t="s">
        <v>517</v>
      </c>
      <c r="N70" s="211" t="str">
        <f>IF(NOT(ISERROR(MATCH(M70,'Tabla Impacto'!$B$221:$B$223,0))),'Tabla Impacto'!$F$223&amp;"Por favor no seleccionar los criterios de impacto(Afectación Económica o presupuestal y Pérdida Reputacional)",M70)</f>
        <v xml:space="preserve"> El riesgo afecta la imagen de la entidad con algunos usuarios de relevancia frente al logro de los objetivos</v>
      </c>
      <c r="O70" s="327" t="str">
        <f>IF(OR(N70='Tabla Impacto'!$C$11,N70='Tabla Impacto'!$D$11),"Leve",IF(OR(N70='Tabla Impacto'!$C$12,N70='Tabla Impacto'!$D$12),"Menor",IF(OR(N70='Tabla Impacto'!$C$13,N70='Tabla Impacto'!$D$13),"Moderado",IF(OR(N70='Tabla Impacto'!$C$14,N70='Tabla Impacto'!$D$14),"Mayor",IF(OR(N70='Tabla Impacto'!$C$15,N70='Tabla Impacto'!$D$15),"Catastrófico","")))))</f>
        <v>Moderado</v>
      </c>
      <c r="P70" s="330">
        <f>IF(O70="","",IF(O70="Leve",0.2,IF(O70="Menor",0.4,IF(O70="Moderado",0.6,IF(O70="Mayor",0.8,IF(O70="Catastrófico",1,))))))</f>
        <v>0.6</v>
      </c>
      <c r="Q70" s="335"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213">
        <v>1</v>
      </c>
      <c r="S70" s="126" t="s">
        <v>578</v>
      </c>
      <c r="T70" s="214" t="str">
        <f t="shared" ref="T70:T76" si="95">IF(OR(U70="Preventivo",U70="Detectivo"),"Probabilidad",IF(U70="Correctivo","Impacto",""))</f>
        <v>Probabilidad</v>
      </c>
      <c r="U70" s="215" t="s">
        <v>15</v>
      </c>
      <c r="V70" s="215" t="s">
        <v>9</v>
      </c>
      <c r="W70" s="216" t="str">
        <f t="shared" ref="W70:W76" si="96">IF(AND(U70="Preventivo",V70="Automático"),"50%",IF(AND(U70="Preventivo",V70="Manual"),"40%",IF(AND(U70="Detectivo",V70="Automático"),"40%",IF(AND(U70="Detectivo",V70="Manual"),"30%",IF(AND(U70="Correctivo",V70="Automático"),"35%",IF(AND(U70="Correctivo",V70="Manual"),"25%",""))))))</f>
        <v>30%</v>
      </c>
      <c r="X70" s="215" t="s">
        <v>19</v>
      </c>
      <c r="Y70" s="215" t="s">
        <v>22</v>
      </c>
      <c r="Z70" s="215" t="s">
        <v>110</v>
      </c>
      <c r="AA70" s="162">
        <f t="shared" ref="AA70" si="97">IFERROR(IF(T70="Probabilidad",(L70-(+L70*W70)),IF(T70="Impacto",L70,"")),"")</f>
        <v>0.28000000000000003</v>
      </c>
      <c r="AB70" s="217" t="str">
        <f t="shared" ref="AB70:AB76" si="98">IFERROR(IF(AA70="","",IF(AA70&lt;=0.2,"Muy Baja",IF(AA70&lt;=0.4,"Baja",IF(AA70&lt;=0.6,"Media",IF(AA70&lt;=0.8,"Alta","Muy Alta"))))),"")</f>
        <v>Baja</v>
      </c>
      <c r="AC70" s="218">
        <f t="shared" ref="AC70:AC76" si="99">+AA70</f>
        <v>0.28000000000000003</v>
      </c>
      <c r="AD70" s="217" t="str">
        <f t="shared" ref="AD70:AD76" si="100">IFERROR(IF(AE70="","",IF(AE70&lt;=0.2,"Leve",IF(AE70&lt;=0.4,"Menor",IF(AE70&lt;=0.6,"Moderado",IF(AE70&lt;=0.8,"Mayor","Catastrófico"))))),"")</f>
        <v>Moderado</v>
      </c>
      <c r="AE70" s="218">
        <f t="shared" ref="AE70" si="101">IFERROR(IF(T70="Impacto",(P70-(+P70*W70)),IF(T70="Probabilidad",P70,"")),"")</f>
        <v>0.6</v>
      </c>
      <c r="AF70" s="219" t="str">
        <f t="shared" ref="AF70:AF76" si="102">IFERROR(IF(OR(AND(AB70="Muy Baja",AD70="Leve"),AND(AB70="Muy Baja",AD70="Menor"),AND(AB70="Baja",AD70="Leve")),"Bajo",IF(OR(AND(AB70="Muy baja",AD70="Moderado"),AND(AB70="Baja",AD70="Menor"),AND(AB70="Baja",AD70="Moderado"),AND(AB70="Media",AD70="Leve"),AND(AB70="Media",AD70="Menor"),AND(AB70="Media",AD70="Moderado"),AND(AB70="Alta",AD70="Leve"),AND(AB70="Alta",AD70="Menor")),"Moderado",IF(OR(AND(AB70="Muy Baja",AD70="Mayor"),AND(AB70="Baja",AD70="Mayor"),AND(AB70="Media",AD70="Mayor"),AND(AB70="Alta",AD70="Moderado"),AND(AB70="Alta",AD70="Mayor"),AND(AB70="Muy Alta",AD70="Leve"),AND(AB70="Muy Alta",AD70="Menor"),AND(AB70="Muy Alta",AD70="Moderado"),AND(AB70="Muy Alta",AD70="Mayor")),"Alto",IF(OR(AND(AB70="Muy Baja",AD70="Catastrófico"),AND(AB70="Baja",AD70="Catastrófico"),AND(AB70="Media",AD70="Catastrófico"),AND(AB70="Alta",AD70="Catastrófico"),AND(AB70="Muy Alta",AD70="Catastrófico")),"Extremo","")))),"")</f>
        <v>Moderado</v>
      </c>
      <c r="AG70" s="220" t="s">
        <v>122</v>
      </c>
      <c r="AH70" s="126" t="s">
        <v>579</v>
      </c>
      <c r="AI70" s="121" t="s">
        <v>213</v>
      </c>
      <c r="AJ70" s="128" t="s">
        <v>288</v>
      </c>
      <c r="AK70" s="128" t="s">
        <v>289</v>
      </c>
      <c r="AL70" s="126" t="s">
        <v>580</v>
      </c>
      <c r="AM70" s="210"/>
    </row>
    <row r="71" spans="1:39" s="226" customFormat="1" ht="151.5" customHeight="1" x14ac:dyDescent="0.35">
      <c r="A71" s="338"/>
      <c r="B71" s="340"/>
      <c r="C71" s="343"/>
      <c r="D71" s="343"/>
      <c r="E71" s="345"/>
      <c r="F71" s="345"/>
      <c r="G71" s="345"/>
      <c r="H71" s="345"/>
      <c r="I71" s="345"/>
      <c r="J71" s="326"/>
      <c r="K71" s="328"/>
      <c r="L71" s="331"/>
      <c r="M71" s="334"/>
      <c r="N71" s="212"/>
      <c r="O71" s="328"/>
      <c r="P71" s="331"/>
      <c r="Q71" s="336"/>
      <c r="R71" s="213">
        <v>2</v>
      </c>
      <c r="S71" s="207"/>
      <c r="T71" s="199"/>
      <c r="U71" s="200"/>
      <c r="V71" s="200"/>
      <c r="W71" s="201"/>
      <c r="X71" s="200"/>
      <c r="Y71" s="200"/>
      <c r="Z71" s="200"/>
      <c r="AA71" s="202"/>
      <c r="AB71" s="203"/>
      <c r="AC71" s="204"/>
      <c r="AD71" s="203"/>
      <c r="AE71" s="204"/>
      <c r="AF71" s="205"/>
      <c r="AG71" s="206"/>
      <c r="AH71" s="207"/>
      <c r="AI71" s="208"/>
      <c r="AJ71" s="209"/>
      <c r="AK71" s="209"/>
      <c r="AL71" s="207"/>
      <c r="AM71" s="210"/>
    </row>
    <row r="72" spans="1:39" s="226" customFormat="1" ht="151.5" customHeight="1" x14ac:dyDescent="0.35">
      <c r="A72" s="338"/>
      <c r="B72" s="341"/>
      <c r="C72" s="343"/>
      <c r="D72" s="343"/>
      <c r="E72" s="345"/>
      <c r="F72" s="345"/>
      <c r="G72" s="345"/>
      <c r="H72" s="345"/>
      <c r="I72" s="345"/>
      <c r="J72" s="326"/>
      <c r="K72" s="329"/>
      <c r="L72" s="332"/>
      <c r="M72" s="334"/>
      <c r="N72" s="212"/>
      <c r="O72" s="329"/>
      <c r="P72" s="332"/>
      <c r="Q72" s="337"/>
      <c r="R72" s="213">
        <v>3</v>
      </c>
      <c r="S72" s="207"/>
      <c r="T72" s="199"/>
      <c r="U72" s="200"/>
      <c r="V72" s="200"/>
      <c r="W72" s="201"/>
      <c r="X72" s="200"/>
      <c r="Y72" s="200"/>
      <c r="Z72" s="200"/>
      <c r="AA72" s="202"/>
      <c r="AB72" s="203"/>
      <c r="AC72" s="204"/>
      <c r="AD72" s="203"/>
      <c r="AE72" s="204"/>
      <c r="AF72" s="205"/>
      <c r="AG72" s="206"/>
      <c r="AH72" s="207"/>
      <c r="AI72" s="208"/>
      <c r="AJ72" s="209"/>
      <c r="AK72" s="209"/>
      <c r="AL72" s="207"/>
      <c r="AM72" s="210"/>
    </row>
    <row r="73" spans="1:39" s="165" customFormat="1" ht="151.5" customHeight="1" x14ac:dyDescent="0.35">
      <c r="A73" s="373">
        <v>23</v>
      </c>
      <c r="B73" s="374" t="s">
        <v>287</v>
      </c>
      <c r="C73" s="377" t="s">
        <v>403</v>
      </c>
      <c r="D73" s="377" t="s">
        <v>404</v>
      </c>
      <c r="E73" s="349" t="s">
        <v>118</v>
      </c>
      <c r="F73" s="349" t="s">
        <v>337</v>
      </c>
      <c r="G73" s="349" t="s">
        <v>467</v>
      </c>
      <c r="H73" s="344" t="s">
        <v>595</v>
      </c>
      <c r="I73" s="349" t="s">
        <v>115</v>
      </c>
      <c r="J73" s="351">
        <v>30</v>
      </c>
      <c r="K73" s="353" t="str">
        <f>IF(J73&lt;=0,"",IF(J73&lt;=2,"Muy Baja",IF(J73&lt;=24,"Baja",IF(J73&lt;=500,"Media",IF(J73&lt;=5000,"Alta","Muy Alta")))))</f>
        <v>Media</v>
      </c>
      <c r="L73" s="356">
        <f>IF(K73="","",IF(K73="Muy Baja",0.2,IF(K73="Baja",0.4,IF(K73="Media",0.6,IF(K73="Alta",0.8,IF(K73="Muy Alta",1,))))))</f>
        <v>0.6</v>
      </c>
      <c r="M73" s="359" t="s">
        <v>524</v>
      </c>
      <c r="N73" s="129" t="str">
        <f>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353" t="str">
        <f>IF(OR(N73='Tabla Impacto'!$C$11,N73='Tabla Impacto'!$D$11),"Leve",IF(OR(N73='Tabla Impacto'!$C$12,N73='Tabla Impacto'!$D$12),"Menor",IF(OR(N73='Tabla Impacto'!$C$13,N73='Tabla Impacto'!$D$13),"Moderado",IF(OR(N73='Tabla Impacto'!$C$14,N73='Tabla Impacto'!$D$14),"Mayor",IF(OR(N73='Tabla Impacto'!$C$15,N73='Tabla Impacto'!$D$15),"Catastrófico","")))))</f>
        <v>Mayor</v>
      </c>
      <c r="P73" s="356">
        <f>IF(O73="","",IF(O73="Leve",0.2,IF(O73="Menor",0.4,IF(O73="Moderado",0.6,IF(O73="Mayor",0.8,IF(O73="Catastrófico",1,))))))</f>
        <v>0.8</v>
      </c>
      <c r="Q73" s="346"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30">
        <v>1</v>
      </c>
      <c r="S73" s="119" t="s">
        <v>347</v>
      </c>
      <c r="T73" s="160" t="str">
        <f t="shared" si="95"/>
        <v>Probabilidad</v>
      </c>
      <c r="U73" s="148" t="s">
        <v>14</v>
      </c>
      <c r="V73" s="132" t="s">
        <v>9</v>
      </c>
      <c r="W73" s="133" t="str">
        <f t="shared" si="96"/>
        <v>40%</v>
      </c>
      <c r="X73" s="132" t="s">
        <v>19</v>
      </c>
      <c r="Y73" s="132" t="s">
        <v>23</v>
      </c>
      <c r="Z73" s="132" t="s">
        <v>110</v>
      </c>
      <c r="AA73" s="134">
        <f t="shared" ref="AA73:AA76" si="103">IFERROR(IF(T73="Probabilidad",(L73-(+L73*W73)),IF(T73="Impacto",L73,"")),"")</f>
        <v>0.36</v>
      </c>
      <c r="AB73" s="135" t="str">
        <f t="shared" si="98"/>
        <v>Baja</v>
      </c>
      <c r="AC73" s="136">
        <f t="shared" si="99"/>
        <v>0.36</v>
      </c>
      <c r="AD73" s="135" t="str">
        <f t="shared" si="100"/>
        <v>Mayor</v>
      </c>
      <c r="AE73" s="136">
        <f t="shared" ref="AE73:AE76" si="104">IFERROR(IF(T73="Impacto",(P73-(+P73*W73)),IF(T73="Probabilidad",P73,"")),"")</f>
        <v>0.8</v>
      </c>
      <c r="AF73" s="137" t="str">
        <f t="shared" si="102"/>
        <v>Alto</v>
      </c>
      <c r="AG73" s="138" t="s">
        <v>122</v>
      </c>
      <c r="AH73" s="126" t="s">
        <v>348</v>
      </c>
      <c r="AI73" s="121" t="s">
        <v>262</v>
      </c>
      <c r="AJ73" s="128" t="s">
        <v>288</v>
      </c>
      <c r="AK73" s="128" t="s">
        <v>289</v>
      </c>
      <c r="AL73" s="126" t="s">
        <v>407</v>
      </c>
      <c r="AM73" s="140"/>
    </row>
    <row r="74" spans="1:39" s="165" customFormat="1" ht="151.5" customHeight="1" x14ac:dyDescent="0.35">
      <c r="A74" s="373"/>
      <c r="B74" s="375"/>
      <c r="C74" s="379"/>
      <c r="D74" s="378"/>
      <c r="E74" s="350"/>
      <c r="F74" s="350"/>
      <c r="G74" s="350"/>
      <c r="H74" s="345"/>
      <c r="I74" s="350"/>
      <c r="J74" s="352"/>
      <c r="K74" s="354"/>
      <c r="L74" s="357"/>
      <c r="M74" s="360"/>
      <c r="N74" s="143"/>
      <c r="O74" s="354"/>
      <c r="P74" s="357"/>
      <c r="Q74" s="347"/>
      <c r="R74" s="130">
        <v>2</v>
      </c>
      <c r="S74" s="119" t="s">
        <v>349</v>
      </c>
      <c r="T74" s="160" t="str">
        <f t="shared" si="95"/>
        <v>Probabilidad</v>
      </c>
      <c r="U74" s="148" t="s">
        <v>14</v>
      </c>
      <c r="V74" s="132" t="s">
        <v>9</v>
      </c>
      <c r="W74" s="133" t="str">
        <f t="shared" si="96"/>
        <v>40%</v>
      </c>
      <c r="X74" s="132" t="s">
        <v>19</v>
      </c>
      <c r="Y74" s="132" t="s">
        <v>22</v>
      </c>
      <c r="Z74" s="132" t="s">
        <v>110</v>
      </c>
      <c r="AA74" s="134">
        <f>IFERROR(IF(T74="Probabilidad",(AA73-(+AA73*W74)),IF(T74="Impacto",L74,"")),"")</f>
        <v>0.216</v>
      </c>
      <c r="AB74" s="135" t="str">
        <f t="shared" si="98"/>
        <v>Baja</v>
      </c>
      <c r="AC74" s="136">
        <f t="shared" si="99"/>
        <v>0.216</v>
      </c>
      <c r="AD74" s="135" t="str">
        <f t="shared" si="100"/>
        <v>Mayor</v>
      </c>
      <c r="AE74" s="136">
        <v>0.8</v>
      </c>
      <c r="AF74" s="137" t="str">
        <f t="shared" si="102"/>
        <v>Alto</v>
      </c>
      <c r="AG74" s="138" t="s">
        <v>122</v>
      </c>
      <c r="AH74" s="126" t="s">
        <v>290</v>
      </c>
      <c r="AI74" s="121" t="s">
        <v>262</v>
      </c>
      <c r="AJ74" s="128" t="s">
        <v>288</v>
      </c>
      <c r="AK74" s="128" t="s">
        <v>289</v>
      </c>
      <c r="AL74" s="126" t="s">
        <v>407</v>
      </c>
      <c r="AM74" s="140"/>
    </row>
    <row r="75" spans="1:39" s="165" customFormat="1" ht="151.5" customHeight="1" x14ac:dyDescent="0.35">
      <c r="A75" s="403"/>
      <c r="B75" s="376"/>
      <c r="C75" s="379"/>
      <c r="D75" s="378"/>
      <c r="E75" s="350"/>
      <c r="F75" s="350"/>
      <c r="G75" s="350"/>
      <c r="H75" s="345"/>
      <c r="I75" s="350"/>
      <c r="J75" s="352"/>
      <c r="K75" s="355"/>
      <c r="L75" s="358"/>
      <c r="M75" s="360"/>
      <c r="N75" s="143"/>
      <c r="O75" s="355"/>
      <c r="P75" s="358"/>
      <c r="Q75" s="348"/>
      <c r="R75" s="130">
        <v>3</v>
      </c>
      <c r="S75" s="119" t="s">
        <v>405</v>
      </c>
      <c r="T75" s="160" t="str">
        <f t="shared" si="95"/>
        <v>Probabilidad</v>
      </c>
      <c r="U75" s="148" t="s">
        <v>15</v>
      </c>
      <c r="V75" s="132" t="s">
        <v>9</v>
      </c>
      <c r="W75" s="133" t="str">
        <f t="shared" si="96"/>
        <v>30%</v>
      </c>
      <c r="X75" s="132" t="s">
        <v>19</v>
      </c>
      <c r="Y75" s="132" t="s">
        <v>22</v>
      </c>
      <c r="Z75" s="132" t="s">
        <v>110</v>
      </c>
      <c r="AA75" s="134">
        <f>IFERROR(IF(T75="Probabilidad",(AA74-(+AA74*W75)),IF(T75="Impacto",L75,"")),"")</f>
        <v>0.1512</v>
      </c>
      <c r="AB75" s="135" t="str">
        <f t="shared" si="98"/>
        <v>Muy Baja</v>
      </c>
      <c r="AC75" s="136">
        <f t="shared" si="99"/>
        <v>0.1512</v>
      </c>
      <c r="AD75" s="135" t="str">
        <f t="shared" si="100"/>
        <v>Mayor</v>
      </c>
      <c r="AE75" s="136">
        <v>0.8</v>
      </c>
      <c r="AF75" s="137" t="str">
        <f t="shared" si="102"/>
        <v>Alto</v>
      </c>
      <c r="AG75" s="138" t="s">
        <v>122</v>
      </c>
      <c r="AH75" s="126" t="s">
        <v>406</v>
      </c>
      <c r="AI75" s="121" t="s">
        <v>262</v>
      </c>
      <c r="AJ75" s="128" t="s">
        <v>288</v>
      </c>
      <c r="AK75" s="128" t="s">
        <v>289</v>
      </c>
      <c r="AL75" s="126" t="s">
        <v>407</v>
      </c>
      <c r="AM75" s="140"/>
    </row>
    <row r="76" spans="1:39" s="165" customFormat="1" ht="151.5" customHeight="1" x14ac:dyDescent="0.35">
      <c r="A76" s="372">
        <v>24</v>
      </c>
      <c r="B76" s="374" t="s">
        <v>287</v>
      </c>
      <c r="C76" s="377" t="s">
        <v>403</v>
      </c>
      <c r="D76" s="377" t="s">
        <v>404</v>
      </c>
      <c r="E76" s="349" t="s">
        <v>118</v>
      </c>
      <c r="F76" s="349" t="s">
        <v>291</v>
      </c>
      <c r="G76" s="349" t="s">
        <v>468</v>
      </c>
      <c r="H76" s="344" t="s">
        <v>408</v>
      </c>
      <c r="I76" s="349" t="s">
        <v>334</v>
      </c>
      <c r="J76" s="351">
        <v>12</v>
      </c>
      <c r="K76" s="353" t="str">
        <f>IF(J76&lt;=0,"",IF(J76&lt;=2,"Muy Baja",IF(J76&lt;=24,"Baja",IF(J76&lt;=500,"Media",IF(J76&lt;=5000,"Alta","Muy Alta")))))</f>
        <v>Baja</v>
      </c>
      <c r="L76" s="356">
        <f>IF(K76="","",IF(K76="Muy Baja",0.2,IF(K76="Baja",0.4,IF(K76="Media",0.6,IF(K76="Alta",0.8,IF(K76="Muy Alta",1,))))))</f>
        <v>0.4</v>
      </c>
      <c r="M76" s="359" t="s">
        <v>517</v>
      </c>
      <c r="N76" s="129"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53" t="str">
        <f>IF(OR(N76='Tabla Impacto'!$C$11,N76='Tabla Impacto'!$D$11),"Leve",IF(OR(N76='Tabla Impacto'!$C$12,N76='Tabla Impacto'!$D$12),"Menor",IF(OR(N76='Tabla Impacto'!$C$13,N76='Tabla Impacto'!$D$13),"Moderado",IF(OR(N76='Tabla Impacto'!$C$14,N76='Tabla Impacto'!$D$14),"Mayor",IF(OR(N76='Tabla Impacto'!$C$15,N76='Tabla Impacto'!$D$15),"Catastrófico","")))))</f>
        <v>Moderado</v>
      </c>
      <c r="P76" s="356">
        <f>IF(O76="","",IF(O76="Leve",0.2,IF(O76="Menor",0.4,IF(O76="Moderado",0.6,IF(O76="Mayor",0.8,IF(O76="Catastrófico",1,))))))</f>
        <v>0.6</v>
      </c>
      <c r="Q76" s="346"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30">
        <v>1</v>
      </c>
      <c r="S76" s="98" t="s">
        <v>409</v>
      </c>
      <c r="T76" s="131" t="str">
        <f t="shared" si="95"/>
        <v>Probabilidad</v>
      </c>
      <c r="U76" s="132" t="s">
        <v>14</v>
      </c>
      <c r="V76" s="132" t="s">
        <v>9</v>
      </c>
      <c r="W76" s="133" t="str">
        <f t="shared" si="96"/>
        <v>40%</v>
      </c>
      <c r="X76" s="132" t="s">
        <v>19</v>
      </c>
      <c r="Y76" s="132" t="s">
        <v>22</v>
      </c>
      <c r="Z76" s="132" t="s">
        <v>110</v>
      </c>
      <c r="AA76" s="134">
        <f t="shared" si="103"/>
        <v>0.24</v>
      </c>
      <c r="AB76" s="135" t="str">
        <f t="shared" si="98"/>
        <v>Baja</v>
      </c>
      <c r="AC76" s="136">
        <f t="shared" si="99"/>
        <v>0.24</v>
      </c>
      <c r="AD76" s="135" t="str">
        <f t="shared" si="100"/>
        <v>Moderado</v>
      </c>
      <c r="AE76" s="136">
        <f t="shared" si="104"/>
        <v>0.6</v>
      </c>
      <c r="AF76" s="137" t="str">
        <f t="shared" si="102"/>
        <v>Moderado</v>
      </c>
      <c r="AG76" s="138" t="s">
        <v>122</v>
      </c>
      <c r="AH76" s="119" t="s">
        <v>410</v>
      </c>
      <c r="AI76" s="127" t="s">
        <v>199</v>
      </c>
      <c r="AJ76" s="144" t="s">
        <v>200</v>
      </c>
      <c r="AK76" s="144" t="s">
        <v>200</v>
      </c>
      <c r="AL76" s="119" t="s">
        <v>292</v>
      </c>
      <c r="AM76" s="140"/>
    </row>
    <row r="77" spans="1:39" s="165" customFormat="1" ht="151.5" customHeight="1" x14ac:dyDescent="0.35">
      <c r="A77" s="373"/>
      <c r="B77" s="375"/>
      <c r="C77" s="379"/>
      <c r="D77" s="378"/>
      <c r="E77" s="350"/>
      <c r="F77" s="350"/>
      <c r="G77" s="350"/>
      <c r="H77" s="345"/>
      <c r="I77" s="350"/>
      <c r="J77" s="352"/>
      <c r="K77" s="354"/>
      <c r="L77" s="357"/>
      <c r="M77" s="360"/>
      <c r="N77" s="143"/>
      <c r="O77" s="354"/>
      <c r="P77" s="357"/>
      <c r="Q77" s="347"/>
      <c r="R77" s="130">
        <v>2</v>
      </c>
      <c r="S77" s="98"/>
      <c r="T77" s="131" t="str">
        <f t="shared" ref="T77:T78" si="105">IF(OR(U77="Preventivo",U77="Detectivo"),"Probabilidad",IF(U77="Correctivo","Impacto",""))</f>
        <v/>
      </c>
      <c r="U77" s="132"/>
      <c r="V77" s="132"/>
      <c r="W77" s="133"/>
      <c r="X77" s="132"/>
      <c r="Y77" s="132"/>
      <c r="Z77" s="132"/>
      <c r="AA77" s="134" t="str">
        <f>IFERROR(IF(T77="Probabilidad",(AA76-(+AA76*W77)),IF(T77="Impacto",L77,"")),"")</f>
        <v/>
      </c>
      <c r="AB77" s="135" t="str">
        <f t="shared" ref="AB77:AB78" si="106">IFERROR(IF(AA77="","",IF(AA77&lt;=0.2,"Muy Baja",IF(AA77&lt;=0.4,"Baja",IF(AA77&lt;=0.6,"Media",IF(AA77&lt;=0.8,"Alta","Muy Alta"))))),"")</f>
        <v/>
      </c>
      <c r="AC77" s="136" t="str">
        <f t="shared" ref="AC77:AC78" si="107">+AA77</f>
        <v/>
      </c>
      <c r="AD77" s="135" t="str">
        <f t="shared" ref="AD77:AD78" si="108">IFERROR(IF(AE77="","",IF(AE77&lt;=0.2,"Leve",IF(AE77&lt;=0.4,"Menor",IF(AE77&lt;=0.6,"Moderado",IF(AE77&lt;=0.8,"Mayor","Catastrófico"))))),"")</f>
        <v/>
      </c>
      <c r="AE77" s="136" t="str">
        <f t="shared" ref="AE77:AE78" si="109">IFERROR(IF(T77="Impacto",(P77-(+P77*W77)),IF(T77="Probabilidad",P77,"")),"")</f>
        <v/>
      </c>
      <c r="AF77" s="137"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38"/>
      <c r="AH77" s="119"/>
      <c r="AI77" s="127"/>
      <c r="AJ77" s="144"/>
      <c r="AK77" s="144"/>
      <c r="AL77" s="119"/>
      <c r="AM77" s="140"/>
    </row>
    <row r="78" spans="1:39" s="165" customFormat="1" ht="151.5" customHeight="1" x14ac:dyDescent="0.35">
      <c r="A78" s="373"/>
      <c r="B78" s="376"/>
      <c r="C78" s="379"/>
      <c r="D78" s="378"/>
      <c r="E78" s="350"/>
      <c r="F78" s="350"/>
      <c r="G78" s="350"/>
      <c r="H78" s="345"/>
      <c r="I78" s="350"/>
      <c r="J78" s="352"/>
      <c r="K78" s="355"/>
      <c r="L78" s="358"/>
      <c r="M78" s="360"/>
      <c r="N78" s="143"/>
      <c r="O78" s="355"/>
      <c r="P78" s="358"/>
      <c r="Q78" s="348"/>
      <c r="R78" s="130">
        <v>3</v>
      </c>
      <c r="S78" s="98"/>
      <c r="T78" s="131" t="str">
        <f t="shared" si="105"/>
        <v/>
      </c>
      <c r="U78" s="132"/>
      <c r="V78" s="132"/>
      <c r="W78" s="133"/>
      <c r="X78" s="132"/>
      <c r="Y78" s="132"/>
      <c r="Z78" s="132"/>
      <c r="AA78" s="134" t="str">
        <f>IFERROR(IF(T78="Probabilidad",(AA77-(+AA77*W78)),IF(T78="Impacto",L78,"")),"")</f>
        <v/>
      </c>
      <c r="AB78" s="135" t="str">
        <f t="shared" si="106"/>
        <v/>
      </c>
      <c r="AC78" s="136" t="str">
        <f t="shared" si="107"/>
        <v/>
      </c>
      <c r="AD78" s="135" t="str">
        <f t="shared" si="108"/>
        <v/>
      </c>
      <c r="AE78" s="136" t="str">
        <f t="shared" si="109"/>
        <v/>
      </c>
      <c r="AF78" s="137" t="str">
        <f t="shared" si="110"/>
        <v/>
      </c>
      <c r="AG78" s="138"/>
      <c r="AH78" s="119"/>
      <c r="AI78" s="127"/>
      <c r="AJ78" s="144"/>
      <c r="AK78" s="144"/>
      <c r="AL78" s="119"/>
      <c r="AM78" s="140"/>
    </row>
    <row r="79" spans="1:39" s="165" customFormat="1" ht="151.5" customHeight="1" x14ac:dyDescent="0.35">
      <c r="A79" s="373">
        <v>25</v>
      </c>
      <c r="B79" s="374" t="s">
        <v>287</v>
      </c>
      <c r="C79" s="377" t="s">
        <v>403</v>
      </c>
      <c r="D79" s="377" t="s">
        <v>404</v>
      </c>
      <c r="E79" s="349" t="s">
        <v>120</v>
      </c>
      <c r="F79" s="349" t="s">
        <v>470</v>
      </c>
      <c r="G79" s="349" t="s">
        <v>469</v>
      </c>
      <c r="H79" s="344" t="s">
        <v>414</v>
      </c>
      <c r="I79" s="349" t="s">
        <v>334</v>
      </c>
      <c r="J79" s="351">
        <v>12</v>
      </c>
      <c r="K79" s="353" t="str">
        <f>IF(J79&lt;=0,"",IF(J79&lt;=2,"Muy Baja",IF(J79&lt;=24,"Baja",IF(J79&lt;=500,"Media",IF(J79&lt;=5000,"Alta","Muy Alta")))))</f>
        <v>Baja</v>
      </c>
      <c r="L79" s="356">
        <f>IF(K79="","",IF(K79="Muy Baja",0.2,IF(K79="Baja",0.4,IF(K79="Media",0.6,IF(K79="Alta",0.8,IF(K79="Muy Alta",1,))))))</f>
        <v>0.4</v>
      </c>
      <c r="M79" s="359" t="s">
        <v>517</v>
      </c>
      <c r="N79" s="129"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353" t="str">
        <f>IF(OR(N79='Tabla Impacto'!$C$11,N79='Tabla Impacto'!$D$11),"Leve",IF(OR(N79='Tabla Impacto'!$C$12,N79='Tabla Impacto'!$D$12),"Menor",IF(OR(N79='Tabla Impacto'!$C$13,N79='Tabla Impacto'!$D$13),"Moderado",IF(OR(N79='Tabla Impacto'!$C$14,N79='Tabla Impacto'!$D$14),"Mayor",IF(OR(N79='Tabla Impacto'!$C$15,N79='Tabla Impacto'!$D$15),"Catastrófico","")))))</f>
        <v>Moderado</v>
      </c>
      <c r="P79" s="356">
        <f>IF(O79="","",IF(O79="Leve",0.2,IF(O79="Menor",0.4,IF(O79="Moderado",0.6,IF(O79="Mayor",0.8,IF(O79="Catastrófico",1,))))))</f>
        <v>0.6</v>
      </c>
      <c r="Q79" s="346"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30">
        <v>1</v>
      </c>
      <c r="S79" s="98" t="s">
        <v>350</v>
      </c>
      <c r="T79" s="131" t="str">
        <f t="shared" si="25"/>
        <v>Probabilidad</v>
      </c>
      <c r="U79" s="132" t="s">
        <v>14</v>
      </c>
      <c r="V79" s="132" t="s">
        <v>9</v>
      </c>
      <c r="W79" s="133" t="str">
        <f t="shared" si="26"/>
        <v>40%</v>
      </c>
      <c r="X79" s="132" t="s">
        <v>19</v>
      </c>
      <c r="Y79" s="132" t="s">
        <v>22</v>
      </c>
      <c r="Z79" s="132" t="s">
        <v>110</v>
      </c>
      <c r="AA79" s="134">
        <f t="shared" si="27"/>
        <v>0.24</v>
      </c>
      <c r="AB79" s="135" t="str">
        <f t="shared" si="28"/>
        <v>Baja</v>
      </c>
      <c r="AC79" s="136">
        <f t="shared" si="29"/>
        <v>0.24</v>
      </c>
      <c r="AD79" s="135" t="str">
        <f t="shared" si="30"/>
        <v>Moderado</v>
      </c>
      <c r="AE79" s="136">
        <f t="shared" si="31"/>
        <v>0.6</v>
      </c>
      <c r="AF79" s="137" t="str">
        <f t="shared" si="32"/>
        <v>Moderado</v>
      </c>
      <c r="AG79" s="138" t="s">
        <v>122</v>
      </c>
      <c r="AH79" s="119" t="s">
        <v>293</v>
      </c>
      <c r="AI79" s="145" t="s">
        <v>262</v>
      </c>
      <c r="AJ79" s="144" t="s">
        <v>288</v>
      </c>
      <c r="AK79" s="144" t="s">
        <v>289</v>
      </c>
      <c r="AL79" s="119" t="s">
        <v>294</v>
      </c>
      <c r="AM79" s="140"/>
    </row>
    <row r="80" spans="1:39" s="165" customFormat="1" ht="151.5" customHeight="1" x14ac:dyDescent="0.35">
      <c r="A80" s="373"/>
      <c r="B80" s="375"/>
      <c r="C80" s="379"/>
      <c r="D80" s="378"/>
      <c r="E80" s="350"/>
      <c r="F80" s="350"/>
      <c r="G80" s="350"/>
      <c r="H80" s="345"/>
      <c r="I80" s="350"/>
      <c r="J80" s="352"/>
      <c r="K80" s="354"/>
      <c r="L80" s="357"/>
      <c r="M80" s="360"/>
      <c r="N80" s="143"/>
      <c r="O80" s="354"/>
      <c r="P80" s="357"/>
      <c r="Q80" s="347"/>
      <c r="R80" s="130">
        <v>2</v>
      </c>
      <c r="S80" s="98" t="s">
        <v>411</v>
      </c>
      <c r="T80" s="131" t="str">
        <f t="shared" ref="T80:T81" si="111">IF(OR(U80="Preventivo",U80="Detectivo"),"Probabilidad",IF(U80="Correctivo","Impacto",""))</f>
        <v>Probabilidad</v>
      </c>
      <c r="U80" s="132" t="s">
        <v>15</v>
      </c>
      <c r="V80" s="132" t="s">
        <v>9</v>
      </c>
      <c r="W80" s="133" t="str">
        <f t="shared" ref="W80:W81" si="112">IF(AND(U80="Preventivo",V80="Automático"),"50%",IF(AND(U80="Preventivo",V80="Manual"),"40%",IF(AND(U80="Detectivo",V80="Automático"),"40%",IF(AND(U80="Detectivo",V80="Manual"),"30%",IF(AND(U80="Correctivo",V80="Automático"),"35%",IF(AND(U80="Correctivo",V80="Manual"),"25%",""))))))</f>
        <v>30%</v>
      </c>
      <c r="X80" s="132" t="s">
        <v>20</v>
      </c>
      <c r="Y80" s="132" t="s">
        <v>23</v>
      </c>
      <c r="Z80" s="132" t="s">
        <v>110</v>
      </c>
      <c r="AA80" s="134">
        <f>IFERROR(IF(T80="Probabilidad",(AA79-(+AA79*W80)),IF(T80="Impacto",L80,"")),"")</f>
        <v>0.16799999999999998</v>
      </c>
      <c r="AB80" s="135" t="str">
        <f t="shared" ref="AB80:AB81" si="113">IFERROR(IF(AA80="","",IF(AA80&lt;=0.2,"Muy Baja",IF(AA80&lt;=0.4,"Baja",IF(AA80&lt;=0.6,"Media",IF(AA80&lt;=0.8,"Alta","Muy Alta"))))),"")</f>
        <v>Muy Baja</v>
      </c>
      <c r="AC80" s="136">
        <f t="shared" ref="AC80:AC81" si="114">+AA80</f>
        <v>0.16799999999999998</v>
      </c>
      <c r="AD80" s="135" t="str">
        <f t="shared" ref="AD80:AD81" si="115">IFERROR(IF(AE80="","",IF(AE80&lt;=0.2,"Leve",IF(AE80&lt;=0.4,"Menor",IF(AE80&lt;=0.6,"Moderado",IF(AE80&lt;=0.8,"Mayor","Catastrófico"))))),"")</f>
        <v>Moderado</v>
      </c>
      <c r="AE80" s="136">
        <v>0.6</v>
      </c>
      <c r="AF80" s="137" t="str">
        <f t="shared" ref="AF80:AF8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8" t="s">
        <v>122</v>
      </c>
      <c r="AH80" s="119" t="s">
        <v>412</v>
      </c>
      <c r="AI80" s="145" t="s">
        <v>262</v>
      </c>
      <c r="AJ80" s="144" t="s">
        <v>288</v>
      </c>
      <c r="AK80" s="144" t="s">
        <v>289</v>
      </c>
      <c r="AL80" s="119" t="s">
        <v>294</v>
      </c>
      <c r="AM80" s="140"/>
    </row>
    <row r="81" spans="1:39" s="165" customFormat="1" ht="151.5" customHeight="1" x14ac:dyDescent="0.35">
      <c r="A81" s="373"/>
      <c r="B81" s="376"/>
      <c r="C81" s="379"/>
      <c r="D81" s="378"/>
      <c r="E81" s="350"/>
      <c r="F81" s="350"/>
      <c r="G81" s="350"/>
      <c r="H81" s="345"/>
      <c r="I81" s="350"/>
      <c r="J81" s="352"/>
      <c r="K81" s="355"/>
      <c r="L81" s="358"/>
      <c r="M81" s="360"/>
      <c r="N81" s="143"/>
      <c r="O81" s="355"/>
      <c r="P81" s="358"/>
      <c r="Q81" s="348"/>
      <c r="R81" s="130">
        <v>3</v>
      </c>
      <c r="S81" s="98" t="s">
        <v>351</v>
      </c>
      <c r="T81" s="131" t="str">
        <f t="shared" si="111"/>
        <v>Probabilidad</v>
      </c>
      <c r="U81" s="132" t="s">
        <v>14</v>
      </c>
      <c r="V81" s="132" t="s">
        <v>9</v>
      </c>
      <c r="W81" s="133" t="str">
        <f t="shared" si="112"/>
        <v>40%</v>
      </c>
      <c r="X81" s="132" t="s">
        <v>19</v>
      </c>
      <c r="Y81" s="132" t="s">
        <v>22</v>
      </c>
      <c r="Z81" s="132" t="s">
        <v>110</v>
      </c>
      <c r="AA81" s="134">
        <f>IFERROR(IF(T81="Probabilidad",(AA80-(+AA80*W81)),IF(T81="Impacto",L81,"")),"")</f>
        <v>0.10079999999999999</v>
      </c>
      <c r="AB81" s="135" t="str">
        <f t="shared" si="113"/>
        <v>Muy Baja</v>
      </c>
      <c r="AC81" s="136">
        <f t="shared" si="114"/>
        <v>0.10079999999999999</v>
      </c>
      <c r="AD81" s="135" t="str">
        <f t="shared" si="115"/>
        <v>Moderado</v>
      </c>
      <c r="AE81" s="136">
        <v>0.6</v>
      </c>
      <c r="AF81" s="137" t="str">
        <f t="shared" si="116"/>
        <v>Moderado</v>
      </c>
      <c r="AG81" s="138" t="s">
        <v>122</v>
      </c>
      <c r="AH81" s="119" t="s">
        <v>413</v>
      </c>
      <c r="AI81" s="145" t="s">
        <v>262</v>
      </c>
      <c r="AJ81" s="144" t="s">
        <v>288</v>
      </c>
      <c r="AK81" s="144" t="s">
        <v>289</v>
      </c>
      <c r="AL81" s="119" t="s">
        <v>294</v>
      </c>
      <c r="AM81" s="140"/>
    </row>
    <row r="82" spans="1:39" s="165" customFormat="1" ht="151.5" customHeight="1" x14ac:dyDescent="0.35">
      <c r="A82" s="373">
        <v>26</v>
      </c>
      <c r="B82" s="424" t="s">
        <v>295</v>
      </c>
      <c r="C82" s="377" t="s">
        <v>368</v>
      </c>
      <c r="D82" s="377" t="s">
        <v>415</v>
      </c>
      <c r="E82" s="349" t="s">
        <v>120</v>
      </c>
      <c r="F82" s="349" t="s">
        <v>296</v>
      </c>
      <c r="G82" s="349" t="s">
        <v>297</v>
      </c>
      <c r="H82" s="344" t="s">
        <v>596</v>
      </c>
      <c r="I82" s="349" t="s">
        <v>115</v>
      </c>
      <c r="J82" s="351">
        <v>2</v>
      </c>
      <c r="K82" s="353" t="str">
        <f>IF(J82&lt;=0,"",IF(J82&lt;=2,"Muy Baja",IF(J82&lt;=24,"Baja",IF(J82&lt;=500,"Media",IF(J82&lt;=5000,"Alta","Muy Alta")))))</f>
        <v>Muy Baja</v>
      </c>
      <c r="L82" s="356">
        <f>IF(K82="","",IF(K82="Muy Baja",0.2,IF(K82="Baja",0.4,IF(K82="Media",0.6,IF(K82="Alta",0.8,IF(K82="Muy Alta",1,))))))</f>
        <v>0.2</v>
      </c>
      <c r="M82" s="359" t="s">
        <v>516</v>
      </c>
      <c r="N82" s="129" t="str">
        <f>IF(NOT(ISERROR(MATCH(M82,'Tabla Impacto'!$B$221:$B$223,0))),'Tabla Impacto'!$F$223&amp;"Por favor no seleccionar los criterios de impacto(Afectación Económica o presupuestal y Pérdida Reputacional)",M82)</f>
        <v xml:space="preserve"> Entre 50 y 100 SMLMV </v>
      </c>
      <c r="O82" s="353" t="str">
        <f>IF(OR(N82='Tabla Impacto'!$C$11,N82='Tabla Impacto'!$D$11),"Leve",IF(OR(N82='Tabla Impacto'!$C$12,N82='Tabla Impacto'!$D$12),"Menor",IF(OR(N82='Tabla Impacto'!$C$13,N82='Tabla Impacto'!$D$13),"Moderado",IF(OR(N82='Tabla Impacto'!$C$14,N82='Tabla Impacto'!$D$14),"Mayor",IF(OR(N82='Tabla Impacto'!$C$15,N82='Tabla Impacto'!$D$15),"Catastrófico","")))))</f>
        <v>Moderado</v>
      </c>
      <c r="P82" s="356">
        <f>IF(O82="","",IF(O82="Leve",0.2,IF(O82="Menor",0.4,IF(O82="Moderado",0.6,IF(O82="Mayor",0.8,IF(O82="Catastrófico",1,))))))</f>
        <v>0.6</v>
      </c>
      <c r="Q82" s="346"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30">
        <v>1</v>
      </c>
      <c r="S82" s="98" t="s">
        <v>471</v>
      </c>
      <c r="T82" s="131" t="str">
        <f t="shared" si="25"/>
        <v>Probabilidad</v>
      </c>
      <c r="U82" s="132" t="s">
        <v>14</v>
      </c>
      <c r="V82" s="132" t="s">
        <v>9</v>
      </c>
      <c r="W82" s="133" t="str">
        <f t="shared" si="26"/>
        <v>40%</v>
      </c>
      <c r="X82" s="132" t="s">
        <v>20</v>
      </c>
      <c r="Y82" s="132" t="s">
        <v>22</v>
      </c>
      <c r="Z82" s="132" t="s">
        <v>110</v>
      </c>
      <c r="AA82" s="134">
        <f t="shared" si="27"/>
        <v>0.12</v>
      </c>
      <c r="AB82" s="135" t="str">
        <f t="shared" si="28"/>
        <v>Muy Baja</v>
      </c>
      <c r="AC82" s="136">
        <f t="shared" si="29"/>
        <v>0.12</v>
      </c>
      <c r="AD82" s="135" t="str">
        <f t="shared" si="30"/>
        <v>Moderado</v>
      </c>
      <c r="AE82" s="136">
        <f t="shared" si="31"/>
        <v>0.6</v>
      </c>
      <c r="AF82" s="137" t="str">
        <f t="shared" si="32"/>
        <v>Moderado</v>
      </c>
      <c r="AG82" s="138" t="s">
        <v>122</v>
      </c>
      <c r="AH82" s="119" t="s">
        <v>473</v>
      </c>
      <c r="AI82" s="127" t="s">
        <v>416</v>
      </c>
      <c r="AJ82" s="157">
        <v>44562</v>
      </c>
      <c r="AK82" s="158" t="s">
        <v>387</v>
      </c>
      <c r="AL82" s="119" t="s">
        <v>474</v>
      </c>
      <c r="AM82" s="140"/>
    </row>
    <row r="83" spans="1:39" s="165" customFormat="1" ht="151.5" customHeight="1" x14ac:dyDescent="0.35">
      <c r="A83" s="373"/>
      <c r="B83" s="425"/>
      <c r="C83" s="378"/>
      <c r="D83" s="378"/>
      <c r="E83" s="350"/>
      <c r="F83" s="350"/>
      <c r="G83" s="350"/>
      <c r="H83" s="345"/>
      <c r="I83" s="350"/>
      <c r="J83" s="352"/>
      <c r="K83" s="354"/>
      <c r="L83" s="357"/>
      <c r="M83" s="360"/>
      <c r="N83" s="143"/>
      <c r="O83" s="354"/>
      <c r="P83" s="357"/>
      <c r="Q83" s="347"/>
      <c r="R83" s="130">
        <v>2</v>
      </c>
      <c r="S83" s="98" t="s">
        <v>352</v>
      </c>
      <c r="T83" s="131" t="str">
        <f t="shared" ref="T83:T85" si="117">IF(OR(U83="Preventivo",U83="Detectivo"),"Probabilidad",IF(U83="Correctivo","Impacto",""))</f>
        <v>Probabilidad</v>
      </c>
      <c r="U83" s="132" t="s">
        <v>14</v>
      </c>
      <c r="V83" s="132" t="s">
        <v>9</v>
      </c>
      <c r="W83" s="133" t="str">
        <f t="shared" ref="W83:W85" si="118">IF(AND(U83="Preventivo",V83="Automático"),"50%",IF(AND(U83="Preventivo",V83="Manual"),"40%",IF(AND(U83="Detectivo",V83="Automático"),"40%",IF(AND(U83="Detectivo",V83="Manual"),"30%",IF(AND(U83="Correctivo",V83="Automático"),"35%",IF(AND(U83="Correctivo",V83="Manual"),"25%",""))))))</f>
        <v>40%</v>
      </c>
      <c r="X83" s="132" t="s">
        <v>19</v>
      </c>
      <c r="Y83" s="132" t="s">
        <v>22</v>
      </c>
      <c r="Z83" s="132" t="s">
        <v>110</v>
      </c>
      <c r="AA83" s="134">
        <f>IFERROR(IF(T83="Probabilidad",(AA82-(+AA82*W83)),IF(T83="Impacto",L83,"")),"")</f>
        <v>7.1999999999999995E-2</v>
      </c>
      <c r="AB83" s="135" t="str">
        <f t="shared" ref="AB83:AB85" si="119">IFERROR(IF(AA83="","",IF(AA83&lt;=0.2,"Muy Baja",IF(AA83&lt;=0.4,"Baja",IF(AA83&lt;=0.6,"Media",IF(AA83&lt;=0.8,"Alta","Muy Alta"))))),"")</f>
        <v>Muy Baja</v>
      </c>
      <c r="AC83" s="136">
        <f t="shared" ref="AC83:AC85" si="120">+AA83</f>
        <v>7.1999999999999995E-2</v>
      </c>
      <c r="AD83" s="135" t="str">
        <f t="shared" ref="AD83:AD85" si="121">IFERROR(IF(AE83="","",IF(AE83&lt;=0.2,"Leve",IF(AE83&lt;=0.4,"Menor",IF(AE83&lt;=0.6,"Moderado",IF(AE83&lt;=0.8,"Mayor","Catastrófico"))))),"")</f>
        <v>Moderado</v>
      </c>
      <c r="AE83" s="136">
        <f>+AE82</f>
        <v>0.6</v>
      </c>
      <c r="AF83" s="137" t="str">
        <f t="shared" ref="AF83:AF85" si="122">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38" t="s">
        <v>122</v>
      </c>
      <c r="AH83" s="119" t="s">
        <v>528</v>
      </c>
      <c r="AI83" s="127" t="s">
        <v>416</v>
      </c>
      <c r="AJ83" s="157">
        <v>44562</v>
      </c>
      <c r="AK83" s="158" t="s">
        <v>387</v>
      </c>
      <c r="AL83" s="119" t="s">
        <v>474</v>
      </c>
      <c r="AM83" s="140"/>
    </row>
    <row r="84" spans="1:39" s="165" customFormat="1" ht="151.5" customHeight="1" x14ac:dyDescent="0.35">
      <c r="A84" s="373"/>
      <c r="B84" s="426"/>
      <c r="C84" s="378"/>
      <c r="D84" s="378"/>
      <c r="E84" s="350"/>
      <c r="F84" s="350"/>
      <c r="G84" s="350"/>
      <c r="H84" s="345"/>
      <c r="I84" s="350"/>
      <c r="J84" s="352"/>
      <c r="K84" s="355"/>
      <c r="L84" s="358"/>
      <c r="M84" s="360"/>
      <c r="N84" s="143"/>
      <c r="O84" s="355"/>
      <c r="P84" s="358"/>
      <c r="Q84" s="348"/>
      <c r="R84" s="130">
        <v>3</v>
      </c>
      <c r="S84" s="98" t="s">
        <v>472</v>
      </c>
      <c r="T84" s="131" t="str">
        <f t="shared" si="117"/>
        <v>Probabilidad</v>
      </c>
      <c r="U84" s="132" t="s">
        <v>15</v>
      </c>
      <c r="V84" s="132" t="s">
        <v>9</v>
      </c>
      <c r="W84" s="133" t="str">
        <f t="shared" si="118"/>
        <v>30%</v>
      </c>
      <c r="X84" s="132" t="s">
        <v>20</v>
      </c>
      <c r="Y84" s="132" t="s">
        <v>23</v>
      </c>
      <c r="Z84" s="132" t="s">
        <v>111</v>
      </c>
      <c r="AA84" s="134">
        <f>IFERROR(IF(T84="Probabilidad",(AA83-(+AA83*W84)),IF(T84="Impacto",L84,"")),"")</f>
        <v>5.04E-2</v>
      </c>
      <c r="AB84" s="135" t="str">
        <f t="shared" si="119"/>
        <v>Muy Baja</v>
      </c>
      <c r="AC84" s="136">
        <f t="shared" si="120"/>
        <v>5.04E-2</v>
      </c>
      <c r="AD84" s="135" t="str">
        <f t="shared" si="121"/>
        <v>Moderado</v>
      </c>
      <c r="AE84" s="136">
        <f>+P82</f>
        <v>0.6</v>
      </c>
      <c r="AF84" s="137" t="str">
        <f t="shared" si="122"/>
        <v>Moderado</v>
      </c>
      <c r="AG84" s="138" t="s">
        <v>122</v>
      </c>
      <c r="AH84" s="119" t="s">
        <v>529</v>
      </c>
      <c r="AI84" s="127" t="s">
        <v>416</v>
      </c>
      <c r="AJ84" s="157">
        <v>44562</v>
      </c>
      <c r="AK84" s="158" t="s">
        <v>387</v>
      </c>
      <c r="AL84" s="119" t="s">
        <v>474</v>
      </c>
      <c r="AM84" s="140"/>
    </row>
    <row r="85" spans="1:39" s="165" customFormat="1" ht="151.5" customHeight="1" x14ac:dyDescent="0.35">
      <c r="A85" s="373">
        <v>27</v>
      </c>
      <c r="B85" s="424" t="s">
        <v>295</v>
      </c>
      <c r="C85" s="377" t="s">
        <v>368</v>
      </c>
      <c r="D85" s="377" t="s">
        <v>415</v>
      </c>
      <c r="E85" s="349" t="s">
        <v>118</v>
      </c>
      <c r="F85" s="349" t="s">
        <v>475</v>
      </c>
      <c r="G85" s="349" t="s">
        <v>476</v>
      </c>
      <c r="H85" s="344" t="s">
        <v>477</v>
      </c>
      <c r="I85" s="349" t="s">
        <v>334</v>
      </c>
      <c r="J85" s="351">
        <v>10</v>
      </c>
      <c r="K85" s="353" t="str">
        <f>IF(J85&lt;=0,"",IF(J85&lt;=2,"Muy Baja",IF(J85&lt;=24,"Baja",IF(J85&lt;=500,"Media",IF(J85&lt;=5000,"Alta","Muy Alta")))))</f>
        <v>Baja</v>
      </c>
      <c r="L85" s="356">
        <f>IF(K85="","",IF(K85="Muy Baja",0.2,IF(K85="Baja",0.4,IF(K85="Media",0.6,IF(K85="Alta",0.8,IF(K85="Muy Alta",1,))))))</f>
        <v>0.4</v>
      </c>
      <c r="M85" s="359" t="s">
        <v>517</v>
      </c>
      <c r="N85" s="129" t="str">
        <f>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353" t="str">
        <f>IF(OR(N85='Tabla Impacto'!$C$11,N85='Tabla Impacto'!$D$11),"Leve",IF(OR(N85='Tabla Impacto'!$C$12,N85='Tabla Impacto'!$D$12),"Menor",IF(OR(N85='Tabla Impacto'!$C$13,N85='Tabla Impacto'!$D$13),"Moderado",IF(OR(N85='Tabla Impacto'!$C$14,N85='Tabla Impacto'!$D$14),"Mayor",IF(OR(N85='Tabla Impacto'!$C$15,N85='Tabla Impacto'!$D$15),"Catastrófico","")))))</f>
        <v>Moderado</v>
      </c>
      <c r="P85" s="356">
        <f>IF(O85="","",IF(O85="Leve",0.2,IF(O85="Menor",0.4,IF(O85="Moderado",0.6,IF(O85="Mayor",0.8,IF(O85="Catastrófico",1,))))))</f>
        <v>0.6</v>
      </c>
      <c r="Q85" s="346"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30">
        <v>1</v>
      </c>
      <c r="S85" s="119" t="s">
        <v>482</v>
      </c>
      <c r="T85" s="160" t="str">
        <f t="shared" si="117"/>
        <v>Probabilidad</v>
      </c>
      <c r="U85" s="148" t="s">
        <v>15</v>
      </c>
      <c r="V85" s="148" t="s">
        <v>9</v>
      </c>
      <c r="W85" s="149" t="str">
        <f t="shared" si="118"/>
        <v>30%</v>
      </c>
      <c r="X85" s="148" t="s">
        <v>20</v>
      </c>
      <c r="Y85" s="148" t="s">
        <v>23</v>
      </c>
      <c r="Z85" s="148" t="s">
        <v>111</v>
      </c>
      <c r="AA85" s="150">
        <f t="shared" ref="AA85" si="123">IFERROR(IF(T85="Probabilidad",(L85-(+L85*W85)),IF(T85="Impacto",L85,"")),"")</f>
        <v>0.28000000000000003</v>
      </c>
      <c r="AB85" s="135" t="str">
        <f t="shared" si="119"/>
        <v>Baja</v>
      </c>
      <c r="AC85" s="151">
        <f t="shared" si="120"/>
        <v>0.28000000000000003</v>
      </c>
      <c r="AD85" s="135" t="str">
        <f t="shared" si="121"/>
        <v>Moderado</v>
      </c>
      <c r="AE85" s="151">
        <f t="shared" ref="AE85" si="124">IFERROR(IF(T85="Impacto",(P85-(+P85*W85)),IF(T85="Probabilidad",P85,"")),"")</f>
        <v>0.6</v>
      </c>
      <c r="AF85" s="152" t="str">
        <f t="shared" si="122"/>
        <v>Moderado</v>
      </c>
      <c r="AG85" s="153" t="s">
        <v>122</v>
      </c>
      <c r="AH85" s="119" t="s">
        <v>530</v>
      </c>
      <c r="AI85" s="127" t="s">
        <v>416</v>
      </c>
      <c r="AJ85" s="157">
        <v>44562</v>
      </c>
      <c r="AK85" s="158" t="s">
        <v>387</v>
      </c>
      <c r="AL85" s="119" t="s">
        <v>478</v>
      </c>
      <c r="AM85" s="140"/>
    </row>
    <row r="86" spans="1:39" s="165" customFormat="1" ht="151.5" customHeight="1" x14ac:dyDescent="0.35">
      <c r="A86" s="373"/>
      <c r="B86" s="425"/>
      <c r="C86" s="378"/>
      <c r="D86" s="378"/>
      <c r="E86" s="350"/>
      <c r="F86" s="350"/>
      <c r="G86" s="350"/>
      <c r="H86" s="345"/>
      <c r="I86" s="350"/>
      <c r="J86" s="352"/>
      <c r="K86" s="354"/>
      <c r="L86" s="357"/>
      <c r="M86" s="360"/>
      <c r="N86" s="143"/>
      <c r="O86" s="354"/>
      <c r="P86" s="357"/>
      <c r="Q86" s="347"/>
      <c r="R86" s="161">
        <v>2</v>
      </c>
      <c r="S86" s="119"/>
      <c r="T86" s="160"/>
      <c r="U86" s="148"/>
      <c r="V86" s="148"/>
      <c r="W86" s="149"/>
      <c r="X86" s="148"/>
      <c r="Y86" s="148"/>
      <c r="Z86" s="148"/>
      <c r="AA86" s="150"/>
      <c r="AB86" s="135"/>
      <c r="AC86" s="151"/>
      <c r="AD86" s="135"/>
      <c r="AE86" s="151"/>
      <c r="AF86" s="152"/>
      <c r="AG86" s="153"/>
      <c r="AH86" s="119"/>
      <c r="AI86" s="127"/>
      <c r="AJ86" s="157"/>
      <c r="AK86" s="158"/>
      <c r="AL86" s="119"/>
      <c r="AM86" s="140"/>
    </row>
    <row r="87" spans="1:39" s="165" customFormat="1" ht="151.5" customHeight="1" x14ac:dyDescent="0.35">
      <c r="A87" s="373"/>
      <c r="B87" s="426"/>
      <c r="C87" s="378"/>
      <c r="D87" s="378"/>
      <c r="E87" s="350"/>
      <c r="F87" s="350"/>
      <c r="G87" s="350"/>
      <c r="H87" s="345"/>
      <c r="I87" s="350"/>
      <c r="J87" s="352"/>
      <c r="K87" s="355"/>
      <c r="L87" s="358"/>
      <c r="M87" s="360"/>
      <c r="N87" s="143"/>
      <c r="O87" s="355"/>
      <c r="P87" s="358"/>
      <c r="Q87" s="348"/>
      <c r="R87" s="161">
        <v>3</v>
      </c>
      <c r="S87" s="119"/>
      <c r="T87" s="160"/>
      <c r="U87" s="148"/>
      <c r="V87" s="148"/>
      <c r="W87" s="149"/>
      <c r="X87" s="148"/>
      <c r="Y87" s="148"/>
      <c r="Z87" s="148"/>
      <c r="AA87" s="150"/>
      <c r="AB87" s="135"/>
      <c r="AC87" s="151"/>
      <c r="AD87" s="135"/>
      <c r="AE87" s="151"/>
      <c r="AF87" s="152"/>
      <c r="AG87" s="153"/>
      <c r="AH87" s="119"/>
      <c r="AI87" s="127"/>
      <c r="AJ87" s="157"/>
      <c r="AK87" s="158"/>
      <c r="AL87" s="119"/>
      <c r="AM87" s="140"/>
    </row>
    <row r="88" spans="1:39" s="165" customFormat="1" ht="151.5" customHeight="1" x14ac:dyDescent="0.35">
      <c r="A88" s="373">
        <v>28</v>
      </c>
      <c r="B88" s="374" t="s">
        <v>299</v>
      </c>
      <c r="C88" s="377" t="s">
        <v>298</v>
      </c>
      <c r="D88" s="377" t="s">
        <v>300</v>
      </c>
      <c r="E88" s="349" t="s">
        <v>118</v>
      </c>
      <c r="F88" s="349" t="s">
        <v>301</v>
      </c>
      <c r="G88" s="349" t="s">
        <v>479</v>
      </c>
      <c r="H88" s="344" t="s">
        <v>302</v>
      </c>
      <c r="I88" s="349" t="s">
        <v>115</v>
      </c>
      <c r="J88" s="351">
        <v>355</v>
      </c>
      <c r="K88" s="353" t="str">
        <f>IF(J88&lt;=0,"",IF(J88&lt;=2,"Muy Baja",IF(J88&lt;=24,"Baja",IF(J88&lt;=500,"Media",IF(J88&lt;=5000,"Alta","Muy Alta")))))</f>
        <v>Media</v>
      </c>
      <c r="L88" s="356">
        <f>IF(K88="","",IF(K88="Muy Baja",0.2,IF(K88="Baja",0.4,IF(K88="Media",0.6,IF(K88="Alta",0.8,IF(K88="Muy Alta",1,))))))</f>
        <v>0.6</v>
      </c>
      <c r="M88" s="359" t="s">
        <v>524</v>
      </c>
      <c r="N88" s="129"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53" t="str">
        <f>IF(OR(N88='Tabla Impacto'!$C$11,N88='Tabla Impacto'!$D$11),"Leve",IF(OR(N88='Tabla Impacto'!$C$12,N88='Tabla Impacto'!$D$12),"Menor",IF(OR(N88='Tabla Impacto'!$C$13,N88='Tabla Impacto'!$D$13),"Moderado",IF(OR(N88='Tabla Impacto'!$C$14,N88='Tabla Impacto'!$D$14),"Mayor",IF(OR(N88='Tabla Impacto'!$C$15,N88='Tabla Impacto'!$D$15),"Catastrófico","")))))</f>
        <v>Mayor</v>
      </c>
      <c r="P88" s="356">
        <f>IF(O88="","",IF(O88="Leve",0.2,IF(O88="Menor",0.4,IF(O88="Moderado",0.6,IF(O88="Mayor",0.8,IF(O88="Catastrófico",1,))))))</f>
        <v>0.8</v>
      </c>
      <c r="Q88" s="346"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30">
        <v>1</v>
      </c>
      <c r="S88" s="98" t="s">
        <v>480</v>
      </c>
      <c r="T88" s="131" t="str">
        <f t="shared" si="25"/>
        <v>Probabilidad</v>
      </c>
      <c r="U88" s="132" t="s">
        <v>14</v>
      </c>
      <c r="V88" s="132" t="s">
        <v>9</v>
      </c>
      <c r="W88" s="133" t="str">
        <f t="shared" si="26"/>
        <v>40%</v>
      </c>
      <c r="X88" s="132" t="s">
        <v>20</v>
      </c>
      <c r="Y88" s="132" t="s">
        <v>22</v>
      </c>
      <c r="Z88" s="132" t="s">
        <v>110</v>
      </c>
      <c r="AA88" s="134">
        <f t="shared" si="27"/>
        <v>0.36</v>
      </c>
      <c r="AB88" s="135" t="str">
        <f t="shared" si="28"/>
        <v>Baja</v>
      </c>
      <c r="AC88" s="136">
        <f t="shared" si="29"/>
        <v>0.36</v>
      </c>
      <c r="AD88" s="135" t="str">
        <f t="shared" si="30"/>
        <v>Mayor</v>
      </c>
      <c r="AE88" s="136">
        <f t="shared" si="31"/>
        <v>0.8</v>
      </c>
      <c r="AF88" s="137" t="str">
        <f t="shared" si="32"/>
        <v>Alto</v>
      </c>
      <c r="AG88" s="138" t="s">
        <v>122</v>
      </c>
      <c r="AH88" s="119" t="s">
        <v>481</v>
      </c>
      <c r="AI88" s="127" t="s">
        <v>262</v>
      </c>
      <c r="AJ88" s="144" t="s">
        <v>200</v>
      </c>
      <c r="AK88" s="144" t="s">
        <v>200</v>
      </c>
      <c r="AL88" s="126" t="s">
        <v>303</v>
      </c>
      <c r="AM88" s="140"/>
    </row>
    <row r="89" spans="1:39" s="165" customFormat="1" ht="151.5" customHeight="1" x14ac:dyDescent="0.35">
      <c r="A89" s="373"/>
      <c r="B89" s="375"/>
      <c r="C89" s="379"/>
      <c r="D89" s="379"/>
      <c r="E89" s="350"/>
      <c r="F89" s="350"/>
      <c r="G89" s="350"/>
      <c r="H89" s="345"/>
      <c r="I89" s="350"/>
      <c r="J89" s="352"/>
      <c r="K89" s="354"/>
      <c r="L89" s="357"/>
      <c r="M89" s="360"/>
      <c r="N89" s="143"/>
      <c r="O89" s="354"/>
      <c r="P89" s="357"/>
      <c r="Q89" s="347"/>
      <c r="R89" s="130">
        <v>2</v>
      </c>
      <c r="S89" s="98"/>
      <c r="T89" s="131" t="str">
        <f t="shared" ref="T89:T90" si="125">IF(OR(U89="Preventivo",U89="Detectivo"),"Probabilidad",IF(U89="Correctivo","Impacto",""))</f>
        <v/>
      </c>
      <c r="U89" s="132"/>
      <c r="V89" s="132"/>
      <c r="W89" s="133"/>
      <c r="X89" s="132"/>
      <c r="Y89" s="132"/>
      <c r="Z89" s="132"/>
      <c r="AA89" s="134" t="str">
        <f>IFERROR(IF(T89="Probabilidad",(AA88-(+AA88*W89)),IF(T89="Impacto",L89,"")),"")</f>
        <v/>
      </c>
      <c r="AB89" s="135" t="str">
        <f t="shared" ref="AB89:AB90" si="126">IFERROR(IF(AA89="","",IF(AA89&lt;=0.2,"Muy Baja",IF(AA89&lt;=0.4,"Baja",IF(AA89&lt;=0.6,"Media",IF(AA89&lt;=0.8,"Alta","Muy Alta"))))),"")</f>
        <v/>
      </c>
      <c r="AC89" s="136" t="str">
        <f t="shared" ref="AC89:AC90" si="127">+AA89</f>
        <v/>
      </c>
      <c r="AD89" s="135" t="str">
        <f t="shared" ref="AD89:AD90" si="128">IFERROR(IF(AE89="","",IF(AE89&lt;=0.2,"Leve",IF(AE89&lt;=0.4,"Menor",IF(AE89&lt;=0.6,"Moderado",IF(AE89&lt;=0.8,"Mayor","Catastrófico"))))),"")</f>
        <v/>
      </c>
      <c r="AE89" s="136" t="str">
        <f t="shared" ref="AE89:AE90" si="129">IFERROR(IF(T89="Impacto",(P89-(+P89*W89)),IF(T89="Probabilidad",P89,"")),"")</f>
        <v/>
      </c>
      <c r="AF89" s="137"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8"/>
      <c r="AH89" s="119"/>
      <c r="AI89" s="127"/>
      <c r="AJ89" s="144"/>
      <c r="AK89" s="144"/>
      <c r="AL89" s="119"/>
      <c r="AM89" s="140"/>
    </row>
    <row r="90" spans="1:39" s="165" customFormat="1" ht="151.5" customHeight="1" x14ac:dyDescent="0.35">
      <c r="A90" s="373"/>
      <c r="B90" s="376"/>
      <c r="C90" s="437"/>
      <c r="D90" s="379"/>
      <c r="E90" s="350"/>
      <c r="F90" s="350"/>
      <c r="G90" s="350"/>
      <c r="H90" s="345"/>
      <c r="I90" s="350"/>
      <c r="J90" s="352"/>
      <c r="K90" s="355"/>
      <c r="L90" s="358"/>
      <c r="M90" s="360"/>
      <c r="N90" s="143"/>
      <c r="O90" s="355"/>
      <c r="P90" s="358"/>
      <c r="Q90" s="348"/>
      <c r="R90" s="130">
        <v>3</v>
      </c>
      <c r="S90" s="98"/>
      <c r="T90" s="131" t="str">
        <f t="shared" si="125"/>
        <v/>
      </c>
      <c r="U90" s="132"/>
      <c r="V90" s="132"/>
      <c r="W90" s="133"/>
      <c r="X90" s="132"/>
      <c r="Y90" s="132"/>
      <c r="Z90" s="132"/>
      <c r="AA90" s="134" t="str">
        <f>IFERROR(IF(T90="Probabilidad",(AA89-(+AA89*W90)),IF(T90="Impacto",L90,"")),"")</f>
        <v/>
      </c>
      <c r="AB90" s="135" t="str">
        <f t="shared" si="126"/>
        <v/>
      </c>
      <c r="AC90" s="136" t="str">
        <f t="shared" si="127"/>
        <v/>
      </c>
      <c r="AD90" s="135" t="str">
        <f t="shared" si="128"/>
        <v/>
      </c>
      <c r="AE90" s="136" t="str">
        <f t="shared" si="129"/>
        <v/>
      </c>
      <c r="AF90" s="137" t="str">
        <f t="shared" si="130"/>
        <v/>
      </c>
      <c r="AG90" s="138"/>
      <c r="AH90" s="119"/>
      <c r="AI90" s="127"/>
      <c r="AJ90" s="144"/>
      <c r="AK90" s="144"/>
      <c r="AL90" s="119"/>
      <c r="AM90" s="140"/>
    </row>
    <row r="91" spans="1:39" s="165" customFormat="1" ht="176.5" customHeight="1" x14ac:dyDescent="0.35">
      <c r="A91" s="373">
        <v>29</v>
      </c>
      <c r="B91" s="374" t="s">
        <v>299</v>
      </c>
      <c r="C91" s="377" t="s">
        <v>298</v>
      </c>
      <c r="D91" s="377" t="s">
        <v>300</v>
      </c>
      <c r="E91" s="349" t="s">
        <v>118</v>
      </c>
      <c r="F91" s="349" t="s">
        <v>483</v>
      </c>
      <c r="G91" s="349" t="s">
        <v>484</v>
      </c>
      <c r="H91" s="344" t="s">
        <v>531</v>
      </c>
      <c r="I91" s="349" t="s">
        <v>334</v>
      </c>
      <c r="J91" s="351">
        <v>355</v>
      </c>
      <c r="K91" s="353" t="str">
        <f>IF(J91&lt;=0,"",IF(J91&lt;=2,"Muy Baja",IF(J91&lt;=24,"Baja",IF(J91&lt;=500,"Media",IF(J91&lt;=5000,"Alta","Muy Alta")))))</f>
        <v>Media</v>
      </c>
      <c r="L91" s="356">
        <f>IF(K91="","",IF(K91="Muy Baja",0.2,IF(K91="Baja",0.4,IF(K91="Media",0.6,IF(K91="Alta",0.8,IF(K91="Muy Alta",1,))))))</f>
        <v>0.6</v>
      </c>
      <c r="M91" s="359" t="s">
        <v>524</v>
      </c>
      <c r="N91" s="129"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53" t="str">
        <f>IF(OR(N91='Tabla Impacto'!$C$11,N91='Tabla Impacto'!$D$11),"Leve",IF(OR(N91='Tabla Impacto'!$C$12,N91='Tabla Impacto'!$D$12),"Menor",IF(OR(N91='Tabla Impacto'!$C$13,N91='Tabla Impacto'!$D$13),"Moderado",IF(OR(N91='Tabla Impacto'!$C$14,N91='Tabla Impacto'!$D$14),"Mayor",IF(OR(N91='Tabla Impacto'!$C$15,N91='Tabla Impacto'!$D$15),"Catastrófico","")))))</f>
        <v>Mayor</v>
      </c>
      <c r="P91" s="356">
        <f>IF(O91="","",IF(O91="Leve",0.2,IF(O91="Menor",0.4,IF(O91="Moderado",0.6,IF(O91="Mayor",0.8,IF(O91="Catastrófico",1,))))))</f>
        <v>0.8</v>
      </c>
      <c r="Q91" s="346"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30">
        <v>1</v>
      </c>
      <c r="S91" s="98" t="s">
        <v>485</v>
      </c>
      <c r="T91" s="131" t="str">
        <f t="shared" si="25"/>
        <v>Probabilidad</v>
      </c>
      <c r="U91" s="132" t="s">
        <v>14</v>
      </c>
      <c r="V91" s="132" t="s">
        <v>9</v>
      </c>
      <c r="W91" s="133" t="str">
        <f t="shared" si="26"/>
        <v>40%</v>
      </c>
      <c r="X91" s="132" t="s">
        <v>19</v>
      </c>
      <c r="Y91" s="132" t="s">
        <v>22</v>
      </c>
      <c r="Z91" s="132" t="s">
        <v>110</v>
      </c>
      <c r="AA91" s="162">
        <f t="shared" ref="AA91" si="131">IFERROR(IF(T91="Probabilidad",(L91-(+L91*W91)),IF(T91="Impacto",L91,"")),"")</f>
        <v>0.36</v>
      </c>
      <c r="AB91" s="135" t="str">
        <f t="shared" si="28"/>
        <v>Baja</v>
      </c>
      <c r="AC91" s="136">
        <f t="shared" si="29"/>
        <v>0.36</v>
      </c>
      <c r="AD91" s="135" t="str">
        <f t="shared" si="30"/>
        <v>Mayor</v>
      </c>
      <c r="AE91" s="136">
        <f t="shared" si="31"/>
        <v>0.8</v>
      </c>
      <c r="AF91" s="137" t="str">
        <f t="shared" si="32"/>
        <v>Alto</v>
      </c>
      <c r="AG91" s="138" t="s">
        <v>122</v>
      </c>
      <c r="AH91" s="119" t="s">
        <v>304</v>
      </c>
      <c r="AI91" s="121" t="s">
        <v>262</v>
      </c>
      <c r="AJ91" s="128" t="s">
        <v>200</v>
      </c>
      <c r="AK91" s="128" t="s">
        <v>200</v>
      </c>
      <c r="AL91" s="126" t="s">
        <v>417</v>
      </c>
      <c r="AM91" s="140"/>
    </row>
    <row r="92" spans="1:39" s="165" customFormat="1" ht="151.5" customHeight="1" x14ac:dyDescent="0.35">
      <c r="A92" s="373"/>
      <c r="B92" s="375"/>
      <c r="C92" s="379"/>
      <c r="D92" s="379"/>
      <c r="E92" s="350"/>
      <c r="F92" s="350"/>
      <c r="G92" s="350"/>
      <c r="H92" s="345"/>
      <c r="I92" s="350"/>
      <c r="J92" s="352"/>
      <c r="K92" s="354"/>
      <c r="L92" s="357"/>
      <c r="M92" s="360"/>
      <c r="N92" s="143"/>
      <c r="O92" s="354"/>
      <c r="P92" s="357"/>
      <c r="Q92" s="347"/>
      <c r="R92" s="130">
        <v>2</v>
      </c>
      <c r="S92" s="119" t="s">
        <v>353</v>
      </c>
      <c r="T92" s="160" t="str">
        <f t="shared" ref="T92:T93" si="132">IF(OR(U92="Preventivo",U92="Detectivo"),"Probabilidad",IF(U92="Correctivo","Impacto",""))</f>
        <v/>
      </c>
      <c r="U92" s="148" t="s">
        <v>338</v>
      </c>
      <c r="V92" s="148" t="s">
        <v>9</v>
      </c>
      <c r="W92" s="149" t="str">
        <f t="shared" ref="W92" si="133">IF(AND(U92="Preventivo",V92="Automático"),"50%",IF(AND(U92="Preventivo",V92="Manual"),"40%",IF(AND(U92="Detectivo",V92="Automático"),"40%",IF(AND(U92="Detectivo",V92="Manual"),"30%",IF(AND(U92="Correctivo",V92="Automático"),"35%",IF(AND(U92="Correctivo",V92="Manual"),"25%",""))))))</f>
        <v/>
      </c>
      <c r="X92" s="148" t="s">
        <v>20</v>
      </c>
      <c r="Y92" s="148" t="s">
        <v>22</v>
      </c>
      <c r="Z92" s="148" t="s">
        <v>110</v>
      </c>
      <c r="AA92" s="163" t="str">
        <f>IFERROR(IF(T92="Probabilidad",(AA91-(+AA91*W92)),IF(T92="Impacto",L92,"")),"")</f>
        <v/>
      </c>
      <c r="AB92" s="135" t="str">
        <f t="shared" ref="AB92:AB93" si="134">IFERROR(IF(AA92="","",IF(AA92&lt;=0.2,"Muy Baja",IF(AA92&lt;=0.4,"Baja",IF(AA92&lt;=0.6,"Media",IF(AA92&lt;=0.8,"Alta","Muy Alta"))))),"")</f>
        <v/>
      </c>
      <c r="AC92" s="151" t="str">
        <f t="shared" ref="AC92:AC93" si="135">+AA92</f>
        <v/>
      </c>
      <c r="AD92" s="135" t="str">
        <f t="shared" ref="AD92:AD93" si="136">IFERROR(IF(AE92="","",IF(AE92&lt;=0.2,"Leve",IF(AE92&lt;=0.4,"Menor",IF(AE92&lt;=0.6,"Moderado",IF(AE92&lt;=0.8,"Mayor","Catastrófico"))))),"")</f>
        <v/>
      </c>
      <c r="AE92" s="151" t="str">
        <f t="shared" ref="AE92:AE93" si="137">IFERROR(IF(T92="Impacto",(P92-(+P92*W92)),IF(T92="Probabilidad",P92,"")),"")</f>
        <v/>
      </c>
      <c r="AF92" s="152" t="str">
        <f t="shared" ref="AF92:AF93" si="138">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53" t="s">
        <v>122</v>
      </c>
      <c r="AH92" s="119" t="s">
        <v>304</v>
      </c>
      <c r="AI92" s="121" t="s">
        <v>262</v>
      </c>
      <c r="AJ92" s="128" t="s">
        <v>200</v>
      </c>
      <c r="AK92" s="128" t="s">
        <v>200</v>
      </c>
      <c r="AL92" s="126" t="s">
        <v>417</v>
      </c>
      <c r="AM92" s="140"/>
    </row>
    <row r="93" spans="1:39" s="165" customFormat="1" ht="151.5" customHeight="1" x14ac:dyDescent="0.35">
      <c r="A93" s="373"/>
      <c r="B93" s="376"/>
      <c r="C93" s="437"/>
      <c r="D93" s="379"/>
      <c r="E93" s="350"/>
      <c r="F93" s="350"/>
      <c r="G93" s="350"/>
      <c r="H93" s="345"/>
      <c r="I93" s="350"/>
      <c r="J93" s="352"/>
      <c r="K93" s="355"/>
      <c r="L93" s="358"/>
      <c r="M93" s="360"/>
      <c r="N93" s="143"/>
      <c r="O93" s="355"/>
      <c r="P93" s="358"/>
      <c r="Q93" s="348"/>
      <c r="R93" s="130">
        <v>3</v>
      </c>
      <c r="S93" s="98"/>
      <c r="T93" s="131" t="str">
        <f t="shared" si="132"/>
        <v/>
      </c>
      <c r="U93" s="132"/>
      <c r="V93" s="132"/>
      <c r="W93" s="133"/>
      <c r="X93" s="132"/>
      <c r="Y93" s="132"/>
      <c r="Z93" s="132"/>
      <c r="AA93" s="134" t="str">
        <f>IFERROR(IF(T93="Probabilidad",(AA92-(+AA92*W93)),IF(T93="Impacto",L93,"")),"")</f>
        <v/>
      </c>
      <c r="AB93" s="135" t="str">
        <f t="shared" si="134"/>
        <v/>
      </c>
      <c r="AC93" s="136" t="str">
        <f t="shared" si="135"/>
        <v/>
      </c>
      <c r="AD93" s="135" t="str">
        <f t="shared" si="136"/>
        <v/>
      </c>
      <c r="AE93" s="136" t="str">
        <f t="shared" si="137"/>
        <v/>
      </c>
      <c r="AF93" s="137" t="str">
        <f t="shared" si="138"/>
        <v/>
      </c>
      <c r="AG93" s="138"/>
      <c r="AH93" s="119"/>
      <c r="AI93" s="127"/>
      <c r="AJ93" s="144"/>
      <c r="AK93" s="144"/>
      <c r="AL93" s="119"/>
      <c r="AM93" s="140"/>
    </row>
    <row r="94" spans="1:39" s="165" customFormat="1" ht="151.5" customHeight="1" x14ac:dyDescent="0.35">
      <c r="A94" s="373">
        <v>30</v>
      </c>
      <c r="B94" s="374" t="s">
        <v>305</v>
      </c>
      <c r="C94" s="377" t="s">
        <v>369</v>
      </c>
      <c r="D94" s="377" t="s">
        <v>418</v>
      </c>
      <c r="E94" s="349" t="s">
        <v>120</v>
      </c>
      <c r="F94" s="402" t="s">
        <v>487</v>
      </c>
      <c r="G94" s="402" t="s">
        <v>486</v>
      </c>
      <c r="H94" s="344" t="s">
        <v>306</v>
      </c>
      <c r="I94" s="349" t="s">
        <v>334</v>
      </c>
      <c r="J94" s="351">
        <v>850</v>
      </c>
      <c r="K94" s="353" t="str">
        <f>IF(J94&lt;=0,"",IF(J94&lt;=2,"Muy Baja",IF(J94&lt;=24,"Baja",IF(J94&lt;=500,"Media",IF(J94&lt;=5000,"Alta","Muy Alta")))))</f>
        <v>Alta</v>
      </c>
      <c r="L94" s="356">
        <f>IF(K94="","",IF(K94="Muy Baja",0.2,IF(K94="Baja",0.4,IF(K94="Media",0.6,IF(K94="Alta",0.8,IF(K94="Muy Alta",1,))))))</f>
        <v>0.8</v>
      </c>
      <c r="M94" s="359" t="s">
        <v>524</v>
      </c>
      <c r="N94" s="129" t="str">
        <f>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353" t="str">
        <f>IF(OR(N94='Tabla Impacto'!$C$11,N94='Tabla Impacto'!$D$11),"Leve",IF(OR(N94='Tabla Impacto'!$C$12,N94='Tabla Impacto'!$D$12),"Menor",IF(OR(N94='Tabla Impacto'!$C$13,N94='Tabla Impacto'!$D$13),"Moderado",IF(OR(N94='Tabla Impacto'!$C$14,N94='Tabla Impacto'!$D$14),"Mayor",IF(OR(N94='Tabla Impacto'!$C$15,N94='Tabla Impacto'!$D$15),"Catastrófico","")))))</f>
        <v>Mayor</v>
      </c>
      <c r="P94" s="356">
        <f>IF(O94="","",IF(O94="Leve",0.2,IF(O94="Menor",0.4,IF(O94="Moderado",0.6,IF(O94="Mayor",0.8,IF(O94="Catastrófico",1,))))))</f>
        <v>0.8</v>
      </c>
      <c r="Q94" s="346"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30">
        <v>1</v>
      </c>
      <c r="S94" s="98" t="s">
        <v>307</v>
      </c>
      <c r="T94" s="131" t="str">
        <f t="shared" ref="T94:T96" si="139">IF(OR(U94="Preventivo",U94="Detectivo"),"Probabilidad",IF(U94="Correctivo","Impacto",""))</f>
        <v>Probabilidad</v>
      </c>
      <c r="U94" s="132" t="s">
        <v>14</v>
      </c>
      <c r="V94" s="132" t="s">
        <v>9</v>
      </c>
      <c r="W94" s="133" t="str">
        <f t="shared" ref="W94:W95" si="140">IF(AND(U94="Preventivo",V94="Automático"),"50%",IF(AND(U94="Preventivo",V94="Manual"),"40%",IF(AND(U94="Detectivo",V94="Automático"),"40%",IF(AND(U94="Detectivo",V94="Manual"),"30%",IF(AND(U94="Correctivo",V94="Automático"),"35%",IF(AND(U94="Correctivo",V94="Manual"),"25%",""))))))</f>
        <v>40%</v>
      </c>
      <c r="X94" s="132" t="s">
        <v>20</v>
      </c>
      <c r="Y94" s="132" t="s">
        <v>22</v>
      </c>
      <c r="Z94" s="132" t="s">
        <v>110</v>
      </c>
      <c r="AA94" s="134">
        <f t="shared" ref="AA94" si="141">IFERROR(IF(T94="Probabilidad",(L94-(+L94*W94)),IF(T94="Impacto",L94,"")),"")</f>
        <v>0.48</v>
      </c>
      <c r="AB94" s="135" t="str">
        <f t="shared" ref="AB94:AB96" si="142">IFERROR(IF(AA94="","",IF(AA94&lt;=0.2,"Muy Baja",IF(AA94&lt;=0.4,"Baja",IF(AA94&lt;=0.6,"Media",IF(AA94&lt;=0.8,"Alta","Muy Alta"))))),"")</f>
        <v>Media</v>
      </c>
      <c r="AC94" s="136">
        <f t="shared" ref="AC94:AC96" si="143">+AA94</f>
        <v>0.48</v>
      </c>
      <c r="AD94" s="135" t="str">
        <f t="shared" ref="AD94:AD96" si="144">IFERROR(IF(AE94="","",IF(AE94&lt;=0.2,"Leve",IF(AE94&lt;=0.4,"Menor",IF(AE94&lt;=0.6,"Moderado",IF(AE94&lt;=0.8,"Mayor","Catastrófico"))))),"")</f>
        <v>Mayor</v>
      </c>
      <c r="AE94" s="136">
        <f t="shared" ref="AE94:AE96" si="145">IFERROR(IF(T94="Impacto",(P94-(+P94*W94)),IF(T94="Probabilidad",P94,"")),"")</f>
        <v>0.8</v>
      </c>
      <c r="AF94" s="137" t="str">
        <f t="shared" ref="AF94:AF96" si="146">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38" t="s">
        <v>122</v>
      </c>
      <c r="AH94" s="164" t="s">
        <v>309</v>
      </c>
      <c r="AI94" s="127" t="s">
        <v>199</v>
      </c>
      <c r="AJ94" s="128">
        <v>44562</v>
      </c>
      <c r="AK94" s="128" t="s">
        <v>387</v>
      </c>
      <c r="AL94" s="119" t="s">
        <v>310</v>
      </c>
      <c r="AM94" s="140"/>
    </row>
    <row r="95" spans="1:39" s="165" customFormat="1" ht="151.5" customHeight="1" x14ac:dyDescent="0.35">
      <c r="A95" s="373"/>
      <c r="B95" s="375"/>
      <c r="C95" s="379"/>
      <c r="D95" s="379"/>
      <c r="E95" s="350"/>
      <c r="F95" s="350"/>
      <c r="G95" s="350"/>
      <c r="H95" s="345"/>
      <c r="I95" s="350"/>
      <c r="J95" s="352"/>
      <c r="K95" s="354"/>
      <c r="L95" s="357"/>
      <c r="M95" s="360"/>
      <c r="N95" s="143"/>
      <c r="O95" s="354"/>
      <c r="P95" s="357"/>
      <c r="Q95" s="347"/>
      <c r="R95" s="130">
        <v>2</v>
      </c>
      <c r="S95" s="98" t="s">
        <v>308</v>
      </c>
      <c r="T95" s="131" t="str">
        <f t="shared" si="139"/>
        <v>Probabilidad</v>
      </c>
      <c r="U95" s="132" t="s">
        <v>14</v>
      </c>
      <c r="V95" s="132" t="s">
        <v>9</v>
      </c>
      <c r="W95" s="133" t="str">
        <f t="shared" si="140"/>
        <v>40%</v>
      </c>
      <c r="X95" s="132" t="s">
        <v>20</v>
      </c>
      <c r="Y95" s="132" t="s">
        <v>22</v>
      </c>
      <c r="Z95" s="132" t="s">
        <v>110</v>
      </c>
      <c r="AA95" s="134">
        <f>IFERROR(IF(T95="Probabilidad",(AA94-(+AA94*W95)),IF(T95="Impacto",L95,"")),"")</f>
        <v>0.28799999999999998</v>
      </c>
      <c r="AB95" s="135" t="str">
        <f t="shared" si="142"/>
        <v>Baja</v>
      </c>
      <c r="AC95" s="136">
        <f t="shared" si="143"/>
        <v>0.28799999999999998</v>
      </c>
      <c r="AD95" s="135" t="str">
        <f t="shared" si="144"/>
        <v>Mayor</v>
      </c>
      <c r="AE95" s="136">
        <v>0.8</v>
      </c>
      <c r="AF95" s="137" t="str">
        <f t="shared" si="146"/>
        <v>Alto</v>
      </c>
      <c r="AG95" s="138" t="s">
        <v>122</v>
      </c>
      <c r="AH95" s="126" t="s">
        <v>311</v>
      </c>
      <c r="AI95" s="121" t="s">
        <v>199</v>
      </c>
      <c r="AJ95" s="128">
        <v>44562</v>
      </c>
      <c r="AK95" s="128" t="s">
        <v>387</v>
      </c>
      <c r="AL95" s="126" t="s">
        <v>310</v>
      </c>
      <c r="AM95" s="140"/>
    </row>
    <row r="96" spans="1:39" s="165" customFormat="1" ht="151.5" customHeight="1" x14ac:dyDescent="0.35">
      <c r="A96" s="403"/>
      <c r="B96" s="376"/>
      <c r="C96" s="379"/>
      <c r="D96" s="379"/>
      <c r="E96" s="350"/>
      <c r="F96" s="350"/>
      <c r="G96" s="350"/>
      <c r="H96" s="345"/>
      <c r="I96" s="350"/>
      <c r="J96" s="352"/>
      <c r="K96" s="355"/>
      <c r="L96" s="358"/>
      <c r="M96" s="360"/>
      <c r="N96" s="143"/>
      <c r="O96" s="355"/>
      <c r="P96" s="358"/>
      <c r="Q96" s="348"/>
      <c r="R96" s="130">
        <v>3</v>
      </c>
      <c r="S96" s="98"/>
      <c r="T96" s="131" t="str">
        <f t="shared" si="139"/>
        <v/>
      </c>
      <c r="U96" s="132"/>
      <c r="V96" s="132"/>
      <c r="W96" s="133"/>
      <c r="X96" s="132"/>
      <c r="Y96" s="132"/>
      <c r="Z96" s="132"/>
      <c r="AA96" s="134" t="str">
        <f>IFERROR(IF(T96="Probabilidad",(AA95-(+AA95*W96)),IF(T96="Impacto",L96,"")),"")</f>
        <v/>
      </c>
      <c r="AB96" s="135" t="str">
        <f t="shared" si="142"/>
        <v/>
      </c>
      <c r="AC96" s="136" t="str">
        <f t="shared" si="143"/>
        <v/>
      </c>
      <c r="AD96" s="135" t="str">
        <f t="shared" si="144"/>
        <v/>
      </c>
      <c r="AE96" s="136" t="str">
        <f t="shared" si="145"/>
        <v/>
      </c>
      <c r="AF96" s="137" t="str">
        <f t="shared" si="146"/>
        <v/>
      </c>
      <c r="AG96" s="138"/>
      <c r="AH96" s="119"/>
      <c r="AI96" s="127"/>
      <c r="AJ96" s="144"/>
      <c r="AK96" s="144"/>
      <c r="AL96" s="119"/>
      <c r="AM96" s="140"/>
    </row>
    <row r="97" spans="1:39" s="165" customFormat="1" ht="151.5" customHeight="1" x14ac:dyDescent="0.35">
      <c r="A97" s="436">
        <v>31</v>
      </c>
      <c r="B97" s="424" t="s">
        <v>312</v>
      </c>
      <c r="C97" s="422" t="s">
        <v>370</v>
      </c>
      <c r="D97" s="422" t="s">
        <v>419</v>
      </c>
      <c r="E97" s="411" t="s">
        <v>118</v>
      </c>
      <c r="F97" s="431" t="s">
        <v>488</v>
      </c>
      <c r="G97" s="431" t="s">
        <v>500</v>
      </c>
      <c r="H97" s="428" t="s">
        <v>499</v>
      </c>
      <c r="I97" s="411" t="s">
        <v>334</v>
      </c>
      <c r="J97" s="409">
        <v>12</v>
      </c>
      <c r="K97" s="414" t="str">
        <f>IF(J97&lt;=0,"",IF(J97&lt;=2,"Muy Baja",IF(J97&lt;=24,"Baja",IF(J97&lt;=500,"Media",IF(J97&lt;=5000,"Alta","Muy Alta")))))</f>
        <v>Baja</v>
      </c>
      <c r="L97" s="417">
        <f>IF(K97="","",IF(K97="Muy Baja",0.2,IF(K97="Baja",0.4,IF(K97="Media",0.6,IF(K97="Alta",0.8,IF(K97="Muy Alta",1,))))))</f>
        <v>0.4</v>
      </c>
      <c r="M97" s="420" t="s">
        <v>517</v>
      </c>
      <c r="N97" s="179"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414" t="str">
        <f>IF(OR(N97='Tabla Impacto'!$C$11,N97='Tabla Impacto'!$D$11),"Leve",IF(OR(N97='Tabla Impacto'!$C$12,N97='Tabla Impacto'!$D$12),"Menor",IF(OR(N97='Tabla Impacto'!$C$13,N97='Tabla Impacto'!$D$13),"Moderado",IF(OR(N97='Tabla Impacto'!$C$14,N97='Tabla Impacto'!$D$14),"Mayor",IF(OR(N97='Tabla Impacto'!$C$15,N97='Tabla Impacto'!$D$15),"Catastrófico","")))))</f>
        <v>Moderado</v>
      </c>
      <c r="P97" s="417">
        <f>IF(O97="","",IF(O97="Leve",0.2,IF(O97="Menor",0.4,IF(O97="Moderado",0.6,IF(O97="Mayor",0.8,IF(O97="Catastrófico",1,))))))</f>
        <v>0.6</v>
      </c>
      <c r="Q97" s="433"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80">
        <v>1</v>
      </c>
      <c r="S97" s="176" t="s">
        <v>420</v>
      </c>
      <c r="T97" s="177" t="str">
        <f t="shared" si="25"/>
        <v>Probabilidad</v>
      </c>
      <c r="U97" s="181" t="s">
        <v>14</v>
      </c>
      <c r="V97" s="181" t="s">
        <v>9</v>
      </c>
      <c r="W97" s="182" t="str">
        <f t="shared" si="26"/>
        <v>40%</v>
      </c>
      <c r="X97" s="181" t="s">
        <v>19</v>
      </c>
      <c r="Y97" s="181" t="s">
        <v>22</v>
      </c>
      <c r="Z97" s="181" t="s">
        <v>110</v>
      </c>
      <c r="AA97" s="156">
        <f t="shared" si="27"/>
        <v>0.24</v>
      </c>
      <c r="AB97" s="170" t="str">
        <f t="shared" si="28"/>
        <v>Baja</v>
      </c>
      <c r="AC97" s="171">
        <f t="shared" si="29"/>
        <v>0.24</v>
      </c>
      <c r="AD97" s="170" t="str">
        <f t="shared" si="30"/>
        <v>Moderado</v>
      </c>
      <c r="AE97" s="171">
        <f t="shared" si="31"/>
        <v>0.6</v>
      </c>
      <c r="AF97" s="172" t="str">
        <f t="shared" si="32"/>
        <v>Moderado</v>
      </c>
      <c r="AG97" s="173" t="s">
        <v>122</v>
      </c>
      <c r="AH97" s="193" t="s">
        <v>498</v>
      </c>
      <c r="AI97" s="166" t="s">
        <v>213</v>
      </c>
      <c r="AJ97" s="167" t="s">
        <v>200</v>
      </c>
      <c r="AK97" s="167" t="s">
        <v>200</v>
      </c>
      <c r="AL97" s="176" t="s">
        <v>501</v>
      </c>
      <c r="AM97" s="166"/>
    </row>
    <row r="98" spans="1:39" s="165" customFormat="1" ht="151.5" customHeight="1" x14ac:dyDescent="0.35">
      <c r="A98" s="427"/>
      <c r="B98" s="425"/>
      <c r="C98" s="423"/>
      <c r="D98" s="423"/>
      <c r="E98" s="412"/>
      <c r="F98" s="438"/>
      <c r="G98" s="438"/>
      <c r="H98" s="429"/>
      <c r="I98" s="412"/>
      <c r="J98" s="410"/>
      <c r="K98" s="415"/>
      <c r="L98" s="418"/>
      <c r="M98" s="421"/>
      <c r="N98" s="186"/>
      <c r="O98" s="415"/>
      <c r="P98" s="418"/>
      <c r="Q98" s="434"/>
      <c r="R98" s="180">
        <v>2</v>
      </c>
      <c r="S98" s="176" t="s">
        <v>532</v>
      </c>
      <c r="T98" s="177" t="str">
        <f>IF(OR(U98="Preventivo",U98="Detectivo"),"Probabilidad",IF(U98="Correctivo","Impacto",""))</f>
        <v>Probabilidad</v>
      </c>
      <c r="U98" s="181" t="s">
        <v>14</v>
      </c>
      <c r="V98" s="181" t="s">
        <v>9</v>
      </c>
      <c r="W98" s="182" t="str">
        <f>IF(AND(U98="Preventivo",V98="Automático"),"50%",IF(AND(U98="Preventivo",V98="Manual"),"40%",IF(AND(U98="Detectivo",V98="Automático"),"40%",IF(AND(U98="Detectivo",V98="Manual"),"30%",IF(AND(U98="Correctivo",V98="Automático"),"35%",IF(AND(U98="Correctivo",V98="Manual"),"25%",""))))))</f>
        <v>40%</v>
      </c>
      <c r="X98" s="181" t="s">
        <v>19</v>
      </c>
      <c r="Y98" s="181" t="s">
        <v>22</v>
      </c>
      <c r="Z98" s="181" t="s">
        <v>110</v>
      </c>
      <c r="AA98" s="156">
        <f>IFERROR(IF(T98="Probabilidad",(AA97-(+AA97*W98)),IF(T98="Impacto",L99,"")),"")</f>
        <v>0.14399999999999999</v>
      </c>
      <c r="AB98" s="170" t="str">
        <f>IFERROR(IF(AA98="","",IF(AA98&lt;=0.2,"Muy Baja",IF(AA98&lt;=0.4,"Baja",IF(AA98&lt;=0.6,"Media",IF(AA98&lt;=0.8,"Alta","Muy Alta"))))),"")</f>
        <v>Muy Baja</v>
      </c>
      <c r="AC98" s="171">
        <f>+AA98</f>
        <v>0.14399999999999999</v>
      </c>
      <c r="AD98" s="170" t="str">
        <f>IFERROR(IF(AE98="","",IF(AE98&lt;=0.2,"Leve",IF(AE98&lt;=0.4,"Menor",IF(AE98&lt;=0.6,"Moderado",IF(AE98&lt;=0.8,"Mayor","Catastrófico"))))),"")</f>
        <v>Moderado</v>
      </c>
      <c r="AE98" s="171">
        <v>0.6</v>
      </c>
      <c r="AF98" s="172" t="str">
        <f>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Moderado</v>
      </c>
      <c r="AG98" s="173" t="s">
        <v>122</v>
      </c>
      <c r="AH98" s="193" t="s">
        <v>562</v>
      </c>
      <c r="AI98" s="194" t="s">
        <v>200</v>
      </c>
      <c r="AJ98" s="167" t="s">
        <v>200</v>
      </c>
      <c r="AK98" s="167" t="s">
        <v>200</v>
      </c>
      <c r="AL98" s="176" t="s">
        <v>502</v>
      </c>
      <c r="AM98" s="166"/>
    </row>
    <row r="99" spans="1:39" s="165" customFormat="1" ht="151.5" customHeight="1" x14ac:dyDescent="0.35">
      <c r="A99" s="427"/>
      <c r="B99" s="425"/>
      <c r="C99" s="430"/>
      <c r="D99" s="430"/>
      <c r="E99" s="412"/>
      <c r="F99" s="412"/>
      <c r="G99" s="412"/>
      <c r="H99" s="429"/>
      <c r="I99" s="412"/>
      <c r="J99" s="410"/>
      <c r="K99" s="415"/>
      <c r="L99" s="418"/>
      <c r="M99" s="421"/>
      <c r="N99" s="186"/>
      <c r="O99" s="415"/>
      <c r="P99" s="418"/>
      <c r="Q99" s="434"/>
      <c r="R99" s="142">
        <v>3</v>
      </c>
      <c r="S99" s="176"/>
      <c r="T99" s="177"/>
      <c r="U99" s="181"/>
      <c r="V99" s="181"/>
      <c r="W99" s="182"/>
      <c r="X99" s="181"/>
      <c r="Y99" s="181"/>
      <c r="Z99" s="181"/>
      <c r="AA99" s="156"/>
      <c r="AB99" s="170"/>
      <c r="AC99" s="171"/>
      <c r="AD99" s="170"/>
      <c r="AE99" s="171"/>
      <c r="AF99" s="172"/>
      <c r="AG99" s="173"/>
      <c r="AH99" s="193"/>
      <c r="AI99" s="166"/>
      <c r="AJ99" s="167"/>
      <c r="AK99" s="167"/>
      <c r="AL99" s="176"/>
      <c r="AM99" s="166"/>
    </row>
    <row r="100" spans="1:39" s="165" customFormat="1" ht="151.5" customHeight="1" x14ac:dyDescent="0.35">
      <c r="A100" s="427">
        <v>32</v>
      </c>
      <c r="B100" s="424" t="s">
        <v>312</v>
      </c>
      <c r="C100" s="377" t="s">
        <v>364</v>
      </c>
      <c r="D100" s="377" t="s">
        <v>419</v>
      </c>
      <c r="E100" s="349" t="s">
        <v>118</v>
      </c>
      <c r="F100" s="349" t="s">
        <v>489</v>
      </c>
      <c r="G100" s="349" t="s">
        <v>490</v>
      </c>
      <c r="H100" s="344" t="s">
        <v>421</v>
      </c>
      <c r="I100" s="349" t="s">
        <v>334</v>
      </c>
      <c r="J100" s="351">
        <v>1096</v>
      </c>
      <c r="K100" s="414" t="str">
        <f>IF(J100&lt;=0,"",IF(J100&lt;=2,"Muy Baja",IF(J100&lt;=24,"Baja",IF(J100&lt;=500,"Media",IF(J100&lt;=5000,"Alta","Muy Alta")))))</f>
        <v>Alta</v>
      </c>
      <c r="L100" s="417">
        <f>IF(K100="","",IF(K100="Muy Baja",0.2,IF(K100="Baja",0.4,IF(K100="Media",0.6,IF(K100="Alta",0.8,IF(K100="Muy Alta",1,))))))</f>
        <v>0.8</v>
      </c>
      <c r="M100" s="420" t="s">
        <v>517</v>
      </c>
      <c r="N100" s="417"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14"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17">
        <f>IF(O100="","",IF(O100="Leve",0.2,IF(O100="Menor",0.4,IF(O100="Moderado",0.6,IF(O100="Mayor",0.8,IF(O100="Catastrófico",1,))))))</f>
        <v>0.6</v>
      </c>
      <c r="Q100" s="433"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80">
        <v>1</v>
      </c>
      <c r="S100" s="176" t="s">
        <v>360</v>
      </c>
      <c r="T100" s="177" t="str">
        <f t="shared" ref="T100" si="147">IF(OR(U100="Preventivo",U100="Detectivo"),"Probabilidad",IF(U100="Correctivo","Impacto",""))</f>
        <v>Probabilidad</v>
      </c>
      <c r="U100" s="181" t="s">
        <v>14</v>
      </c>
      <c r="V100" s="181" t="s">
        <v>9</v>
      </c>
      <c r="W100" s="182" t="str">
        <f t="shared" ref="W100" si="148">IF(AND(U100="Preventivo",V100="Automático"),"50%",IF(AND(U100="Preventivo",V100="Manual"),"40%",IF(AND(U100="Detectivo",V100="Automático"),"40%",IF(AND(U100="Detectivo",V100="Manual"),"30%",IF(AND(U100="Correctivo",V100="Automático"),"35%",IF(AND(U100="Correctivo",V100="Manual"),"25%",""))))))</f>
        <v>40%</v>
      </c>
      <c r="X100" s="181" t="s">
        <v>20</v>
      </c>
      <c r="Y100" s="181" t="s">
        <v>22</v>
      </c>
      <c r="Z100" s="181" t="s">
        <v>110</v>
      </c>
      <c r="AA100" s="156">
        <f t="shared" ref="AA100" si="149">IFERROR(IF(T100="Probabilidad",(L100-(+L100*W100)),IF(T100="Impacto",L100,"")),"")</f>
        <v>0.48</v>
      </c>
      <c r="AB100" s="170" t="str">
        <f t="shared" ref="AB100" si="150">IFERROR(IF(AA100="","",IF(AA100&lt;=0.2,"Muy Baja",IF(AA100&lt;=0.4,"Baja",IF(AA100&lt;=0.6,"Media",IF(AA100&lt;=0.8,"Alta","Muy Alta"))))),"")</f>
        <v>Media</v>
      </c>
      <c r="AC100" s="171">
        <f t="shared" ref="AC100" si="151">+AA100</f>
        <v>0.48</v>
      </c>
      <c r="AD100" s="170" t="str">
        <f t="shared" ref="AD100" si="152">IFERROR(IF(AE100="","",IF(AE100&lt;=0.2,"Leve",IF(AE100&lt;=0.4,"Menor",IF(AE100&lt;=0.6,"Moderado",IF(AE100&lt;=0.8,"Mayor","Catastrófico"))))),"")</f>
        <v>Moderado</v>
      </c>
      <c r="AE100" s="171">
        <f t="shared" ref="AE100" si="153">IFERROR(IF(T100="Impacto",(P100-(+P100*W100)),IF(T100="Probabilidad",P100,"")),"")</f>
        <v>0.6</v>
      </c>
      <c r="AF100" s="172" t="str">
        <f t="shared" ref="AF100" si="154">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73" t="s">
        <v>122</v>
      </c>
      <c r="AH100" s="176" t="s">
        <v>422</v>
      </c>
      <c r="AI100" s="166" t="s">
        <v>313</v>
      </c>
      <c r="AJ100" s="167">
        <v>44562</v>
      </c>
      <c r="AK100" s="167">
        <v>44926</v>
      </c>
      <c r="AL100" s="176" t="s">
        <v>503</v>
      </c>
      <c r="AM100" s="166"/>
    </row>
    <row r="101" spans="1:39" s="165" customFormat="1" ht="151.5" customHeight="1" x14ac:dyDescent="0.35">
      <c r="A101" s="427"/>
      <c r="B101" s="425"/>
      <c r="C101" s="379"/>
      <c r="D101" s="379"/>
      <c r="E101" s="350"/>
      <c r="F101" s="350"/>
      <c r="G101" s="350"/>
      <c r="H101" s="345"/>
      <c r="I101" s="350"/>
      <c r="J101" s="352"/>
      <c r="K101" s="415"/>
      <c r="L101" s="418"/>
      <c r="M101" s="421"/>
      <c r="N101" s="418"/>
      <c r="O101" s="415"/>
      <c r="P101" s="418"/>
      <c r="Q101" s="434"/>
      <c r="R101" s="180">
        <v>2</v>
      </c>
      <c r="S101" s="176" t="s">
        <v>339</v>
      </c>
      <c r="T101" s="177" t="str">
        <f t="shared" ref="T101:T103" si="155">IF(OR(U101="Preventivo",U101="Detectivo"),"Probabilidad",IF(U101="Correctivo","Impacto",""))</f>
        <v>Probabilidad</v>
      </c>
      <c r="U101" s="181" t="s">
        <v>14</v>
      </c>
      <c r="V101" s="181" t="s">
        <v>9</v>
      </c>
      <c r="W101" s="182" t="str">
        <f t="shared" ref="W101:W103" si="156">IF(AND(U101="Preventivo",V101="Automático"),"50%",IF(AND(U101="Preventivo",V101="Manual"),"40%",IF(AND(U101="Detectivo",V101="Automático"),"40%",IF(AND(U101="Detectivo",V101="Manual"),"30%",IF(AND(U101="Correctivo",V101="Automático"),"35%",IF(AND(U101="Correctivo",V101="Manual"),"25%",""))))))</f>
        <v>40%</v>
      </c>
      <c r="X101" s="181" t="s">
        <v>19</v>
      </c>
      <c r="Y101" s="181" t="s">
        <v>22</v>
      </c>
      <c r="Z101" s="181" t="s">
        <v>110</v>
      </c>
      <c r="AA101" s="156">
        <f>IFERROR(IF(T101="Probabilidad",(AA98-(+AA98*W101)),IF(T101="Impacto",L101,"")),"")</f>
        <v>8.6399999999999991E-2</v>
      </c>
      <c r="AB101" s="170" t="str">
        <f t="shared" ref="AB101:AB103" si="157">IFERROR(IF(AA101="","",IF(AA101&lt;=0.2,"Muy Baja",IF(AA101&lt;=0.4,"Baja",IF(AA101&lt;=0.6,"Media",IF(AA101&lt;=0.8,"Alta","Muy Alta"))))),"")</f>
        <v>Muy Baja</v>
      </c>
      <c r="AC101" s="171">
        <f t="shared" ref="AC101:AC103" si="158">+AA101</f>
        <v>8.6399999999999991E-2</v>
      </c>
      <c r="AD101" s="170" t="str">
        <f t="shared" ref="AD101:AD103" si="159">IFERROR(IF(AE101="","",IF(AE101&lt;=0.2,"Leve",IF(AE101&lt;=0.4,"Menor",IF(AE101&lt;=0.6,"Moderado",IF(AE101&lt;=0.8,"Mayor","Catastrófico"))))),"")</f>
        <v>Moderado</v>
      </c>
      <c r="AE101" s="171">
        <v>0.6</v>
      </c>
      <c r="AF101" s="172" t="str">
        <f t="shared" ref="AF101:AF103" si="160">IFERROR(IF(OR(AND(AB101="Muy Baja",AD101="Leve"),AND(AB101="Muy Baja",AD101="Menor"),AND(AB101="Baja",AD101="Leve")),"Bajo",IF(OR(AND(AB101="Muy baja",AD101="Moderado"),AND(AB101="Baja",AD101="Menor"),AND(AB101="Baja",AD101="Moderado"),AND(AB101="Media",AD101="Leve"),AND(AB101="Media",AD101="Menor"),AND(AB101="Media",AD101="Moderado"),AND(AB101="Alta",AD101="Leve"),AND(AB101="Alta",AD101="Menor")),"Moderado",IF(OR(AND(AB101="Muy Baja",AD101="Mayor"),AND(AB101="Baja",AD101="Mayor"),AND(AB101="Media",AD101="Mayor"),AND(AB101="Alta",AD101="Moderado"),AND(AB101="Alta",AD101="Mayor"),AND(AB101="Muy Alta",AD101="Leve"),AND(AB101="Muy Alta",AD101="Menor"),AND(AB101="Muy Alta",AD101="Moderado"),AND(AB101="Muy Alta",AD101="Mayor")),"Alto",IF(OR(AND(AB101="Muy Baja",AD101="Catastrófico"),AND(AB101="Baja",AD101="Catastrófico"),AND(AB101="Media",AD101="Catastrófico"),AND(AB101="Alta",AD101="Catastrófico"),AND(AB101="Muy Alta",AD101="Catastrófico")),"Extremo","")))),"")</f>
        <v>Moderado</v>
      </c>
      <c r="AG101" s="173" t="s">
        <v>122</v>
      </c>
      <c r="AH101" s="176" t="s">
        <v>314</v>
      </c>
      <c r="AI101" s="166" t="s">
        <v>315</v>
      </c>
      <c r="AJ101" s="167" t="s">
        <v>200</v>
      </c>
      <c r="AK101" s="167" t="s">
        <v>200</v>
      </c>
      <c r="AL101" s="176" t="s">
        <v>504</v>
      </c>
      <c r="AM101" s="166"/>
    </row>
    <row r="102" spans="1:39" s="165" customFormat="1" ht="151.5" customHeight="1" x14ac:dyDescent="0.35">
      <c r="A102" s="427"/>
      <c r="B102" s="426"/>
      <c r="C102" s="437"/>
      <c r="D102" s="379"/>
      <c r="E102" s="350"/>
      <c r="F102" s="350"/>
      <c r="G102" s="350"/>
      <c r="H102" s="345"/>
      <c r="I102" s="350"/>
      <c r="J102" s="352"/>
      <c r="K102" s="416"/>
      <c r="L102" s="419"/>
      <c r="M102" s="439"/>
      <c r="N102" s="419"/>
      <c r="O102" s="416"/>
      <c r="P102" s="419"/>
      <c r="Q102" s="435"/>
      <c r="R102" s="180">
        <v>3</v>
      </c>
      <c r="S102" s="176"/>
      <c r="T102" s="177"/>
      <c r="U102" s="181"/>
      <c r="V102" s="181"/>
      <c r="W102" s="182"/>
      <c r="X102" s="181"/>
      <c r="Y102" s="181"/>
      <c r="Z102" s="181"/>
      <c r="AA102" s="156"/>
      <c r="AB102" s="170"/>
      <c r="AC102" s="171"/>
      <c r="AD102" s="170"/>
      <c r="AE102" s="171"/>
      <c r="AF102" s="172"/>
      <c r="AG102" s="173"/>
      <c r="AH102" s="176"/>
      <c r="AI102" s="166"/>
      <c r="AJ102" s="167"/>
      <c r="AK102" s="167"/>
      <c r="AL102" s="176"/>
      <c r="AM102" s="166"/>
    </row>
    <row r="103" spans="1:39" s="165" customFormat="1" ht="151.5" customHeight="1" x14ac:dyDescent="0.35">
      <c r="A103" s="427">
        <v>33</v>
      </c>
      <c r="B103" s="449" t="s">
        <v>312</v>
      </c>
      <c r="C103" s="449" t="s">
        <v>364</v>
      </c>
      <c r="D103" s="449" t="s">
        <v>419</v>
      </c>
      <c r="E103" s="411" t="s">
        <v>118</v>
      </c>
      <c r="F103" s="411" t="s">
        <v>558</v>
      </c>
      <c r="G103" s="411" t="s">
        <v>559</v>
      </c>
      <c r="H103" s="428" t="s">
        <v>561</v>
      </c>
      <c r="I103" s="428" t="s">
        <v>334</v>
      </c>
      <c r="J103" s="452">
        <v>1096</v>
      </c>
      <c r="K103" s="414" t="str">
        <f>IF(J103&lt;=0,"",IF(J103&lt;=2,"Muy Baja",IF(J103&lt;=24,"Baja",IF(J103&lt;=500,"Media",IF(J103&lt;=5000,"Alta","Muy Alta")))))</f>
        <v>Alta</v>
      </c>
      <c r="L103" s="417">
        <f>IF(K103="","",IF(K103="Muy Baja",0.2,IF(K103="Baja",0.4,IF(K103="Media",0.6,IF(K103="Alta",0.8,IF(K103="Muy Alta",1,))))))</f>
        <v>0.8</v>
      </c>
      <c r="M103" s="440" t="s">
        <v>517</v>
      </c>
      <c r="N103" s="417" t="str">
        <f>IF(NOT(ISERROR(MATCH(M103,'[1]Tabla Impacto'!$B$221:$B$223,0))),'[1]Tabla Impacto'!$F$223&amp;"Por favor no seleccionar los criterios de impacto(Afectación Económica o presupuestal y Pérdida Reputacional)",M103)</f>
        <v xml:space="preserve"> El riesgo afecta la imagen de la entidad con algunos usuarios de relevancia frente al logro de los objetivos</v>
      </c>
      <c r="O103" s="414" t="str">
        <f>IF(OR(N103='[1]Tabla Impacto'!$C$11,N103='[1]Tabla Impacto'!$D$11),"Leve",IF(OR(N103='[1]Tabla Impacto'!$C$12,N103='[1]Tabla Impacto'!$D$12),"Menor",IF(OR(N103='[1]Tabla Impacto'!$C$13,N103='[1]Tabla Impacto'!$D$13),"Moderado",IF(OR(N103='[1]Tabla Impacto'!$C$14,N103='[1]Tabla Impacto'!$D$14),"Mayor",IF(OR(N103='[1]Tabla Impacto'!$C$15,N103='[1]Tabla Impacto'!$D$15),"Catastrófico","")))))</f>
        <v>Moderado</v>
      </c>
      <c r="P103" s="417">
        <f>IF(O103="","",IF(O103="Leve",0.2,IF(O103="Menor",0.4,IF(O103="Moderado",0.6,IF(O103="Mayor",0.8,IF(O103="Catastrófico",1,))))))</f>
        <v>0.6</v>
      </c>
      <c r="Q103" s="433"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Alto</v>
      </c>
      <c r="R103" s="175">
        <v>1</v>
      </c>
      <c r="S103" s="176" t="s">
        <v>560</v>
      </c>
      <c r="T103" s="228" t="str">
        <f t="shared" si="155"/>
        <v>Probabilidad</v>
      </c>
      <c r="U103" s="229" t="s">
        <v>14</v>
      </c>
      <c r="V103" s="229" t="s">
        <v>9</v>
      </c>
      <c r="W103" s="230" t="str">
        <f t="shared" si="156"/>
        <v>40%</v>
      </c>
      <c r="X103" s="229" t="s">
        <v>20</v>
      </c>
      <c r="Y103" s="229" t="s">
        <v>22</v>
      </c>
      <c r="Z103" s="229" t="s">
        <v>110</v>
      </c>
      <c r="AA103" s="231">
        <f t="shared" ref="AA103" si="161">IFERROR(IF(T103="Probabilidad",(L103-(+L103*W103)),IF(T103="Impacto",L103,"")),"")</f>
        <v>0.48</v>
      </c>
      <c r="AB103" s="232" t="str">
        <f t="shared" si="157"/>
        <v>Media</v>
      </c>
      <c r="AC103" s="233">
        <f t="shared" si="158"/>
        <v>0.48</v>
      </c>
      <c r="AD103" s="232" t="str">
        <f t="shared" si="159"/>
        <v>Moderado</v>
      </c>
      <c r="AE103" s="233">
        <f t="shared" ref="AE103" si="162">IFERROR(IF(T103="Impacto",(P103-(+P103*W103)),IF(T103="Probabilidad",P103,"")),"")</f>
        <v>0.6</v>
      </c>
      <c r="AF103" s="234" t="str">
        <f t="shared" si="160"/>
        <v>Moderado</v>
      </c>
      <c r="AG103" s="235" t="s">
        <v>122</v>
      </c>
      <c r="AH103" s="174" t="s">
        <v>563</v>
      </c>
      <c r="AI103" s="166" t="s">
        <v>313</v>
      </c>
      <c r="AJ103" s="167">
        <v>44713</v>
      </c>
      <c r="AK103" s="167">
        <v>44926</v>
      </c>
      <c r="AL103" s="168" t="s">
        <v>564</v>
      </c>
      <c r="AM103" s="166"/>
    </row>
    <row r="104" spans="1:39" s="165" customFormat="1" ht="151.5" customHeight="1" x14ac:dyDescent="0.35">
      <c r="A104" s="427"/>
      <c r="B104" s="450"/>
      <c r="C104" s="450"/>
      <c r="D104" s="450"/>
      <c r="E104" s="412"/>
      <c r="F104" s="412"/>
      <c r="G104" s="412"/>
      <c r="H104" s="429"/>
      <c r="I104" s="429"/>
      <c r="J104" s="453"/>
      <c r="K104" s="415"/>
      <c r="L104" s="418"/>
      <c r="M104" s="441"/>
      <c r="N104" s="418"/>
      <c r="O104" s="415"/>
      <c r="P104" s="418"/>
      <c r="Q104" s="434"/>
      <c r="R104" s="175">
        <v>2</v>
      </c>
      <c r="S104" s="176"/>
      <c r="T104" s="177"/>
      <c r="U104" s="169"/>
      <c r="V104" s="169"/>
      <c r="W104" s="178"/>
      <c r="X104" s="169"/>
      <c r="Y104" s="169"/>
      <c r="Z104" s="169"/>
      <c r="AA104" s="156"/>
      <c r="AB104" s="170"/>
      <c r="AC104" s="171"/>
      <c r="AD104" s="170"/>
      <c r="AE104" s="171"/>
      <c r="AF104" s="172"/>
      <c r="AG104" s="173"/>
      <c r="AH104" s="195"/>
      <c r="AI104" s="196"/>
      <c r="AJ104" s="197"/>
      <c r="AK104" s="197"/>
      <c r="AL104" s="198"/>
      <c r="AM104" s="166"/>
    </row>
    <row r="105" spans="1:39" s="165" customFormat="1" ht="151.5" customHeight="1" x14ac:dyDescent="0.35">
      <c r="A105" s="427"/>
      <c r="B105" s="451"/>
      <c r="C105" s="451"/>
      <c r="D105" s="451"/>
      <c r="E105" s="446"/>
      <c r="F105" s="446"/>
      <c r="G105" s="446"/>
      <c r="H105" s="447"/>
      <c r="I105" s="447"/>
      <c r="J105" s="454"/>
      <c r="K105" s="416"/>
      <c r="L105" s="419"/>
      <c r="M105" s="442"/>
      <c r="N105" s="419"/>
      <c r="O105" s="416"/>
      <c r="P105" s="419"/>
      <c r="Q105" s="435"/>
      <c r="R105" s="175">
        <v>3</v>
      </c>
      <c r="S105" s="176"/>
      <c r="T105" s="177"/>
      <c r="U105" s="169"/>
      <c r="V105" s="169"/>
      <c r="W105" s="178"/>
      <c r="X105" s="169"/>
      <c r="Y105" s="169"/>
      <c r="Z105" s="169"/>
      <c r="AA105" s="156"/>
      <c r="AB105" s="170"/>
      <c r="AC105" s="171"/>
      <c r="AD105" s="170"/>
      <c r="AE105" s="171"/>
      <c r="AF105" s="172"/>
      <c r="AG105" s="173"/>
      <c r="AH105" s="195"/>
      <c r="AI105" s="196"/>
      <c r="AJ105" s="197"/>
      <c r="AK105" s="197"/>
      <c r="AL105" s="198"/>
      <c r="AM105" s="166"/>
    </row>
    <row r="106" spans="1:39" s="165" customFormat="1" ht="151.5" customHeight="1" x14ac:dyDescent="0.35">
      <c r="A106" s="427">
        <v>34</v>
      </c>
      <c r="B106" s="424" t="s">
        <v>316</v>
      </c>
      <c r="C106" s="422" t="s">
        <v>371</v>
      </c>
      <c r="D106" s="422" t="s">
        <v>423</v>
      </c>
      <c r="E106" s="411" t="s">
        <v>118</v>
      </c>
      <c r="F106" s="411" t="s">
        <v>317</v>
      </c>
      <c r="G106" s="411" t="s">
        <v>492</v>
      </c>
      <c r="H106" s="428" t="s">
        <v>491</v>
      </c>
      <c r="I106" s="411" t="s">
        <v>117</v>
      </c>
      <c r="J106" s="409">
        <v>365</v>
      </c>
      <c r="K106" s="414" t="str">
        <f>IF(J106&lt;=0,"",IF(J106&lt;=2,"Muy Baja",IF(J106&lt;=24,"Baja",IF(J106&lt;=500,"Media",IF(J106&lt;=5000,"Alta","Muy Alta")))))</f>
        <v>Media</v>
      </c>
      <c r="L106" s="417">
        <f>IF(K106="","",IF(K106="Muy Baja",0.2,IF(K106="Baja",0.4,IF(K106="Media",0.6,IF(K106="Alta",0.8,IF(K106="Muy Alta",1,))))))</f>
        <v>0.6</v>
      </c>
      <c r="M106" s="420" t="s">
        <v>517</v>
      </c>
      <c r="N106" s="179" t="str">
        <f>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414" t="str">
        <f>IF(OR(N106='Tabla Impacto'!$C$11,N106='Tabla Impacto'!$D$11),"Leve",IF(OR(N106='Tabla Impacto'!$C$12,N106='Tabla Impacto'!$D$12),"Menor",IF(OR(N106='Tabla Impacto'!$C$13,N106='Tabla Impacto'!$D$13),"Moderado",IF(OR(N106='Tabla Impacto'!$C$14,N106='Tabla Impacto'!$D$14),"Mayor",IF(OR(N106='Tabla Impacto'!$C$15,N106='Tabla Impacto'!$D$15),"Catastrófico","")))))</f>
        <v>Moderado</v>
      </c>
      <c r="P106" s="417">
        <f>IF(O106="","",IF(O106="Leve",0.2,IF(O106="Menor",0.4,IF(O106="Moderado",0.6,IF(O106="Mayor",0.8,IF(O106="Catastrófico",1,))))))</f>
        <v>0.6</v>
      </c>
      <c r="Q106" s="433"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80">
        <v>1</v>
      </c>
      <c r="S106" s="176" t="s">
        <v>354</v>
      </c>
      <c r="T106" s="177" t="str">
        <f t="shared" ref="T106:T108" si="163">IF(OR(U106="Preventivo",U106="Detectivo"),"Probabilidad",IF(U106="Correctivo","Impacto",""))</f>
        <v>Probabilidad</v>
      </c>
      <c r="U106" s="181" t="s">
        <v>15</v>
      </c>
      <c r="V106" s="181" t="s">
        <v>9</v>
      </c>
      <c r="W106" s="182" t="str">
        <f t="shared" ref="W106:W107" si="164">IF(AND(U106="Preventivo",V106="Automático"),"50%",IF(AND(U106="Preventivo",V106="Manual"),"40%",IF(AND(U106="Detectivo",V106="Automático"),"40%",IF(AND(U106="Detectivo",V106="Manual"),"30%",IF(AND(U106="Correctivo",V106="Automático"),"35%",IF(AND(U106="Correctivo",V106="Manual"),"25%",""))))))</f>
        <v>30%</v>
      </c>
      <c r="X106" s="181" t="s">
        <v>19</v>
      </c>
      <c r="Y106" s="181" t="s">
        <v>22</v>
      </c>
      <c r="Z106" s="181" t="s">
        <v>110</v>
      </c>
      <c r="AA106" s="156">
        <f t="shared" ref="AA106" si="165">IFERROR(IF(T106="Probabilidad",(L106-(+L106*W106)),IF(T106="Impacto",L106,"")),"")</f>
        <v>0.42</v>
      </c>
      <c r="AB106" s="170" t="str">
        <f t="shared" ref="AB106:AB108" si="166">IFERROR(IF(AA106="","",IF(AA106&lt;=0.2,"Muy Baja",IF(AA106&lt;=0.4,"Baja",IF(AA106&lt;=0.6,"Media",IF(AA106&lt;=0.8,"Alta","Muy Alta"))))),"")</f>
        <v>Media</v>
      </c>
      <c r="AC106" s="171">
        <f t="shared" ref="AC106:AC108" si="167">+AA106</f>
        <v>0.42</v>
      </c>
      <c r="AD106" s="170" t="str">
        <f t="shared" ref="AD106:AD108" si="168">IFERROR(IF(AE106="","",IF(AE106&lt;=0.2,"Leve",IF(AE106&lt;=0.4,"Menor",IF(AE106&lt;=0.6,"Moderado",IF(AE106&lt;=0.8,"Mayor","Catastrófico"))))),"")</f>
        <v>Moderado</v>
      </c>
      <c r="AE106" s="171">
        <f t="shared" ref="AE106:AE108" si="169">IFERROR(IF(T106="Impacto",(P106-(+P106*W106)),IF(T106="Probabilidad",P106,"")),"")</f>
        <v>0.6</v>
      </c>
      <c r="AF106" s="172" t="str">
        <f t="shared" ref="AF106:AF108" si="170">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Moderado</v>
      </c>
      <c r="AG106" s="173" t="s">
        <v>122</v>
      </c>
      <c r="AH106" s="183" t="s">
        <v>424</v>
      </c>
      <c r="AI106" s="184" t="s">
        <v>204</v>
      </c>
      <c r="AJ106" s="185" t="s">
        <v>200</v>
      </c>
      <c r="AK106" s="185" t="s">
        <v>200</v>
      </c>
      <c r="AL106" s="183" t="s">
        <v>426</v>
      </c>
      <c r="AM106" s="166"/>
    </row>
    <row r="107" spans="1:39" s="165" customFormat="1" ht="151.5" customHeight="1" x14ac:dyDescent="0.35">
      <c r="A107" s="427"/>
      <c r="B107" s="425"/>
      <c r="C107" s="430"/>
      <c r="D107" s="430"/>
      <c r="E107" s="412"/>
      <c r="F107" s="412"/>
      <c r="G107" s="412"/>
      <c r="H107" s="429"/>
      <c r="I107" s="412"/>
      <c r="J107" s="410"/>
      <c r="K107" s="415"/>
      <c r="L107" s="418"/>
      <c r="M107" s="421"/>
      <c r="N107" s="186"/>
      <c r="O107" s="415"/>
      <c r="P107" s="418"/>
      <c r="Q107" s="434"/>
      <c r="R107" s="180">
        <v>2</v>
      </c>
      <c r="S107" s="176" t="s">
        <v>361</v>
      </c>
      <c r="T107" s="177" t="str">
        <f t="shared" si="163"/>
        <v>Probabilidad</v>
      </c>
      <c r="U107" s="181" t="s">
        <v>14</v>
      </c>
      <c r="V107" s="181" t="s">
        <v>9</v>
      </c>
      <c r="W107" s="182" t="str">
        <f t="shared" si="164"/>
        <v>40%</v>
      </c>
      <c r="X107" s="181" t="s">
        <v>19</v>
      </c>
      <c r="Y107" s="181" t="s">
        <v>23</v>
      </c>
      <c r="Z107" s="181" t="s">
        <v>110</v>
      </c>
      <c r="AA107" s="156">
        <f>IFERROR(IF(T107="Probabilidad",(AA106-(+AA106*W107)),IF(T107="Impacto",L107,"")),"")</f>
        <v>0.252</v>
      </c>
      <c r="AB107" s="170" t="str">
        <f t="shared" si="166"/>
        <v>Baja</v>
      </c>
      <c r="AC107" s="171">
        <f t="shared" si="167"/>
        <v>0.252</v>
      </c>
      <c r="AD107" s="170" t="str">
        <f t="shared" si="168"/>
        <v>Moderado</v>
      </c>
      <c r="AE107" s="171">
        <v>0.6</v>
      </c>
      <c r="AF107" s="172" t="str">
        <f t="shared" si="170"/>
        <v>Moderado</v>
      </c>
      <c r="AG107" s="173" t="s">
        <v>122</v>
      </c>
      <c r="AH107" s="183" t="s">
        <v>318</v>
      </c>
      <c r="AI107" s="184" t="s">
        <v>213</v>
      </c>
      <c r="AJ107" s="185" t="s">
        <v>200</v>
      </c>
      <c r="AK107" s="185" t="s">
        <v>200</v>
      </c>
      <c r="AL107" s="183" t="s">
        <v>425</v>
      </c>
      <c r="AM107" s="166"/>
    </row>
    <row r="108" spans="1:39" s="165" customFormat="1" ht="99.75" customHeight="1" x14ac:dyDescent="0.35">
      <c r="A108" s="427"/>
      <c r="B108" s="426"/>
      <c r="C108" s="430"/>
      <c r="D108" s="430"/>
      <c r="E108" s="412"/>
      <c r="F108" s="412"/>
      <c r="G108" s="412"/>
      <c r="H108" s="429"/>
      <c r="I108" s="412"/>
      <c r="J108" s="410"/>
      <c r="K108" s="416"/>
      <c r="L108" s="419"/>
      <c r="M108" s="421"/>
      <c r="N108" s="186"/>
      <c r="O108" s="416"/>
      <c r="P108" s="419"/>
      <c r="Q108" s="435"/>
      <c r="R108" s="180">
        <v>3</v>
      </c>
      <c r="S108" s="176"/>
      <c r="T108" s="177" t="str">
        <f t="shared" si="163"/>
        <v/>
      </c>
      <c r="U108" s="181"/>
      <c r="V108" s="181"/>
      <c r="W108" s="182"/>
      <c r="X108" s="181"/>
      <c r="Y108" s="181"/>
      <c r="Z108" s="181"/>
      <c r="AA108" s="156" t="str">
        <f>IFERROR(IF(T108="Probabilidad",(AA107-(+AA107*W108)),IF(T108="Impacto",L108,"")),"")</f>
        <v/>
      </c>
      <c r="AB108" s="170" t="str">
        <f t="shared" si="166"/>
        <v/>
      </c>
      <c r="AC108" s="171" t="str">
        <f t="shared" si="167"/>
        <v/>
      </c>
      <c r="AD108" s="170" t="str">
        <f t="shared" si="168"/>
        <v/>
      </c>
      <c r="AE108" s="171" t="str">
        <f t="shared" si="169"/>
        <v/>
      </c>
      <c r="AF108" s="172" t="str">
        <f t="shared" si="170"/>
        <v/>
      </c>
      <c r="AG108" s="173"/>
      <c r="AH108" s="176"/>
      <c r="AI108" s="166"/>
      <c r="AJ108" s="167"/>
      <c r="AK108" s="167"/>
      <c r="AL108" s="176"/>
      <c r="AM108" s="166"/>
    </row>
    <row r="109" spans="1:39" s="165" customFormat="1" ht="151.5" customHeight="1" x14ac:dyDescent="0.35">
      <c r="A109" s="427">
        <v>35</v>
      </c>
      <c r="B109" s="424" t="s">
        <v>316</v>
      </c>
      <c r="C109" s="422" t="s">
        <v>371</v>
      </c>
      <c r="D109" s="422" t="s">
        <v>423</v>
      </c>
      <c r="E109" s="411" t="s">
        <v>118</v>
      </c>
      <c r="F109" s="411" t="s">
        <v>319</v>
      </c>
      <c r="G109" s="411" t="s">
        <v>340</v>
      </c>
      <c r="H109" s="428" t="s">
        <v>427</v>
      </c>
      <c r="I109" s="411" t="s">
        <v>334</v>
      </c>
      <c r="J109" s="409">
        <v>365</v>
      </c>
      <c r="K109" s="414" t="str">
        <f>IF(J109&lt;=0,"",IF(J109&lt;=2,"Muy Baja",IF(J109&lt;=24,"Baja",IF(J109&lt;=500,"Media",IF(J109&lt;=5000,"Alta","Muy Alta")))))</f>
        <v>Media</v>
      </c>
      <c r="L109" s="417">
        <f>IF(K109="","",IF(K109="Muy Baja",0.2,IF(K109="Baja",0.4,IF(K109="Media",0.6,IF(K109="Alta",0.8,IF(K109="Muy Alta",1,))))))</f>
        <v>0.6</v>
      </c>
      <c r="M109" s="420" t="s">
        <v>517</v>
      </c>
      <c r="N109" s="179" t="str">
        <f>IF(NOT(ISERROR(MATCH(M109,'Tabla Impacto'!$B$221:$B$223,0))),'Tabla Impacto'!$F$223&amp;"Por favor no seleccionar los criterios de impacto(Afectación Económica o presupuestal y Pérdida Reputacional)",M109)</f>
        <v xml:space="preserve"> El riesgo afecta la imagen de la entidad con algunos usuarios de relevancia frente al logro de los objetivos</v>
      </c>
      <c r="O109" s="414" t="str">
        <f>IF(OR(N109='Tabla Impacto'!$C$11,N109='Tabla Impacto'!$D$11),"Leve",IF(OR(N109='Tabla Impacto'!$C$12,N109='Tabla Impacto'!$D$12),"Menor",IF(OR(N109='Tabla Impacto'!$C$13,N109='Tabla Impacto'!$D$13),"Moderado",IF(OR(N109='Tabla Impacto'!$C$14,N109='Tabla Impacto'!$D$14),"Mayor",IF(OR(N109='Tabla Impacto'!$C$15,N109='Tabla Impacto'!$D$15),"Catastrófico","")))))</f>
        <v>Moderado</v>
      </c>
      <c r="P109" s="417">
        <f>IF(O109="","",IF(O109="Leve",0.2,IF(O109="Menor",0.4,IF(O109="Moderado",0.6,IF(O109="Mayor",0.8,IF(O109="Catastrófico",1,))))))</f>
        <v>0.6</v>
      </c>
      <c r="Q109" s="433"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80">
        <v>1</v>
      </c>
      <c r="S109" s="176" t="s">
        <v>341</v>
      </c>
      <c r="T109" s="177" t="str">
        <f t="shared" si="25"/>
        <v>Probabilidad</v>
      </c>
      <c r="U109" s="181" t="s">
        <v>14</v>
      </c>
      <c r="V109" s="181" t="s">
        <v>9</v>
      </c>
      <c r="W109" s="182" t="str">
        <f t="shared" si="26"/>
        <v>40%</v>
      </c>
      <c r="X109" s="181" t="s">
        <v>19</v>
      </c>
      <c r="Y109" s="181" t="s">
        <v>23</v>
      </c>
      <c r="Z109" s="181" t="s">
        <v>110</v>
      </c>
      <c r="AA109" s="156">
        <f t="shared" si="27"/>
        <v>0.36</v>
      </c>
      <c r="AB109" s="170" t="str">
        <f t="shared" si="28"/>
        <v>Baja</v>
      </c>
      <c r="AC109" s="171">
        <f t="shared" si="29"/>
        <v>0.36</v>
      </c>
      <c r="AD109" s="170" t="str">
        <f t="shared" si="30"/>
        <v>Moderado</v>
      </c>
      <c r="AE109" s="171">
        <f t="shared" si="31"/>
        <v>0.6</v>
      </c>
      <c r="AF109" s="172" t="str">
        <f t="shared" si="32"/>
        <v>Moderado</v>
      </c>
      <c r="AG109" s="173" t="s">
        <v>122</v>
      </c>
      <c r="AH109" s="183" t="s">
        <v>342</v>
      </c>
      <c r="AI109" s="184" t="s">
        <v>284</v>
      </c>
      <c r="AJ109" s="185" t="s">
        <v>200</v>
      </c>
      <c r="AK109" s="185" t="s">
        <v>200</v>
      </c>
      <c r="AL109" s="183" t="s">
        <v>428</v>
      </c>
      <c r="AM109" s="166"/>
    </row>
    <row r="110" spans="1:39" s="165" customFormat="1" ht="151.5" customHeight="1" x14ac:dyDescent="0.35">
      <c r="A110" s="427"/>
      <c r="B110" s="425"/>
      <c r="C110" s="430"/>
      <c r="D110" s="430"/>
      <c r="E110" s="412"/>
      <c r="F110" s="412"/>
      <c r="G110" s="412"/>
      <c r="H110" s="429"/>
      <c r="I110" s="412"/>
      <c r="J110" s="410"/>
      <c r="K110" s="415"/>
      <c r="L110" s="418"/>
      <c r="M110" s="421"/>
      <c r="N110" s="186"/>
      <c r="O110" s="415"/>
      <c r="P110" s="418"/>
      <c r="Q110" s="434"/>
      <c r="R110" s="180">
        <v>2</v>
      </c>
      <c r="S110" s="176" t="s">
        <v>355</v>
      </c>
      <c r="T110" s="177" t="str">
        <f t="shared" ref="T110:T111" si="171">IF(OR(U110="Preventivo",U110="Detectivo"),"Probabilidad",IF(U110="Correctivo","Impacto",""))</f>
        <v>Probabilidad</v>
      </c>
      <c r="U110" s="181" t="s">
        <v>14</v>
      </c>
      <c r="V110" s="181" t="s">
        <v>9</v>
      </c>
      <c r="W110" s="182" t="str">
        <f t="shared" ref="W110" si="172">IF(AND(U110="Preventivo",V110="Automático"),"50%",IF(AND(U110="Preventivo",V110="Manual"),"40%",IF(AND(U110="Detectivo",V110="Automático"),"40%",IF(AND(U110="Detectivo",V110="Manual"),"30%",IF(AND(U110="Correctivo",V110="Automático"),"35%",IF(AND(U110="Correctivo",V110="Manual"),"25%",""))))))</f>
        <v>40%</v>
      </c>
      <c r="X110" s="181" t="s">
        <v>20</v>
      </c>
      <c r="Y110" s="181" t="s">
        <v>22</v>
      </c>
      <c r="Z110" s="181" t="s">
        <v>110</v>
      </c>
      <c r="AA110" s="156">
        <f>IFERROR(IF(T110="Probabilidad",(AA109-(+AA109*W110)),IF(T110="Impacto",L110,"")),"")</f>
        <v>0.216</v>
      </c>
      <c r="AB110" s="170" t="str">
        <f t="shared" ref="AB110:AB111" si="173">IFERROR(IF(AA110="","",IF(AA110&lt;=0.2,"Muy Baja",IF(AA110&lt;=0.4,"Baja",IF(AA110&lt;=0.6,"Media",IF(AA110&lt;=0.8,"Alta","Muy Alta"))))),"")</f>
        <v>Baja</v>
      </c>
      <c r="AC110" s="171">
        <f t="shared" ref="AC110:AC111" si="174">+AA110</f>
        <v>0.216</v>
      </c>
      <c r="AD110" s="170" t="str">
        <f t="shared" ref="AD110:AD111" si="175">IFERROR(IF(AE110="","",IF(AE110&lt;=0.2,"Leve",IF(AE110&lt;=0.4,"Menor",IF(AE110&lt;=0.6,"Moderado",IF(AE110&lt;=0.8,"Mayor","Catastrófico"))))),"")</f>
        <v>Moderado</v>
      </c>
      <c r="AE110" s="171">
        <v>0.6</v>
      </c>
      <c r="AF110" s="172" t="str">
        <f t="shared" ref="AF110:AF111" si="176">IFERROR(IF(OR(AND(AB110="Muy Baja",AD110="Leve"),AND(AB110="Muy Baja",AD110="Menor"),AND(AB110="Baja",AD110="Leve")),"Bajo",IF(OR(AND(AB110="Muy baja",AD110="Moderado"),AND(AB110="Baja",AD110="Menor"),AND(AB110="Baja",AD110="Moderado"),AND(AB110="Media",AD110="Leve"),AND(AB110="Media",AD110="Menor"),AND(AB110="Media",AD110="Moderado"),AND(AB110="Alta",AD110="Leve"),AND(AB110="Alta",AD110="Menor")),"Moderado",IF(OR(AND(AB110="Muy Baja",AD110="Mayor"),AND(AB110="Baja",AD110="Mayor"),AND(AB110="Media",AD110="Mayor"),AND(AB110="Alta",AD110="Moderado"),AND(AB110="Alta",AD110="Mayor"),AND(AB110="Muy Alta",AD110="Leve"),AND(AB110="Muy Alta",AD110="Menor"),AND(AB110="Muy Alta",AD110="Moderado"),AND(AB110="Muy Alta",AD110="Mayor")),"Alto",IF(OR(AND(AB110="Muy Baja",AD110="Catastrófico"),AND(AB110="Baja",AD110="Catastrófico"),AND(AB110="Media",AD110="Catastrófico"),AND(AB110="Alta",AD110="Catastrófico"),AND(AB110="Muy Alta",AD110="Catastrófico")),"Extremo","")))),"")</f>
        <v>Moderado</v>
      </c>
      <c r="AG110" s="173" t="s">
        <v>122</v>
      </c>
      <c r="AH110" s="183" t="s">
        <v>424</v>
      </c>
      <c r="AI110" s="184" t="s">
        <v>204</v>
      </c>
      <c r="AJ110" s="185" t="s">
        <v>200</v>
      </c>
      <c r="AK110" s="185" t="s">
        <v>200</v>
      </c>
      <c r="AL110" s="183" t="s">
        <v>426</v>
      </c>
      <c r="AM110" s="166"/>
    </row>
    <row r="111" spans="1:39" s="165" customFormat="1" ht="151.5" customHeight="1" x14ac:dyDescent="0.35">
      <c r="A111" s="427"/>
      <c r="B111" s="426"/>
      <c r="C111" s="430"/>
      <c r="D111" s="430"/>
      <c r="E111" s="412"/>
      <c r="F111" s="412"/>
      <c r="G111" s="412"/>
      <c r="H111" s="429"/>
      <c r="I111" s="412"/>
      <c r="J111" s="410"/>
      <c r="K111" s="416"/>
      <c r="L111" s="419"/>
      <c r="M111" s="421"/>
      <c r="N111" s="186"/>
      <c r="O111" s="416"/>
      <c r="P111" s="419"/>
      <c r="Q111" s="435"/>
      <c r="R111" s="180">
        <v>3</v>
      </c>
      <c r="S111" s="176"/>
      <c r="T111" s="177" t="str">
        <f t="shared" si="171"/>
        <v/>
      </c>
      <c r="U111" s="181"/>
      <c r="V111" s="181"/>
      <c r="W111" s="182"/>
      <c r="X111" s="181"/>
      <c r="Y111" s="181"/>
      <c r="Z111" s="181"/>
      <c r="AA111" s="156" t="str">
        <f>IFERROR(IF(T111="Probabilidad",(AA110-(+AA110*W111)),IF(T111="Impacto",L111,"")),"")</f>
        <v/>
      </c>
      <c r="AB111" s="170" t="str">
        <f t="shared" si="173"/>
        <v/>
      </c>
      <c r="AC111" s="171" t="str">
        <f t="shared" si="174"/>
        <v/>
      </c>
      <c r="AD111" s="170" t="str">
        <f t="shared" si="175"/>
        <v/>
      </c>
      <c r="AE111" s="171" t="str">
        <f t="shared" ref="AE111" si="177">IFERROR(IF(T111="Impacto",(P111-(+P111*W111)),IF(T111="Probabilidad",P111,"")),"")</f>
        <v/>
      </c>
      <c r="AF111" s="172" t="str">
        <f t="shared" si="176"/>
        <v/>
      </c>
      <c r="AG111" s="173"/>
      <c r="AH111" s="176"/>
      <c r="AI111" s="166"/>
      <c r="AJ111" s="167"/>
      <c r="AK111" s="167"/>
      <c r="AL111" s="176"/>
      <c r="AM111" s="166"/>
    </row>
    <row r="112" spans="1:39" s="165" customFormat="1" ht="151.5" customHeight="1" x14ac:dyDescent="0.35">
      <c r="A112" s="427">
        <v>36</v>
      </c>
      <c r="B112" s="424" t="s">
        <v>316</v>
      </c>
      <c r="C112" s="422" t="s">
        <v>371</v>
      </c>
      <c r="D112" s="422" t="s">
        <v>423</v>
      </c>
      <c r="E112" s="411" t="s">
        <v>120</v>
      </c>
      <c r="F112" s="411" t="s">
        <v>321</v>
      </c>
      <c r="G112" s="411" t="s">
        <v>322</v>
      </c>
      <c r="H112" s="428" t="s">
        <v>320</v>
      </c>
      <c r="I112" s="411" t="s">
        <v>343</v>
      </c>
      <c r="J112" s="409">
        <v>365</v>
      </c>
      <c r="K112" s="414" t="str">
        <f>IF(J112&lt;=0,"",IF(J112&lt;=2,"Muy Baja",IF(J112&lt;=24,"Baja",IF(J112&lt;=500,"Media",IF(J112&lt;=5000,"Alta","Muy Alta")))))</f>
        <v>Media</v>
      </c>
      <c r="L112" s="417">
        <f>IF(K112="","",IF(K112="Muy Baja",0.2,IF(K112="Baja",0.4,IF(K112="Media",0.6,IF(K112="Alta",0.8,IF(K112="Muy Alta",1,))))))</f>
        <v>0.6</v>
      </c>
      <c r="M112" s="420" t="s">
        <v>524</v>
      </c>
      <c r="N112" s="179" t="str">
        <f>IF(NOT(ISERROR(MATCH(M112,'Tabla Impacto'!$B$221:$B$223,0))),'Tabla Impacto'!$F$223&amp;"Por favor no seleccionar los criterios de impacto(Afectación Económica o presupuestal y Pérdida Reputacional)",M112)</f>
        <v xml:space="preserve"> El riesgo afecta la imagen de la entidad con efecto publicitario sostenido a nivel de sector administrativo, nivel departamental o municipal</v>
      </c>
      <c r="O112" s="414" t="str">
        <f>IF(OR(N112='Tabla Impacto'!$C$11,N112='Tabla Impacto'!$D$11),"Leve",IF(OR(N112='Tabla Impacto'!$C$12,N112='Tabla Impacto'!$D$12),"Menor",IF(OR(N112='Tabla Impacto'!$C$13,N112='Tabla Impacto'!$D$13),"Moderado",IF(OR(N112='Tabla Impacto'!$C$14,N112='Tabla Impacto'!$D$14),"Mayor",IF(OR(N112='Tabla Impacto'!$C$15,N112='Tabla Impacto'!$D$15),"Catastrófico","")))))</f>
        <v>Mayor</v>
      </c>
      <c r="P112" s="417">
        <f>IF(O112="","",IF(O112="Leve",0.2,IF(O112="Menor",0.4,IF(O112="Moderado",0.6,IF(O112="Mayor",0.8,IF(O112="Catastrófico",1,))))))</f>
        <v>0.8</v>
      </c>
      <c r="Q112" s="433"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Alto</v>
      </c>
      <c r="R112" s="180">
        <v>1</v>
      </c>
      <c r="S112" s="176" t="s">
        <v>362</v>
      </c>
      <c r="T112" s="177" t="str">
        <f t="shared" ref="T112:T114" si="178">IF(OR(U112="Preventivo",U112="Detectivo"),"Probabilidad",IF(U112="Correctivo","Impacto",""))</f>
        <v>Probabilidad</v>
      </c>
      <c r="U112" s="181" t="s">
        <v>14</v>
      </c>
      <c r="V112" s="181" t="s">
        <v>9</v>
      </c>
      <c r="W112" s="182" t="str">
        <f t="shared" ref="W112:W113" si="179">IF(AND(U112="Preventivo",V112="Automático"),"50%",IF(AND(U112="Preventivo",V112="Manual"),"40%",IF(AND(U112="Detectivo",V112="Automático"),"40%",IF(AND(U112="Detectivo",V112="Manual"),"30%",IF(AND(U112="Correctivo",V112="Automático"),"35%",IF(AND(U112="Correctivo",V112="Manual"),"25%",""))))))</f>
        <v>40%</v>
      </c>
      <c r="X112" s="181" t="s">
        <v>19</v>
      </c>
      <c r="Y112" s="181" t="s">
        <v>22</v>
      </c>
      <c r="Z112" s="181" t="s">
        <v>110</v>
      </c>
      <c r="AA112" s="156">
        <f t="shared" ref="AA112" si="180">IFERROR(IF(T112="Probabilidad",(L112-(+L112*W112)),IF(T112="Impacto",L112,"")),"")</f>
        <v>0.36</v>
      </c>
      <c r="AB112" s="170" t="str">
        <f t="shared" ref="AB112:AB114" si="181">IFERROR(IF(AA112="","",IF(AA112&lt;=0.2,"Muy Baja",IF(AA112&lt;=0.4,"Baja",IF(AA112&lt;=0.6,"Media",IF(AA112&lt;=0.8,"Alta","Muy Alta"))))),"")</f>
        <v>Baja</v>
      </c>
      <c r="AC112" s="171">
        <f t="shared" ref="AC112:AC114" si="182">+AA112</f>
        <v>0.36</v>
      </c>
      <c r="AD112" s="170" t="str">
        <f t="shared" ref="AD112:AD114" si="183">IFERROR(IF(AE112="","",IF(AE112&lt;=0.2,"Leve",IF(AE112&lt;=0.4,"Menor",IF(AE112&lt;=0.6,"Moderado",IF(AE112&lt;=0.8,"Mayor","Catastrófico"))))),"")</f>
        <v>Mayor</v>
      </c>
      <c r="AE112" s="171">
        <f t="shared" ref="AE112:AE114" si="184">IFERROR(IF(T112="Impacto",(P112-(+P112*W112)),IF(T112="Probabilidad",P112,"")),"")</f>
        <v>0.8</v>
      </c>
      <c r="AF112" s="172" t="str">
        <f t="shared" ref="AF112:AF114" si="185">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Alto</v>
      </c>
      <c r="AG112" s="173" t="s">
        <v>122</v>
      </c>
      <c r="AH112" s="183" t="s">
        <v>318</v>
      </c>
      <c r="AI112" s="184" t="s">
        <v>213</v>
      </c>
      <c r="AJ112" s="185" t="s">
        <v>200</v>
      </c>
      <c r="AK112" s="185" t="s">
        <v>200</v>
      </c>
      <c r="AL112" s="183" t="s">
        <v>425</v>
      </c>
      <c r="AM112" s="166"/>
    </row>
    <row r="113" spans="1:39" s="165" customFormat="1" ht="151.5" customHeight="1" x14ac:dyDescent="0.35">
      <c r="A113" s="427"/>
      <c r="B113" s="425"/>
      <c r="C113" s="430"/>
      <c r="D113" s="430"/>
      <c r="E113" s="412"/>
      <c r="F113" s="412"/>
      <c r="G113" s="412"/>
      <c r="H113" s="429"/>
      <c r="I113" s="412"/>
      <c r="J113" s="410"/>
      <c r="K113" s="415"/>
      <c r="L113" s="418"/>
      <c r="M113" s="421"/>
      <c r="N113" s="186"/>
      <c r="O113" s="415"/>
      <c r="P113" s="418"/>
      <c r="Q113" s="434"/>
      <c r="R113" s="180">
        <v>2</v>
      </c>
      <c r="S113" s="176" t="s">
        <v>356</v>
      </c>
      <c r="T113" s="177" t="str">
        <f t="shared" si="178"/>
        <v>Probabilidad</v>
      </c>
      <c r="U113" s="181" t="s">
        <v>15</v>
      </c>
      <c r="V113" s="181" t="s">
        <v>10</v>
      </c>
      <c r="W113" s="182" t="str">
        <f t="shared" si="179"/>
        <v>40%</v>
      </c>
      <c r="X113" s="181" t="s">
        <v>19</v>
      </c>
      <c r="Y113" s="181" t="s">
        <v>22</v>
      </c>
      <c r="Z113" s="181" t="s">
        <v>110</v>
      </c>
      <c r="AA113" s="156">
        <f>IFERROR(IF(T113="Probabilidad",(AA112-(+AA112*W113)),IF(T113="Impacto",L113,"")),"")</f>
        <v>0.216</v>
      </c>
      <c r="AB113" s="170" t="str">
        <f t="shared" si="181"/>
        <v>Baja</v>
      </c>
      <c r="AC113" s="171">
        <f t="shared" si="182"/>
        <v>0.216</v>
      </c>
      <c r="AD113" s="170" t="str">
        <f t="shared" si="183"/>
        <v>Mayor</v>
      </c>
      <c r="AE113" s="171">
        <v>0.8</v>
      </c>
      <c r="AF113" s="172" t="str">
        <f t="shared" si="185"/>
        <v>Alto</v>
      </c>
      <c r="AG113" s="173" t="s">
        <v>122</v>
      </c>
      <c r="AH113" s="187" t="s">
        <v>429</v>
      </c>
      <c r="AI113" s="184" t="s">
        <v>204</v>
      </c>
      <c r="AJ113" s="185" t="s">
        <v>200</v>
      </c>
      <c r="AK113" s="185" t="s">
        <v>200</v>
      </c>
      <c r="AL113" s="183" t="s">
        <v>430</v>
      </c>
      <c r="AM113" s="166"/>
    </row>
    <row r="114" spans="1:39" s="165" customFormat="1" ht="151.5" customHeight="1" x14ac:dyDescent="0.35">
      <c r="A114" s="427"/>
      <c r="B114" s="426"/>
      <c r="C114" s="430"/>
      <c r="D114" s="430"/>
      <c r="E114" s="412"/>
      <c r="F114" s="412"/>
      <c r="G114" s="412"/>
      <c r="H114" s="429"/>
      <c r="I114" s="412"/>
      <c r="J114" s="410"/>
      <c r="K114" s="416"/>
      <c r="L114" s="419"/>
      <c r="M114" s="421"/>
      <c r="N114" s="186"/>
      <c r="O114" s="416"/>
      <c r="P114" s="419"/>
      <c r="Q114" s="435"/>
      <c r="R114" s="180">
        <v>3</v>
      </c>
      <c r="S114" s="176"/>
      <c r="T114" s="177" t="str">
        <f t="shared" si="178"/>
        <v/>
      </c>
      <c r="U114" s="181"/>
      <c r="V114" s="181"/>
      <c r="W114" s="182"/>
      <c r="X114" s="181"/>
      <c r="Y114" s="181"/>
      <c r="Z114" s="181"/>
      <c r="AA114" s="156" t="str">
        <f>IFERROR(IF(T114="Probabilidad",(AA113-(+AA113*W114)),IF(T114="Impacto",L114,"")),"")</f>
        <v/>
      </c>
      <c r="AB114" s="170" t="str">
        <f t="shared" si="181"/>
        <v/>
      </c>
      <c r="AC114" s="171" t="str">
        <f t="shared" si="182"/>
        <v/>
      </c>
      <c r="AD114" s="170" t="str">
        <f t="shared" si="183"/>
        <v/>
      </c>
      <c r="AE114" s="171" t="str">
        <f t="shared" si="184"/>
        <v/>
      </c>
      <c r="AF114" s="172" t="str">
        <f t="shared" si="185"/>
        <v/>
      </c>
      <c r="AG114" s="173"/>
      <c r="AH114" s="176"/>
      <c r="AI114" s="166"/>
      <c r="AJ114" s="167"/>
      <c r="AK114" s="167"/>
      <c r="AL114" s="176"/>
      <c r="AM114" s="166"/>
    </row>
    <row r="115" spans="1:39" s="165" customFormat="1" ht="151.5" customHeight="1" x14ac:dyDescent="0.35">
      <c r="A115" s="427">
        <v>37</v>
      </c>
      <c r="B115" s="424" t="s">
        <v>323</v>
      </c>
      <c r="C115" s="422" t="s">
        <v>363</v>
      </c>
      <c r="D115" s="422" t="s">
        <v>431</v>
      </c>
      <c r="E115" s="411" t="s">
        <v>120</v>
      </c>
      <c r="F115" s="411" t="s">
        <v>493</v>
      </c>
      <c r="G115" s="411" t="s">
        <v>494</v>
      </c>
      <c r="H115" s="428" t="s">
        <v>432</v>
      </c>
      <c r="I115" s="411" t="s">
        <v>334</v>
      </c>
      <c r="J115" s="409">
        <v>35</v>
      </c>
      <c r="K115" s="414" t="str">
        <f>IF(J115&lt;=0,"",IF(J115&lt;=2,"Muy Baja",IF(J115&lt;=24,"Baja",IF(J115&lt;=500,"Media",IF(J115&lt;=5000,"Alta","Muy Alta")))))</f>
        <v>Media</v>
      </c>
      <c r="L115" s="417">
        <f>IF(K115="","",IF(K115="Muy Baja",0.2,IF(K115="Baja",0.4,IF(K115="Media",0.6,IF(K115="Alta",0.8,IF(K115="Muy Alta",1,))))))</f>
        <v>0.6</v>
      </c>
      <c r="M115" s="420" t="s">
        <v>522</v>
      </c>
      <c r="N115" s="179" t="str">
        <f>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414"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417">
        <f>IF(O115="","",IF(O115="Leve",0.2,IF(O115="Menor",0.4,IF(O115="Moderado",0.6,IF(O115="Mayor",0.8,IF(O115="Catastrófico",1,))))))</f>
        <v>0.4</v>
      </c>
      <c r="Q115" s="433"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80">
        <v>1</v>
      </c>
      <c r="S115" s="176" t="s">
        <v>344</v>
      </c>
      <c r="T115" s="177" t="str">
        <f t="shared" ref="T115:T126" si="186">IF(OR(U115="Preventivo",U115="Detectivo"),"Probabilidad",IF(U115="Correctivo","Impacto",""))</f>
        <v>Probabilidad</v>
      </c>
      <c r="U115" s="181" t="s">
        <v>14</v>
      </c>
      <c r="V115" s="181" t="s">
        <v>9</v>
      </c>
      <c r="W115" s="182" t="str">
        <f t="shared" ref="W115:W125" si="187">IF(AND(U115="Preventivo",V115="Automático"),"50%",IF(AND(U115="Preventivo",V115="Manual"),"40%",IF(AND(U115="Detectivo",V115="Automático"),"40%",IF(AND(U115="Detectivo",V115="Manual"),"30%",IF(AND(U115="Correctivo",V115="Automático"),"35%",IF(AND(U115="Correctivo",V115="Manual"),"25%",""))))))</f>
        <v>40%</v>
      </c>
      <c r="X115" s="181" t="s">
        <v>19</v>
      </c>
      <c r="Y115" s="181" t="s">
        <v>22</v>
      </c>
      <c r="Z115" s="181" t="s">
        <v>110</v>
      </c>
      <c r="AA115" s="156">
        <f t="shared" ref="AA115:AA124" si="188">IFERROR(IF(T115="Probabilidad",(L115-(+L115*W115)),IF(T115="Impacto",L115,"")),"")</f>
        <v>0.36</v>
      </c>
      <c r="AB115" s="170" t="str">
        <f t="shared" ref="AB115:AB125" si="189">IFERROR(IF(AA115="","",IF(AA115&lt;=0.2,"Muy Baja",IF(AA115&lt;=0.4,"Baja",IF(AA115&lt;=0.6,"Media",IF(AA115&lt;=0.8,"Alta","Muy Alta"))))),"")</f>
        <v>Baja</v>
      </c>
      <c r="AC115" s="171">
        <f t="shared" ref="AC115:AC125" si="190">+AA115</f>
        <v>0.36</v>
      </c>
      <c r="AD115" s="170" t="str">
        <f t="shared" ref="AD115:AD125" si="191">IFERROR(IF(AE115="","",IF(AE115&lt;=0.2,"Leve",IF(AE115&lt;=0.4,"Menor",IF(AE115&lt;=0.6,"Moderado",IF(AE115&lt;=0.8,"Mayor","Catastrófico"))))),"")</f>
        <v>Menor</v>
      </c>
      <c r="AE115" s="171">
        <f t="shared" ref="AE115:AE125" si="192">IFERROR(IF(T115="Impacto",(P115-(+P115*W115)),IF(T115="Probabilidad",P115,"")),"")</f>
        <v>0.4</v>
      </c>
      <c r="AF115" s="172" t="str">
        <f t="shared" ref="AF115:AF125" si="193">IFERROR(IF(OR(AND(AB115="Muy Baja",AD115="Leve"),AND(AB115="Muy Baja",AD115="Menor"),AND(AB115="Baja",AD115="Leve")),"Bajo",IF(OR(AND(AB115="Muy baja",AD115="Moderado"),AND(AB115="Baja",AD115="Menor"),AND(AB115="Baja",AD115="Moderado"),AND(AB115="Media",AD115="Leve"),AND(AB115="Media",AD115="Menor"),AND(AB115="Media",AD115="Moderado"),AND(AB115="Alta",AD115="Leve"),AND(AB115="Alta",AD115="Menor")),"Moderado",IF(OR(AND(AB115="Muy Baja",AD115="Mayor"),AND(AB115="Baja",AD115="Mayor"),AND(AB115="Media",AD115="Mayor"),AND(AB115="Alta",AD115="Moderado"),AND(AB115="Alta",AD115="Mayor"),AND(AB115="Muy Alta",AD115="Leve"),AND(AB115="Muy Alta",AD115="Menor"),AND(AB115="Muy Alta",AD115="Moderado"),AND(AB115="Muy Alta",AD115="Mayor")),"Alto",IF(OR(AND(AB115="Muy Baja",AD115="Catastrófico"),AND(AB115="Baja",AD115="Catastrófico"),AND(AB115="Media",AD115="Catastrófico"),AND(AB115="Alta",AD115="Catastrófico"),AND(AB115="Muy Alta",AD115="Catastrófico")),"Extremo","")))),"")</f>
        <v>Moderado</v>
      </c>
      <c r="AG115" s="173" t="s">
        <v>122</v>
      </c>
      <c r="AH115" s="176" t="s">
        <v>549</v>
      </c>
      <c r="AI115" s="166" t="s">
        <v>262</v>
      </c>
      <c r="AJ115" s="167">
        <v>44563</v>
      </c>
      <c r="AK115" s="167" t="s">
        <v>387</v>
      </c>
      <c r="AL115" s="176" t="s">
        <v>433</v>
      </c>
      <c r="AM115" s="166"/>
    </row>
    <row r="116" spans="1:39" s="165" customFormat="1" ht="151.5" customHeight="1" x14ac:dyDescent="0.35">
      <c r="A116" s="427"/>
      <c r="B116" s="425"/>
      <c r="C116" s="423"/>
      <c r="D116" s="430"/>
      <c r="E116" s="412"/>
      <c r="F116" s="412"/>
      <c r="G116" s="412"/>
      <c r="H116" s="429"/>
      <c r="I116" s="412"/>
      <c r="J116" s="410"/>
      <c r="K116" s="415"/>
      <c r="L116" s="418"/>
      <c r="M116" s="421"/>
      <c r="N116" s="186"/>
      <c r="O116" s="415"/>
      <c r="P116" s="418"/>
      <c r="Q116" s="434"/>
      <c r="R116" s="180">
        <v>2</v>
      </c>
      <c r="S116" s="176" t="s">
        <v>357</v>
      </c>
      <c r="T116" s="177" t="str">
        <f t="shared" si="186"/>
        <v>Probabilidad</v>
      </c>
      <c r="U116" s="181" t="s">
        <v>15</v>
      </c>
      <c r="V116" s="181" t="s">
        <v>9</v>
      </c>
      <c r="W116" s="182" t="str">
        <f t="shared" si="187"/>
        <v>30%</v>
      </c>
      <c r="X116" s="181" t="s">
        <v>19</v>
      </c>
      <c r="Y116" s="181" t="s">
        <v>22</v>
      </c>
      <c r="Z116" s="181" t="s">
        <v>110</v>
      </c>
      <c r="AA116" s="156">
        <f>IFERROR(IF(T116="Probabilidad",(AA115-(+AA115*W116)),IF(T116="Impacto",L116,"")),"")</f>
        <v>0.252</v>
      </c>
      <c r="AB116" s="170" t="str">
        <f t="shared" si="189"/>
        <v>Baja</v>
      </c>
      <c r="AC116" s="171">
        <f t="shared" si="190"/>
        <v>0.252</v>
      </c>
      <c r="AD116" s="170" t="str">
        <f t="shared" si="191"/>
        <v>Menor</v>
      </c>
      <c r="AE116" s="171">
        <v>0.4</v>
      </c>
      <c r="AF116" s="172" t="str">
        <f t="shared" si="193"/>
        <v>Moderado</v>
      </c>
      <c r="AG116" s="173" t="s">
        <v>122</v>
      </c>
      <c r="AH116" s="176" t="s">
        <v>549</v>
      </c>
      <c r="AI116" s="166" t="s">
        <v>262</v>
      </c>
      <c r="AJ116" s="167">
        <v>44563</v>
      </c>
      <c r="AK116" s="167" t="s">
        <v>387</v>
      </c>
      <c r="AL116" s="176" t="s">
        <v>433</v>
      </c>
      <c r="AM116" s="166"/>
    </row>
    <row r="117" spans="1:39" s="165" customFormat="1" ht="151.5" customHeight="1" x14ac:dyDescent="0.35">
      <c r="A117" s="427"/>
      <c r="B117" s="426"/>
      <c r="C117" s="423"/>
      <c r="D117" s="430"/>
      <c r="E117" s="412"/>
      <c r="F117" s="412"/>
      <c r="G117" s="412"/>
      <c r="H117" s="429"/>
      <c r="I117" s="412"/>
      <c r="J117" s="410"/>
      <c r="K117" s="416"/>
      <c r="L117" s="419"/>
      <c r="M117" s="421"/>
      <c r="N117" s="186"/>
      <c r="O117" s="416"/>
      <c r="P117" s="419"/>
      <c r="Q117" s="435"/>
      <c r="R117" s="180">
        <v>3</v>
      </c>
      <c r="S117" s="176"/>
      <c r="T117" s="177" t="str">
        <f t="shared" si="186"/>
        <v/>
      </c>
      <c r="U117" s="181"/>
      <c r="V117" s="181"/>
      <c r="W117" s="182"/>
      <c r="X117" s="181"/>
      <c r="Y117" s="181"/>
      <c r="Z117" s="181"/>
      <c r="AA117" s="156" t="str">
        <f>IFERROR(IF(T117="Probabilidad",(AA116-(+AA116*W117)),IF(T117="Impacto",L117,"")),"")</f>
        <v/>
      </c>
      <c r="AB117" s="170" t="str">
        <f t="shared" si="189"/>
        <v/>
      </c>
      <c r="AC117" s="171" t="str">
        <f t="shared" si="190"/>
        <v/>
      </c>
      <c r="AD117" s="170" t="str">
        <f t="shared" si="191"/>
        <v/>
      </c>
      <c r="AE117" s="171" t="str">
        <f t="shared" si="192"/>
        <v/>
      </c>
      <c r="AF117" s="172" t="str">
        <f t="shared" si="193"/>
        <v/>
      </c>
      <c r="AG117" s="173"/>
      <c r="AH117" s="176"/>
      <c r="AI117" s="166"/>
      <c r="AJ117" s="167"/>
      <c r="AK117" s="167"/>
      <c r="AL117" s="176"/>
      <c r="AM117" s="166"/>
    </row>
    <row r="118" spans="1:39" s="165" customFormat="1" ht="151.5" customHeight="1" x14ac:dyDescent="0.35">
      <c r="A118" s="427">
        <v>38</v>
      </c>
      <c r="B118" s="424" t="s">
        <v>323</v>
      </c>
      <c r="C118" s="422" t="s">
        <v>363</v>
      </c>
      <c r="D118" s="422" t="s">
        <v>431</v>
      </c>
      <c r="E118" s="411" t="s">
        <v>120</v>
      </c>
      <c r="F118" s="411" t="s">
        <v>495</v>
      </c>
      <c r="G118" s="411" t="s">
        <v>496</v>
      </c>
      <c r="H118" s="428" t="s">
        <v>345</v>
      </c>
      <c r="I118" s="411" t="s">
        <v>334</v>
      </c>
      <c r="J118" s="409">
        <v>12</v>
      </c>
      <c r="K118" s="414" t="str">
        <f>IF(J118&lt;=0,"",IF(J118&lt;=2,"Muy Baja",IF(J118&lt;=24,"Baja",IF(J118&lt;=500,"Media",IF(J118&lt;=5000,"Alta","Muy Alta")))))</f>
        <v>Baja</v>
      </c>
      <c r="L118" s="417">
        <f>IF(K118="","",IF(K118="Muy Baja",0.2,IF(K118="Baja",0.4,IF(K118="Media",0.6,IF(K118="Alta",0.8,IF(K118="Muy Alta",1,))))))</f>
        <v>0.4</v>
      </c>
      <c r="M118" s="420" t="s">
        <v>522</v>
      </c>
      <c r="N118" s="179" t="str">
        <f>IF(NOT(ISERROR(MATCH(M118,'Tabla Impacto'!$B$221:$B$223,0))),'Tabla Impacto'!$F$223&amp;"Por favor no seleccionar los criterios de impacto(Afectación Económica o presupuestal y Pérdida Reputacional)",M118)</f>
        <v xml:space="preserve"> El riesgo afecta la imagen de la entidad internamente, de conocimiento general, nivel interno, de junta directiva y accionistas y/o de proveedores</v>
      </c>
      <c r="O118" s="414" t="str">
        <f>IF(OR(N118='Tabla Impacto'!$C$11,N118='Tabla Impacto'!$D$11),"Leve",IF(OR(N118='Tabla Impacto'!$C$12,N118='Tabla Impacto'!$D$12),"Menor",IF(OR(N118='Tabla Impacto'!$C$13,N118='Tabla Impacto'!$D$13),"Moderado",IF(OR(N118='Tabla Impacto'!$C$14,N118='Tabla Impacto'!$D$14),"Mayor",IF(OR(N118='Tabla Impacto'!$C$15,N118='Tabla Impacto'!$D$15),"Catastrófico","")))))</f>
        <v>Menor</v>
      </c>
      <c r="P118" s="417">
        <f>IF(O118="","",IF(O118="Leve",0.2,IF(O118="Menor",0.4,IF(O118="Moderado",0.6,IF(O118="Mayor",0.8,IF(O118="Catastrófico",1,))))))</f>
        <v>0.4</v>
      </c>
      <c r="Q118" s="433"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80">
        <v>1</v>
      </c>
      <c r="S118" s="176" t="s">
        <v>550</v>
      </c>
      <c r="T118" s="177" t="str">
        <f t="shared" si="186"/>
        <v>Probabilidad</v>
      </c>
      <c r="U118" s="181" t="s">
        <v>14</v>
      </c>
      <c r="V118" s="181" t="s">
        <v>9</v>
      </c>
      <c r="W118" s="182" t="str">
        <f t="shared" si="187"/>
        <v>40%</v>
      </c>
      <c r="X118" s="181" t="s">
        <v>19</v>
      </c>
      <c r="Y118" s="181" t="s">
        <v>22</v>
      </c>
      <c r="Z118" s="181" t="s">
        <v>110</v>
      </c>
      <c r="AA118" s="156">
        <f t="shared" si="188"/>
        <v>0.24</v>
      </c>
      <c r="AB118" s="170" t="str">
        <f t="shared" si="189"/>
        <v>Baja</v>
      </c>
      <c r="AC118" s="171">
        <f t="shared" si="190"/>
        <v>0.24</v>
      </c>
      <c r="AD118" s="170" t="str">
        <f t="shared" si="191"/>
        <v>Menor</v>
      </c>
      <c r="AE118" s="171">
        <f t="shared" si="192"/>
        <v>0.4</v>
      </c>
      <c r="AF118" s="172" t="str">
        <f t="shared" si="193"/>
        <v>Moderado</v>
      </c>
      <c r="AG118" s="173" t="s">
        <v>122</v>
      </c>
      <c r="AH118" s="176" t="s">
        <v>551</v>
      </c>
      <c r="AI118" s="166" t="s">
        <v>204</v>
      </c>
      <c r="AJ118" s="167">
        <v>44568</v>
      </c>
      <c r="AK118" s="167" t="s">
        <v>387</v>
      </c>
      <c r="AL118" s="176" t="s">
        <v>434</v>
      </c>
      <c r="AM118" s="166"/>
    </row>
    <row r="119" spans="1:39" s="165" customFormat="1" ht="151.5" customHeight="1" x14ac:dyDescent="0.35">
      <c r="A119" s="427"/>
      <c r="B119" s="425"/>
      <c r="C119" s="423"/>
      <c r="D119" s="430"/>
      <c r="E119" s="412"/>
      <c r="F119" s="412"/>
      <c r="G119" s="412"/>
      <c r="H119" s="429"/>
      <c r="I119" s="412"/>
      <c r="J119" s="410"/>
      <c r="K119" s="415"/>
      <c r="L119" s="418"/>
      <c r="M119" s="421"/>
      <c r="N119" s="186"/>
      <c r="O119" s="415"/>
      <c r="P119" s="418"/>
      <c r="Q119" s="434"/>
      <c r="R119" s="180">
        <v>2</v>
      </c>
      <c r="S119" s="176" t="s">
        <v>372</v>
      </c>
      <c r="T119" s="177" t="str">
        <f t="shared" si="186"/>
        <v>Probabilidad</v>
      </c>
      <c r="U119" s="181" t="s">
        <v>15</v>
      </c>
      <c r="V119" s="181" t="s">
        <v>9</v>
      </c>
      <c r="W119" s="182" t="str">
        <f t="shared" si="187"/>
        <v>30%</v>
      </c>
      <c r="X119" s="181" t="s">
        <v>19</v>
      </c>
      <c r="Y119" s="181" t="s">
        <v>22</v>
      </c>
      <c r="Z119" s="181" t="s">
        <v>110</v>
      </c>
      <c r="AA119" s="156">
        <f>IFERROR(IF(T119="Probabilidad",(AA118-(+AA118*W119)),IF(T119="Impacto",L119,"")),"")</f>
        <v>0.16799999999999998</v>
      </c>
      <c r="AB119" s="170" t="str">
        <f t="shared" si="189"/>
        <v>Muy Baja</v>
      </c>
      <c r="AC119" s="171">
        <f t="shared" si="190"/>
        <v>0.16799999999999998</v>
      </c>
      <c r="AD119" s="170" t="str">
        <f t="shared" si="191"/>
        <v>Menor</v>
      </c>
      <c r="AE119" s="171">
        <v>0.4</v>
      </c>
      <c r="AF119" s="172" t="str">
        <f t="shared" si="193"/>
        <v>Bajo</v>
      </c>
      <c r="AG119" s="173" t="s">
        <v>122</v>
      </c>
      <c r="AH119" s="176" t="s">
        <v>552</v>
      </c>
      <c r="AI119" s="166" t="s">
        <v>204</v>
      </c>
      <c r="AJ119" s="167">
        <v>44564</v>
      </c>
      <c r="AK119" s="167" t="s">
        <v>387</v>
      </c>
      <c r="AL119" s="176" t="s">
        <v>434</v>
      </c>
      <c r="AM119" s="166"/>
    </row>
    <row r="120" spans="1:39" s="165" customFormat="1" ht="151.5" customHeight="1" x14ac:dyDescent="0.35">
      <c r="A120" s="427"/>
      <c r="B120" s="426"/>
      <c r="C120" s="423"/>
      <c r="D120" s="430"/>
      <c r="E120" s="412"/>
      <c r="F120" s="412"/>
      <c r="G120" s="412"/>
      <c r="H120" s="429"/>
      <c r="I120" s="412"/>
      <c r="J120" s="410"/>
      <c r="K120" s="416"/>
      <c r="L120" s="419"/>
      <c r="M120" s="421"/>
      <c r="N120" s="186"/>
      <c r="O120" s="416"/>
      <c r="P120" s="419"/>
      <c r="Q120" s="435"/>
      <c r="R120" s="180">
        <v>3</v>
      </c>
      <c r="S120" s="176"/>
      <c r="T120" s="177" t="str">
        <f t="shared" si="186"/>
        <v/>
      </c>
      <c r="U120" s="181"/>
      <c r="V120" s="181"/>
      <c r="W120" s="182"/>
      <c r="X120" s="181"/>
      <c r="Y120" s="181"/>
      <c r="Z120" s="181"/>
      <c r="AA120" s="156" t="str">
        <f>IFERROR(IF(T120="Probabilidad",(AA119-(+AA119*W120)),IF(T120="Impacto",L120,"")),"")</f>
        <v/>
      </c>
      <c r="AB120" s="170" t="str">
        <f t="shared" si="189"/>
        <v/>
      </c>
      <c r="AC120" s="171" t="str">
        <f t="shared" si="190"/>
        <v/>
      </c>
      <c r="AD120" s="170" t="str">
        <f t="shared" si="191"/>
        <v/>
      </c>
      <c r="AE120" s="171" t="str">
        <f t="shared" si="192"/>
        <v/>
      </c>
      <c r="AF120" s="172" t="str">
        <f t="shared" si="193"/>
        <v/>
      </c>
      <c r="AG120" s="173"/>
      <c r="AH120" s="176"/>
      <c r="AI120" s="166"/>
      <c r="AJ120" s="167"/>
      <c r="AK120" s="167"/>
      <c r="AL120" s="176"/>
      <c r="AM120" s="166"/>
    </row>
    <row r="121" spans="1:39" s="165" customFormat="1" ht="151.5" customHeight="1" x14ac:dyDescent="0.35">
      <c r="A121" s="427">
        <v>39</v>
      </c>
      <c r="B121" s="406" t="s">
        <v>323</v>
      </c>
      <c r="C121" s="422" t="s">
        <v>363</v>
      </c>
      <c r="D121" s="422" t="s">
        <v>435</v>
      </c>
      <c r="E121" s="411" t="s">
        <v>120</v>
      </c>
      <c r="F121" s="411" t="s">
        <v>497</v>
      </c>
      <c r="G121" s="411" t="s">
        <v>587</v>
      </c>
      <c r="H121" s="428" t="s">
        <v>603</v>
      </c>
      <c r="I121" s="411" t="s">
        <v>115</v>
      </c>
      <c r="J121" s="409">
        <v>3000</v>
      </c>
      <c r="K121" s="414" t="str">
        <f>IF(J121&lt;=0,"",IF(J121&lt;=2,"Muy Baja",IF(J121&lt;=24,"Baja",IF(J121&lt;=500,"Media",IF(J121&lt;=5000,"Alta","Muy Alta")))))</f>
        <v>Alta</v>
      </c>
      <c r="L121" s="417">
        <f>IF(K121="","",IF(K121="Muy Baja",0.2,IF(K121="Baja",0.4,IF(K121="Media",0.6,IF(K121="Alta",0.8,IF(K121="Muy Alta",1,))))))</f>
        <v>0.8</v>
      </c>
      <c r="M121" s="420" t="s">
        <v>516</v>
      </c>
      <c r="N121" s="179" t="str">
        <f>IF(NOT(ISERROR(MATCH(M121,'Tabla Impacto'!$B$221:$B$223,0))),'Tabla Impacto'!$F$223&amp;"Por favor no seleccionar los criterios de impacto(Afectación Económica o presupuestal y Pérdida Reputacional)",M121)</f>
        <v xml:space="preserve"> Entre 50 y 100 SMLMV </v>
      </c>
      <c r="O121" s="414"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17">
        <f>IF(O121="","",IF(O121="Leve",0.2,IF(O121="Menor",0.4,IF(O121="Moderado",0.6,IF(O121="Mayor",0.8,IF(O121="Catastrófico",1,))))))</f>
        <v>0.6</v>
      </c>
      <c r="Q121" s="433"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Alto</v>
      </c>
      <c r="R121" s="180">
        <v>1</v>
      </c>
      <c r="S121" s="176" t="s">
        <v>373</v>
      </c>
      <c r="T121" s="177" t="str">
        <f t="shared" si="186"/>
        <v>Probabilidad</v>
      </c>
      <c r="U121" s="181" t="s">
        <v>14</v>
      </c>
      <c r="V121" s="181" t="s">
        <v>9</v>
      </c>
      <c r="W121" s="182" t="str">
        <f t="shared" si="187"/>
        <v>40%</v>
      </c>
      <c r="X121" s="181" t="s">
        <v>19</v>
      </c>
      <c r="Y121" s="181" t="s">
        <v>22</v>
      </c>
      <c r="Z121" s="181" t="s">
        <v>110</v>
      </c>
      <c r="AA121" s="156">
        <f t="shared" si="188"/>
        <v>0.48</v>
      </c>
      <c r="AB121" s="170" t="str">
        <f t="shared" si="189"/>
        <v>Media</v>
      </c>
      <c r="AC121" s="171">
        <f t="shared" si="190"/>
        <v>0.48</v>
      </c>
      <c r="AD121" s="170" t="str">
        <f t="shared" si="191"/>
        <v>Moderado</v>
      </c>
      <c r="AE121" s="171">
        <f t="shared" si="192"/>
        <v>0.6</v>
      </c>
      <c r="AF121" s="172" t="str">
        <f t="shared" si="193"/>
        <v>Moderado</v>
      </c>
      <c r="AG121" s="173" t="s">
        <v>122</v>
      </c>
      <c r="AH121" s="176" t="s">
        <v>553</v>
      </c>
      <c r="AI121" s="166" t="s">
        <v>204</v>
      </c>
      <c r="AJ121" s="167">
        <v>44564</v>
      </c>
      <c r="AK121" s="167" t="s">
        <v>387</v>
      </c>
      <c r="AL121" s="176" t="s">
        <v>433</v>
      </c>
      <c r="AM121" s="166"/>
    </row>
    <row r="122" spans="1:39" s="165" customFormat="1" ht="151.5" customHeight="1" x14ac:dyDescent="0.35">
      <c r="A122" s="427"/>
      <c r="B122" s="407"/>
      <c r="C122" s="423"/>
      <c r="D122" s="430"/>
      <c r="E122" s="412"/>
      <c r="F122" s="412"/>
      <c r="G122" s="412"/>
      <c r="H122" s="429"/>
      <c r="I122" s="412"/>
      <c r="J122" s="410"/>
      <c r="K122" s="415"/>
      <c r="L122" s="418"/>
      <c r="M122" s="421"/>
      <c r="N122" s="186"/>
      <c r="O122" s="415"/>
      <c r="P122" s="418"/>
      <c r="Q122" s="434"/>
      <c r="R122" s="180">
        <v>2</v>
      </c>
      <c r="S122" s="176" t="s">
        <v>436</v>
      </c>
      <c r="T122" s="177" t="str">
        <f t="shared" si="186"/>
        <v>Probabilidad</v>
      </c>
      <c r="U122" s="181" t="s">
        <v>14</v>
      </c>
      <c r="V122" s="181" t="s">
        <v>9</v>
      </c>
      <c r="W122" s="182" t="str">
        <f t="shared" si="187"/>
        <v>40%</v>
      </c>
      <c r="X122" s="181" t="s">
        <v>19</v>
      </c>
      <c r="Y122" s="181" t="s">
        <v>22</v>
      </c>
      <c r="Z122" s="181" t="s">
        <v>110</v>
      </c>
      <c r="AA122" s="156">
        <f>IFERROR(IF(T122="Probabilidad",(AA121-(+AA121*W122)),IF(T122="Impacto",L122,"")),"")</f>
        <v>0.28799999999999998</v>
      </c>
      <c r="AB122" s="170" t="str">
        <f t="shared" si="189"/>
        <v>Baja</v>
      </c>
      <c r="AC122" s="171">
        <f t="shared" si="190"/>
        <v>0.28799999999999998</v>
      </c>
      <c r="AD122" s="170" t="str">
        <f t="shared" si="191"/>
        <v>Menor</v>
      </c>
      <c r="AE122" s="171">
        <v>0.4</v>
      </c>
      <c r="AF122" s="172" t="str">
        <f t="shared" si="193"/>
        <v>Moderado</v>
      </c>
      <c r="AG122" s="173" t="s">
        <v>122</v>
      </c>
      <c r="AH122" s="176" t="s">
        <v>553</v>
      </c>
      <c r="AI122" s="166" t="s">
        <v>204</v>
      </c>
      <c r="AJ122" s="167">
        <v>44564</v>
      </c>
      <c r="AK122" s="167" t="s">
        <v>387</v>
      </c>
      <c r="AL122" s="176" t="s">
        <v>433</v>
      </c>
      <c r="AM122" s="166"/>
    </row>
    <row r="123" spans="1:39" s="165" customFormat="1" ht="151.5" customHeight="1" x14ac:dyDescent="0.35">
      <c r="A123" s="427"/>
      <c r="B123" s="408"/>
      <c r="C123" s="423"/>
      <c r="D123" s="430"/>
      <c r="E123" s="412"/>
      <c r="F123" s="412"/>
      <c r="G123" s="412"/>
      <c r="H123" s="429"/>
      <c r="I123" s="412"/>
      <c r="J123" s="410"/>
      <c r="K123" s="416"/>
      <c r="L123" s="419"/>
      <c r="M123" s="421"/>
      <c r="N123" s="186"/>
      <c r="O123" s="416"/>
      <c r="P123" s="419"/>
      <c r="Q123" s="435"/>
      <c r="R123" s="180">
        <v>3</v>
      </c>
      <c r="S123" s="176" t="s">
        <v>374</v>
      </c>
      <c r="T123" s="177" t="str">
        <f t="shared" si="186"/>
        <v>Probabilidad</v>
      </c>
      <c r="U123" s="181" t="s">
        <v>14</v>
      </c>
      <c r="V123" s="181" t="s">
        <v>9</v>
      </c>
      <c r="W123" s="182" t="str">
        <f t="shared" si="187"/>
        <v>40%</v>
      </c>
      <c r="X123" s="181" t="s">
        <v>19</v>
      </c>
      <c r="Y123" s="181" t="s">
        <v>22</v>
      </c>
      <c r="Z123" s="181" t="s">
        <v>110</v>
      </c>
      <c r="AA123" s="156">
        <f>IFERROR(IF(T123="Probabilidad",(AA122-(+A122*W123)),IF(T123="Impacto",L123,"")),"")</f>
        <v>0.28799999999999998</v>
      </c>
      <c r="AB123" s="170" t="str">
        <f t="shared" si="189"/>
        <v>Baja</v>
      </c>
      <c r="AC123" s="171">
        <f t="shared" si="190"/>
        <v>0.28799999999999998</v>
      </c>
      <c r="AD123" s="170" t="str">
        <f t="shared" si="191"/>
        <v>Menor</v>
      </c>
      <c r="AE123" s="171">
        <v>0.4</v>
      </c>
      <c r="AF123" s="172" t="str">
        <f t="shared" si="193"/>
        <v>Moderado</v>
      </c>
      <c r="AG123" s="173" t="s">
        <v>122</v>
      </c>
      <c r="AH123" s="176" t="s">
        <v>553</v>
      </c>
      <c r="AI123" s="166" t="s">
        <v>204</v>
      </c>
      <c r="AJ123" s="167">
        <v>44564</v>
      </c>
      <c r="AK123" s="167" t="s">
        <v>387</v>
      </c>
      <c r="AL123" s="176" t="s">
        <v>433</v>
      </c>
      <c r="AM123" s="166"/>
    </row>
    <row r="124" spans="1:39" s="165" customFormat="1" ht="151.5" customHeight="1" x14ac:dyDescent="0.35">
      <c r="A124" s="427">
        <v>40</v>
      </c>
      <c r="B124" s="424" t="s">
        <v>437</v>
      </c>
      <c r="C124" s="432" t="s">
        <v>438</v>
      </c>
      <c r="D124" s="422" t="s">
        <v>439</v>
      </c>
      <c r="E124" s="411" t="s">
        <v>120</v>
      </c>
      <c r="F124" s="431" t="s">
        <v>533</v>
      </c>
      <c r="G124" s="431" t="s">
        <v>440</v>
      </c>
      <c r="H124" s="428" t="s">
        <v>534</v>
      </c>
      <c r="I124" s="411" t="s">
        <v>334</v>
      </c>
      <c r="J124" s="409">
        <v>49</v>
      </c>
      <c r="K124" s="414" t="str">
        <f>IF(J124&lt;=0,"",IF(J124&lt;=2,"Muy Baja",IF(J124&lt;=24,"Baja",IF(J124&lt;=500,"Media",IF(J124&lt;=5000,"Alta","Muy Alta")))))</f>
        <v>Media</v>
      </c>
      <c r="L124" s="417">
        <f>IF(K124="","",IF(K124="Muy Baja",0.2,IF(K124="Baja",0.4,IF(K124="Media",0.6,IF(K124="Alta",0.8,IF(K124="Muy Alta",1,))))))</f>
        <v>0.6</v>
      </c>
      <c r="M124" s="420" t="s">
        <v>517</v>
      </c>
      <c r="N124" s="179"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414"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417">
        <f>IF(O124="","",IF(O124="Leve",0.2,IF(O124="Menor",0.4,IF(O124="Moderado",0.6,IF(O124="Mayor",0.8,IF(O124="Catastrófico",1,))))))</f>
        <v>0.6</v>
      </c>
      <c r="Q124" s="433"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80">
        <v>1</v>
      </c>
      <c r="S124" s="188" t="s">
        <v>535</v>
      </c>
      <c r="T124" s="177" t="str">
        <f t="shared" si="186"/>
        <v>Probabilidad</v>
      </c>
      <c r="U124" s="181" t="s">
        <v>14</v>
      </c>
      <c r="V124" s="181" t="s">
        <v>9</v>
      </c>
      <c r="W124" s="182" t="str">
        <f t="shared" si="187"/>
        <v>40%</v>
      </c>
      <c r="X124" s="181" t="s">
        <v>19</v>
      </c>
      <c r="Y124" s="181" t="s">
        <v>22</v>
      </c>
      <c r="Z124" s="181" t="s">
        <v>110</v>
      </c>
      <c r="AA124" s="156">
        <f t="shared" si="188"/>
        <v>0.36</v>
      </c>
      <c r="AB124" s="170" t="str">
        <f t="shared" si="189"/>
        <v>Baja</v>
      </c>
      <c r="AC124" s="171">
        <f t="shared" si="190"/>
        <v>0.36</v>
      </c>
      <c r="AD124" s="170" t="str">
        <f t="shared" si="191"/>
        <v>Moderado</v>
      </c>
      <c r="AE124" s="171">
        <f t="shared" si="192"/>
        <v>0.6</v>
      </c>
      <c r="AF124" s="172" t="str">
        <f t="shared" si="193"/>
        <v>Moderado</v>
      </c>
      <c r="AG124" s="173" t="s">
        <v>122</v>
      </c>
      <c r="AH124" s="189" t="s">
        <v>442</v>
      </c>
      <c r="AI124" s="168" t="s">
        <v>441</v>
      </c>
      <c r="AJ124" s="167" t="s">
        <v>197</v>
      </c>
      <c r="AK124" s="167" t="s">
        <v>443</v>
      </c>
      <c r="AL124" s="174" t="s">
        <v>597</v>
      </c>
      <c r="AM124" s="166"/>
    </row>
    <row r="125" spans="1:39" s="165" customFormat="1" ht="151.5" customHeight="1" x14ac:dyDescent="0.35">
      <c r="A125" s="427"/>
      <c r="B125" s="425"/>
      <c r="C125" s="430"/>
      <c r="D125" s="430"/>
      <c r="E125" s="412"/>
      <c r="F125" s="412"/>
      <c r="G125" s="412"/>
      <c r="H125" s="429"/>
      <c r="I125" s="412"/>
      <c r="J125" s="410"/>
      <c r="K125" s="415"/>
      <c r="L125" s="418"/>
      <c r="M125" s="421"/>
      <c r="N125" s="186"/>
      <c r="O125" s="415"/>
      <c r="P125" s="418"/>
      <c r="Q125" s="434"/>
      <c r="R125" s="180">
        <v>2</v>
      </c>
      <c r="S125" s="190" t="s">
        <v>566</v>
      </c>
      <c r="T125" s="177" t="str">
        <f t="shared" si="186"/>
        <v>Probabilidad</v>
      </c>
      <c r="U125" s="181" t="s">
        <v>15</v>
      </c>
      <c r="V125" s="181" t="s">
        <v>9</v>
      </c>
      <c r="W125" s="182" t="str">
        <f t="shared" si="187"/>
        <v>30%</v>
      </c>
      <c r="X125" s="181" t="s">
        <v>19</v>
      </c>
      <c r="Y125" s="181" t="s">
        <v>23</v>
      </c>
      <c r="Z125" s="181" t="s">
        <v>110</v>
      </c>
      <c r="AA125" s="156">
        <f>IFERROR(IF(T125="Probabilidad",(AA124-(+AA124*W125)),IF(T125="Impacto",L125,"")),"")</f>
        <v>0.252</v>
      </c>
      <c r="AB125" s="170" t="str">
        <f t="shared" si="189"/>
        <v>Baja</v>
      </c>
      <c r="AC125" s="171">
        <f t="shared" si="190"/>
        <v>0.252</v>
      </c>
      <c r="AD125" s="170" t="str">
        <f t="shared" si="191"/>
        <v>Leve</v>
      </c>
      <c r="AE125" s="171">
        <f t="shared" si="192"/>
        <v>0</v>
      </c>
      <c r="AF125" s="172" t="str">
        <f t="shared" si="193"/>
        <v>Bajo</v>
      </c>
      <c r="AG125" s="173" t="s">
        <v>122</v>
      </c>
      <c r="AH125" s="227" t="s">
        <v>536</v>
      </c>
      <c r="AI125" s="191" t="s">
        <v>204</v>
      </c>
      <c r="AJ125" s="167" t="s">
        <v>197</v>
      </c>
      <c r="AK125" s="167" t="s">
        <v>197</v>
      </c>
      <c r="AL125" s="189" t="s">
        <v>444</v>
      </c>
      <c r="AM125" s="166"/>
    </row>
    <row r="126" spans="1:39" s="165" customFormat="1" ht="151.5" customHeight="1" x14ac:dyDescent="0.35">
      <c r="A126" s="427"/>
      <c r="B126" s="426"/>
      <c r="C126" s="430"/>
      <c r="D126" s="430"/>
      <c r="E126" s="412"/>
      <c r="F126" s="412"/>
      <c r="G126" s="412"/>
      <c r="H126" s="429"/>
      <c r="I126" s="412"/>
      <c r="J126" s="410"/>
      <c r="K126" s="416"/>
      <c r="L126" s="419"/>
      <c r="M126" s="421"/>
      <c r="N126" s="186"/>
      <c r="O126" s="416"/>
      <c r="P126" s="419"/>
      <c r="Q126" s="435"/>
      <c r="R126" s="180">
        <v>3</v>
      </c>
      <c r="S126" s="176"/>
      <c r="T126" s="177" t="str">
        <f t="shared" si="186"/>
        <v/>
      </c>
      <c r="U126" s="181"/>
      <c r="V126" s="181"/>
      <c r="W126" s="182"/>
      <c r="X126" s="181"/>
      <c r="Y126" s="181"/>
      <c r="Z126" s="181"/>
      <c r="AA126" s="156"/>
      <c r="AB126" s="170"/>
      <c r="AC126" s="171"/>
      <c r="AD126" s="170"/>
      <c r="AE126" s="171"/>
      <c r="AF126" s="172"/>
      <c r="AG126" s="173"/>
      <c r="AH126" s="176"/>
      <c r="AI126" s="166"/>
      <c r="AJ126" s="167"/>
      <c r="AK126" s="167"/>
      <c r="AL126" s="176"/>
      <c r="AM126" s="166"/>
    </row>
    <row r="127" spans="1:39" s="165" customFormat="1" ht="151.5" customHeight="1" x14ac:dyDescent="0.35">
      <c r="A127" s="427">
        <v>41</v>
      </c>
      <c r="B127" s="424" t="s">
        <v>437</v>
      </c>
      <c r="C127" s="432" t="s">
        <v>438</v>
      </c>
      <c r="D127" s="422" t="s">
        <v>439</v>
      </c>
      <c r="E127" s="411" t="s">
        <v>120</v>
      </c>
      <c r="F127" s="431" t="s">
        <v>537</v>
      </c>
      <c r="G127" s="431" t="s">
        <v>538</v>
      </c>
      <c r="H127" s="428" t="s">
        <v>539</v>
      </c>
      <c r="I127" s="411" t="s">
        <v>334</v>
      </c>
      <c r="J127" s="409">
        <v>60</v>
      </c>
      <c r="K127" s="414" t="str">
        <f>IF(J127&lt;=0,"",IF(J127&lt;=2,"Muy Baja",IF(J127&lt;=24,"Baja",IF(J127&lt;=500,"Media",IF(J127&lt;=5000,"Alta","Muy Alta")))))</f>
        <v>Media</v>
      </c>
      <c r="L127" s="417">
        <f>IF(K127="","",IF(K127="Muy Baja",0.2,IF(K127="Baja",0.4,IF(K127="Media",0.6,IF(K127="Alta",0.8,IF(K127="Muy Alta",1,))))))</f>
        <v>0.6</v>
      </c>
      <c r="M127" s="420" t="s">
        <v>517</v>
      </c>
      <c r="N127" s="179" t="str">
        <f>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414" t="str">
        <f>IF(OR(N127='Tabla Impacto'!$C$11,N127='Tabla Impacto'!$D$11),"Leve",IF(OR(N127='Tabla Impacto'!$C$12,N127='Tabla Impacto'!$D$12),"Menor",IF(OR(N127='Tabla Impacto'!$C$13,N127='Tabla Impacto'!$D$13),"Moderado",IF(OR(N127='Tabla Impacto'!$C$14,N127='Tabla Impacto'!$D$14),"Mayor",IF(OR(N127='Tabla Impacto'!$C$15,N127='Tabla Impacto'!$D$15),"Catastrófico","")))))</f>
        <v>Moderado</v>
      </c>
      <c r="P127" s="417">
        <f>IF(O127="","",IF(O127="Leve",0.2,IF(O127="Menor",0.4,IF(O127="Moderado",0.6,IF(O127="Mayor",0.8,IF(O127="Catastrófico",1,))))))</f>
        <v>0.6</v>
      </c>
      <c r="Q127" s="433"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80">
        <v>1</v>
      </c>
      <c r="S127" s="176" t="s">
        <v>547</v>
      </c>
      <c r="T127" s="177" t="str">
        <f t="shared" ref="T127:T156" si="194">IF(OR(U127="Preventivo",U127="Detectivo"),"Probabilidad",IF(U127="Correctivo","Impacto",""))</f>
        <v>Probabilidad</v>
      </c>
      <c r="U127" s="181" t="s">
        <v>15</v>
      </c>
      <c r="V127" s="181" t="s">
        <v>9</v>
      </c>
      <c r="W127" s="182" t="str">
        <f t="shared" ref="W127:W156" si="195">IF(AND(U127="Preventivo",V127="Automático"),"50%",IF(AND(U127="Preventivo",V127="Manual"),"40%",IF(AND(U127="Detectivo",V127="Automático"),"40%",IF(AND(U127="Detectivo",V127="Manual"),"30%",IF(AND(U127="Correctivo",V127="Automático"),"35%",IF(AND(U127="Correctivo",V127="Manual"),"25%",""))))))</f>
        <v>30%</v>
      </c>
      <c r="X127" s="181" t="s">
        <v>20</v>
      </c>
      <c r="Y127" s="181" t="s">
        <v>23</v>
      </c>
      <c r="Z127" s="181" t="s">
        <v>111</v>
      </c>
      <c r="AA127" s="156">
        <f t="shared" ref="AA127:AA156" si="196">IFERROR(IF(T127="Probabilidad",(L127-(+L127*W127)),IF(T127="Impacto",L127,"")),"")</f>
        <v>0.42</v>
      </c>
      <c r="AB127" s="170" t="str">
        <f t="shared" ref="AB127:AB156" si="197">IFERROR(IF(AA127="","",IF(AA127&lt;=0.2,"Muy Baja",IF(AA127&lt;=0.4,"Baja",IF(AA127&lt;=0.6,"Media",IF(AA127&lt;=0.8,"Alta","Muy Alta"))))),"")</f>
        <v>Media</v>
      </c>
      <c r="AC127" s="171">
        <f t="shared" ref="AC127:AC156" si="198">+AA127</f>
        <v>0.42</v>
      </c>
      <c r="AD127" s="170" t="str">
        <f t="shared" ref="AD127:AD156" si="199">IFERROR(IF(AE127="","",IF(AE127&lt;=0.2,"Leve",IF(AE127&lt;=0.4,"Menor",IF(AE127&lt;=0.6,"Moderado",IF(AE127&lt;=0.8,"Mayor","Catastrófico"))))),"")</f>
        <v>Moderado</v>
      </c>
      <c r="AE127" s="171">
        <f t="shared" ref="AE127:AE156" si="200">IFERROR(IF(T127="Impacto",(P127-(+P127*W127)),IF(T127="Probabilidad",P127,"")),"")</f>
        <v>0.6</v>
      </c>
      <c r="AF127" s="172" t="str">
        <f t="shared" ref="AF127:AF156" si="201">IFERROR(IF(OR(AND(AB127="Muy Baja",AD127="Leve"),AND(AB127="Muy Baja",AD127="Menor"),AND(AB127="Baja",AD127="Leve")),"Bajo",IF(OR(AND(AB127="Muy baja",AD127="Moderado"),AND(AB127="Baja",AD127="Menor"),AND(AB127="Baja",AD127="Moderado"),AND(AB127="Media",AD127="Leve"),AND(AB127="Media",AD127="Menor"),AND(AB127="Media",AD127="Moderado"),AND(AB127="Alta",AD127="Leve"),AND(AB127="Alta",AD127="Menor")),"Moderado",IF(OR(AND(AB127="Muy Baja",AD127="Mayor"),AND(AB127="Baja",AD127="Mayor"),AND(AB127="Media",AD127="Mayor"),AND(AB127="Alta",AD127="Moderado"),AND(AB127="Alta",AD127="Mayor"),AND(AB127="Muy Alta",AD127="Leve"),AND(AB127="Muy Alta",AD127="Menor"),AND(AB127="Muy Alta",AD127="Moderado"),AND(AB127="Muy Alta",AD127="Mayor")),"Alto",IF(OR(AND(AB127="Muy Baja",AD127="Catastrófico"),AND(AB127="Baja",AD127="Catastrófico"),AND(AB127="Media",AD127="Catastrófico"),AND(AB127="Alta",AD127="Catastrófico"),AND(AB127="Muy Alta",AD127="Catastrófico")),"Extremo","")))),"")</f>
        <v>Moderado</v>
      </c>
      <c r="AG127" s="173" t="s">
        <v>122</v>
      </c>
      <c r="AH127" s="176" t="s">
        <v>540</v>
      </c>
      <c r="AI127" s="166" t="s">
        <v>441</v>
      </c>
      <c r="AJ127" s="167" t="s">
        <v>197</v>
      </c>
      <c r="AK127" s="167" t="s">
        <v>197</v>
      </c>
      <c r="AL127" s="176" t="s">
        <v>445</v>
      </c>
      <c r="AM127" s="166"/>
    </row>
    <row r="128" spans="1:39" s="165" customFormat="1" ht="151.5" customHeight="1" x14ac:dyDescent="0.35">
      <c r="A128" s="427"/>
      <c r="B128" s="425"/>
      <c r="C128" s="430"/>
      <c r="D128" s="430"/>
      <c r="E128" s="412"/>
      <c r="F128" s="412"/>
      <c r="G128" s="412"/>
      <c r="H128" s="429"/>
      <c r="I128" s="412"/>
      <c r="J128" s="410"/>
      <c r="K128" s="415"/>
      <c r="L128" s="418"/>
      <c r="M128" s="421"/>
      <c r="N128" s="186"/>
      <c r="O128" s="415"/>
      <c r="P128" s="418"/>
      <c r="Q128" s="434"/>
      <c r="R128" s="180">
        <v>2</v>
      </c>
      <c r="S128" s="176"/>
      <c r="T128" s="177" t="str">
        <f t="shared" si="194"/>
        <v/>
      </c>
      <c r="U128" s="181"/>
      <c r="V128" s="181"/>
      <c r="W128" s="182"/>
      <c r="X128" s="181"/>
      <c r="Y128" s="181"/>
      <c r="Z128" s="181"/>
      <c r="AA128" s="156" t="str">
        <f>IFERROR(IF(T128="Probabilidad",(AA127-(+AA127*W128)),IF(T128="Impacto",L128,"")),"")</f>
        <v/>
      </c>
      <c r="AB128" s="170" t="str">
        <f t="shared" si="197"/>
        <v/>
      </c>
      <c r="AC128" s="171" t="str">
        <f t="shared" si="198"/>
        <v/>
      </c>
      <c r="AD128" s="170" t="str">
        <f t="shared" si="199"/>
        <v/>
      </c>
      <c r="AE128" s="171" t="str">
        <f t="shared" si="200"/>
        <v/>
      </c>
      <c r="AF128" s="172" t="str">
        <f t="shared" si="201"/>
        <v/>
      </c>
      <c r="AG128" s="173"/>
      <c r="AH128" s="119" t="s">
        <v>604</v>
      </c>
      <c r="AI128" s="145" t="s">
        <v>567</v>
      </c>
      <c r="AJ128" s="144" t="s">
        <v>197</v>
      </c>
      <c r="AK128" s="144" t="s">
        <v>197</v>
      </c>
      <c r="AL128" s="119" t="s">
        <v>445</v>
      </c>
      <c r="AM128" s="166"/>
    </row>
    <row r="129" spans="1:39" s="165" customFormat="1" ht="151.5" customHeight="1" x14ac:dyDescent="0.35">
      <c r="A129" s="427"/>
      <c r="B129" s="426"/>
      <c r="C129" s="430"/>
      <c r="D129" s="430"/>
      <c r="E129" s="412"/>
      <c r="F129" s="412"/>
      <c r="G129" s="412"/>
      <c r="H129" s="429"/>
      <c r="I129" s="412"/>
      <c r="J129" s="410"/>
      <c r="K129" s="416"/>
      <c r="L129" s="419"/>
      <c r="M129" s="421"/>
      <c r="N129" s="186"/>
      <c r="O129" s="416"/>
      <c r="P129" s="419"/>
      <c r="Q129" s="435"/>
      <c r="R129" s="180">
        <v>3</v>
      </c>
      <c r="S129" s="176"/>
      <c r="T129" s="177" t="str">
        <f t="shared" si="194"/>
        <v/>
      </c>
      <c r="U129" s="181"/>
      <c r="V129" s="181"/>
      <c r="W129" s="182"/>
      <c r="X129" s="181"/>
      <c r="Y129" s="181"/>
      <c r="Z129" s="181"/>
      <c r="AA129" s="156" t="str">
        <f>IFERROR(IF(T129="Probabilidad",(AA128-(+AA128*W129)),IF(T129="Impacto",L129,"")),"")</f>
        <v/>
      </c>
      <c r="AB129" s="170" t="str">
        <f t="shared" si="197"/>
        <v/>
      </c>
      <c r="AC129" s="171" t="str">
        <f t="shared" si="198"/>
        <v/>
      </c>
      <c r="AD129" s="170" t="str">
        <f t="shared" si="199"/>
        <v/>
      </c>
      <c r="AE129" s="171" t="str">
        <f t="shared" si="200"/>
        <v/>
      </c>
      <c r="AF129" s="172" t="str">
        <f t="shared" si="201"/>
        <v/>
      </c>
      <c r="AG129" s="173"/>
      <c r="AH129" s="176"/>
      <c r="AI129" s="166"/>
      <c r="AJ129" s="167"/>
      <c r="AK129" s="167"/>
      <c r="AL129" s="176"/>
      <c r="AM129" s="166"/>
    </row>
    <row r="130" spans="1:39" s="165" customFormat="1" ht="151.5" customHeight="1" x14ac:dyDescent="0.35">
      <c r="A130" s="427">
        <v>42</v>
      </c>
      <c r="B130" s="424" t="s">
        <v>437</v>
      </c>
      <c r="C130" s="432" t="s">
        <v>438</v>
      </c>
      <c r="D130" s="422" t="s">
        <v>439</v>
      </c>
      <c r="E130" s="411" t="s">
        <v>120</v>
      </c>
      <c r="F130" s="431" t="s">
        <v>446</v>
      </c>
      <c r="G130" s="411" t="s">
        <v>526</v>
      </c>
      <c r="H130" s="443" t="s">
        <v>527</v>
      </c>
      <c r="I130" s="411" t="s">
        <v>116</v>
      </c>
      <c r="J130" s="409">
        <v>13</v>
      </c>
      <c r="K130" s="414" t="str">
        <f>IF(J130&lt;=0,"",IF(J130&lt;=2,"Muy Baja",IF(J130&lt;=24,"Baja",IF(J130&lt;=500,"Media",IF(J130&lt;=5000,"Alta","Muy Alta")))))</f>
        <v>Baja</v>
      </c>
      <c r="L130" s="417">
        <f>IF(K130="","",IF(K130="Muy Baja",0.2,IF(K130="Baja",0.4,IF(K130="Media",0.6,IF(K130="Alta",0.8,IF(K130="Muy Alta",1,))))))</f>
        <v>0.4</v>
      </c>
      <c r="M130" s="420" t="s">
        <v>517</v>
      </c>
      <c r="N130" s="179"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414"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417">
        <f>IF(O130="","",IF(O130="Leve",0.2,IF(O130="Menor",0.4,IF(O130="Moderado",0.6,IF(O130="Mayor",0.8,IF(O130="Catastrófico",1,))))))</f>
        <v>0.6</v>
      </c>
      <c r="Q130" s="433"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80">
        <v>1</v>
      </c>
      <c r="S130" s="192" t="s">
        <v>541</v>
      </c>
      <c r="T130" s="177" t="str">
        <f t="shared" si="194"/>
        <v>Probabilidad</v>
      </c>
      <c r="U130" s="181" t="s">
        <v>15</v>
      </c>
      <c r="V130" s="181" t="s">
        <v>9</v>
      </c>
      <c r="W130" s="182" t="str">
        <f t="shared" si="195"/>
        <v>30%</v>
      </c>
      <c r="X130" s="181" t="s">
        <v>20</v>
      </c>
      <c r="Y130" s="181" t="s">
        <v>22</v>
      </c>
      <c r="Z130" s="181" t="s">
        <v>110</v>
      </c>
      <c r="AA130" s="156">
        <f t="shared" si="196"/>
        <v>0.28000000000000003</v>
      </c>
      <c r="AB130" s="170" t="str">
        <f t="shared" si="197"/>
        <v>Baja</v>
      </c>
      <c r="AC130" s="171">
        <f t="shared" si="198"/>
        <v>0.28000000000000003</v>
      </c>
      <c r="AD130" s="170" t="str">
        <f t="shared" si="199"/>
        <v>Moderado</v>
      </c>
      <c r="AE130" s="171">
        <f t="shared" si="200"/>
        <v>0.6</v>
      </c>
      <c r="AF130" s="172" t="str">
        <f t="shared" si="201"/>
        <v>Moderado</v>
      </c>
      <c r="AG130" s="173" t="s">
        <v>122</v>
      </c>
      <c r="AH130" s="176" t="s">
        <v>542</v>
      </c>
      <c r="AI130" s="166" t="s">
        <v>213</v>
      </c>
      <c r="AJ130" s="167" t="s">
        <v>197</v>
      </c>
      <c r="AK130" s="167" t="s">
        <v>197</v>
      </c>
      <c r="AL130" s="176" t="s">
        <v>447</v>
      </c>
      <c r="AM130" s="166"/>
    </row>
    <row r="131" spans="1:39" s="165" customFormat="1" ht="151.5" customHeight="1" x14ac:dyDescent="0.35">
      <c r="A131" s="427"/>
      <c r="B131" s="425"/>
      <c r="C131" s="430"/>
      <c r="D131" s="430"/>
      <c r="E131" s="412"/>
      <c r="F131" s="412"/>
      <c r="G131" s="412"/>
      <c r="H131" s="429"/>
      <c r="I131" s="412"/>
      <c r="J131" s="410"/>
      <c r="K131" s="415"/>
      <c r="L131" s="418"/>
      <c r="M131" s="421"/>
      <c r="N131" s="186"/>
      <c r="O131" s="415"/>
      <c r="P131" s="418"/>
      <c r="Q131" s="434"/>
      <c r="R131" s="180">
        <v>2</v>
      </c>
      <c r="S131" s="176"/>
      <c r="T131" s="177" t="str">
        <f t="shared" si="194"/>
        <v/>
      </c>
      <c r="U131" s="181"/>
      <c r="V131" s="181"/>
      <c r="W131" s="182"/>
      <c r="X131" s="181"/>
      <c r="Y131" s="181"/>
      <c r="Z131" s="181"/>
      <c r="AA131" s="156" t="str">
        <f>IFERROR(IF(T131="Probabilidad",(AA130-(+AA130*W131)),IF(T131="Impacto",L131,"")),"")</f>
        <v/>
      </c>
      <c r="AB131" s="170" t="str">
        <f t="shared" si="197"/>
        <v/>
      </c>
      <c r="AC131" s="171" t="str">
        <f t="shared" si="198"/>
        <v/>
      </c>
      <c r="AD131" s="170" t="str">
        <f t="shared" si="199"/>
        <v/>
      </c>
      <c r="AE131" s="171" t="str">
        <f t="shared" si="200"/>
        <v/>
      </c>
      <c r="AF131" s="172" t="str">
        <f t="shared" si="201"/>
        <v/>
      </c>
      <c r="AG131" s="173"/>
      <c r="AH131" s="176"/>
      <c r="AI131" s="166"/>
      <c r="AJ131" s="167"/>
      <c r="AK131" s="167"/>
      <c r="AL131" s="176"/>
      <c r="AM131" s="166"/>
    </row>
    <row r="132" spans="1:39" s="165" customFormat="1" ht="151.5" customHeight="1" x14ac:dyDescent="0.35">
      <c r="A132" s="427"/>
      <c r="B132" s="426"/>
      <c r="C132" s="430"/>
      <c r="D132" s="430"/>
      <c r="E132" s="412"/>
      <c r="F132" s="412"/>
      <c r="G132" s="412"/>
      <c r="H132" s="429"/>
      <c r="I132" s="412"/>
      <c r="J132" s="410"/>
      <c r="K132" s="416"/>
      <c r="L132" s="419"/>
      <c r="M132" s="421"/>
      <c r="N132" s="186"/>
      <c r="O132" s="416"/>
      <c r="P132" s="419"/>
      <c r="Q132" s="435"/>
      <c r="R132" s="180">
        <v>3</v>
      </c>
      <c r="S132" s="176"/>
      <c r="T132" s="177" t="str">
        <f t="shared" si="194"/>
        <v/>
      </c>
      <c r="U132" s="181"/>
      <c r="V132" s="181"/>
      <c r="W132" s="182"/>
      <c r="X132" s="181"/>
      <c r="Y132" s="181"/>
      <c r="Z132" s="181"/>
      <c r="AA132" s="156" t="str">
        <f>IFERROR(IF(T132="Probabilidad",(AA131-(+AA131*W132)),IF(T132="Impacto",L132,"")),"")</f>
        <v/>
      </c>
      <c r="AB132" s="170" t="str">
        <f t="shared" si="197"/>
        <v/>
      </c>
      <c r="AC132" s="171" t="str">
        <f t="shared" si="198"/>
        <v/>
      </c>
      <c r="AD132" s="170" t="str">
        <f t="shared" si="199"/>
        <v/>
      </c>
      <c r="AE132" s="171" t="str">
        <f t="shared" si="200"/>
        <v/>
      </c>
      <c r="AF132" s="172" t="str">
        <f t="shared" si="201"/>
        <v/>
      </c>
      <c r="AG132" s="173"/>
      <c r="AH132" s="176"/>
      <c r="AI132" s="166"/>
      <c r="AJ132" s="167"/>
      <c r="AK132" s="167"/>
      <c r="AL132" s="176"/>
      <c r="AM132" s="166"/>
    </row>
    <row r="133" spans="1:39" s="165" customFormat="1" ht="151.5" customHeight="1" x14ac:dyDescent="0.35">
      <c r="A133" s="427">
        <v>43</v>
      </c>
      <c r="B133" s="424" t="s">
        <v>324</v>
      </c>
      <c r="C133" s="422" t="s">
        <v>325</v>
      </c>
      <c r="D133" s="422" t="s">
        <v>326</v>
      </c>
      <c r="E133" s="411" t="s">
        <v>120</v>
      </c>
      <c r="F133" s="431" t="s">
        <v>505</v>
      </c>
      <c r="G133" s="411" t="s">
        <v>448</v>
      </c>
      <c r="H133" s="428" t="s">
        <v>449</v>
      </c>
      <c r="I133" s="411" t="s">
        <v>115</v>
      </c>
      <c r="J133" s="409">
        <v>53</v>
      </c>
      <c r="K133" s="414" t="str">
        <f>IF(J133&lt;=0,"",IF(J133&lt;=2,"Muy Baja",IF(J133&lt;=24,"Baja",IF(J133&lt;=500,"Media",IF(J133&lt;=5000,"Alta","Muy Alta")))))</f>
        <v>Media</v>
      </c>
      <c r="L133" s="417">
        <f>IF(K133="","",IF(K133="Muy Baja",0.2,IF(K133="Baja",0.4,IF(K133="Media",0.6,IF(K133="Alta",0.8,IF(K133="Muy Alta",1,))))))</f>
        <v>0.6</v>
      </c>
      <c r="M133" s="420" t="s">
        <v>524</v>
      </c>
      <c r="N133" s="179" t="str">
        <f>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14" t="str">
        <f>IF(OR(N133='Tabla Impacto'!$C$11,N133='Tabla Impacto'!$D$11),"Leve",IF(OR(N133='Tabla Impacto'!$C$12,N133='Tabla Impacto'!$D$12),"Menor",IF(OR(N133='Tabla Impacto'!$C$13,N133='Tabla Impacto'!$D$13),"Moderado",IF(OR(N133='Tabla Impacto'!$C$14,N133='Tabla Impacto'!$D$14),"Mayor",IF(OR(N133='Tabla Impacto'!$C$15,N133='Tabla Impacto'!$D$15),"Catastrófico","")))))</f>
        <v>Mayor</v>
      </c>
      <c r="P133" s="417">
        <f>IF(O133="","",IF(O133="Leve",0.2,IF(O133="Menor",0.4,IF(O133="Moderado",0.6,IF(O133="Mayor",0.8,IF(O133="Catastrófico",1,))))))</f>
        <v>0.8</v>
      </c>
      <c r="Q133" s="433"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80">
        <v>1</v>
      </c>
      <c r="S133" s="176" t="s">
        <v>506</v>
      </c>
      <c r="T133" s="177" t="str">
        <f t="shared" si="194"/>
        <v>Probabilidad</v>
      </c>
      <c r="U133" s="181" t="s">
        <v>15</v>
      </c>
      <c r="V133" s="181" t="s">
        <v>9</v>
      </c>
      <c r="W133" s="182" t="str">
        <f t="shared" si="195"/>
        <v>30%</v>
      </c>
      <c r="X133" s="181" t="s">
        <v>19</v>
      </c>
      <c r="Y133" s="181" t="s">
        <v>22</v>
      </c>
      <c r="Z133" s="181" t="s">
        <v>110</v>
      </c>
      <c r="AA133" s="156">
        <f t="shared" si="196"/>
        <v>0.42</v>
      </c>
      <c r="AB133" s="170" t="str">
        <f t="shared" si="197"/>
        <v>Media</v>
      </c>
      <c r="AC133" s="171">
        <f t="shared" si="198"/>
        <v>0.42</v>
      </c>
      <c r="AD133" s="170" t="str">
        <f t="shared" si="199"/>
        <v>Mayor</v>
      </c>
      <c r="AE133" s="171">
        <f t="shared" si="200"/>
        <v>0.8</v>
      </c>
      <c r="AF133" s="172" t="str">
        <f t="shared" si="201"/>
        <v>Alto</v>
      </c>
      <c r="AG133" s="173" t="s">
        <v>122</v>
      </c>
      <c r="AH133" s="176" t="s">
        <v>508</v>
      </c>
      <c r="AI133" s="168" t="s">
        <v>262</v>
      </c>
      <c r="AJ133" s="167">
        <v>44562</v>
      </c>
      <c r="AK133" s="167" t="s">
        <v>387</v>
      </c>
      <c r="AL133" s="176" t="s">
        <v>507</v>
      </c>
      <c r="AM133" s="166"/>
    </row>
    <row r="134" spans="1:39" s="165" customFormat="1" ht="151.5" customHeight="1" x14ac:dyDescent="0.35">
      <c r="A134" s="427"/>
      <c r="B134" s="425"/>
      <c r="C134" s="423"/>
      <c r="D134" s="423"/>
      <c r="E134" s="412"/>
      <c r="F134" s="412"/>
      <c r="G134" s="412"/>
      <c r="H134" s="429"/>
      <c r="I134" s="412"/>
      <c r="J134" s="410"/>
      <c r="K134" s="415"/>
      <c r="L134" s="418"/>
      <c r="M134" s="421"/>
      <c r="N134" s="186"/>
      <c r="O134" s="415"/>
      <c r="P134" s="418"/>
      <c r="Q134" s="434"/>
      <c r="R134" s="180">
        <v>2</v>
      </c>
      <c r="S134" s="176" t="s">
        <v>543</v>
      </c>
      <c r="T134" s="177" t="str">
        <f t="shared" si="194"/>
        <v>Probabilidad</v>
      </c>
      <c r="U134" s="181" t="s">
        <v>14</v>
      </c>
      <c r="V134" s="181" t="s">
        <v>9</v>
      </c>
      <c r="W134" s="182" t="str">
        <f t="shared" si="195"/>
        <v>40%</v>
      </c>
      <c r="X134" s="181" t="s">
        <v>19</v>
      </c>
      <c r="Y134" s="181" t="s">
        <v>22</v>
      </c>
      <c r="Z134" s="181" t="s">
        <v>110</v>
      </c>
      <c r="AA134" s="156">
        <f>IFERROR(IF(T134="Probabilidad",(AA133-(+AA133*W134)),IF(T134="Impacto",L134,"")),"")</f>
        <v>0.252</v>
      </c>
      <c r="AB134" s="170" t="str">
        <f t="shared" si="197"/>
        <v>Baja</v>
      </c>
      <c r="AC134" s="171">
        <f t="shared" si="198"/>
        <v>0.252</v>
      </c>
      <c r="AD134" s="170" t="str">
        <f t="shared" si="199"/>
        <v>Mayor</v>
      </c>
      <c r="AE134" s="171">
        <v>0.8</v>
      </c>
      <c r="AF134" s="172" t="str">
        <f t="shared" si="201"/>
        <v>Alto</v>
      </c>
      <c r="AG134" s="173" t="s">
        <v>122</v>
      </c>
      <c r="AH134" s="176" t="s">
        <v>544</v>
      </c>
      <c r="AI134" s="166" t="s">
        <v>204</v>
      </c>
      <c r="AJ134" s="167">
        <v>44562</v>
      </c>
      <c r="AK134" s="167" t="s">
        <v>387</v>
      </c>
      <c r="AL134" s="176" t="s">
        <v>507</v>
      </c>
      <c r="AM134" s="166"/>
    </row>
    <row r="135" spans="1:39" s="165" customFormat="1" ht="151.5" customHeight="1" x14ac:dyDescent="0.35">
      <c r="A135" s="427"/>
      <c r="B135" s="426"/>
      <c r="C135" s="423"/>
      <c r="D135" s="423"/>
      <c r="E135" s="412"/>
      <c r="F135" s="412"/>
      <c r="G135" s="412"/>
      <c r="H135" s="429"/>
      <c r="I135" s="412"/>
      <c r="J135" s="410"/>
      <c r="K135" s="416"/>
      <c r="L135" s="419"/>
      <c r="M135" s="421"/>
      <c r="N135" s="186"/>
      <c r="O135" s="416"/>
      <c r="P135" s="419"/>
      <c r="Q135" s="435"/>
      <c r="R135" s="180">
        <v>3</v>
      </c>
      <c r="S135" s="176" t="s">
        <v>329</v>
      </c>
      <c r="T135" s="177" t="str">
        <f t="shared" si="194"/>
        <v>Probabilidad</v>
      </c>
      <c r="U135" s="181" t="s">
        <v>14</v>
      </c>
      <c r="V135" s="181" t="s">
        <v>9</v>
      </c>
      <c r="W135" s="182" t="str">
        <f t="shared" si="195"/>
        <v>40%</v>
      </c>
      <c r="X135" s="181" t="s">
        <v>19</v>
      </c>
      <c r="Y135" s="181" t="s">
        <v>22</v>
      </c>
      <c r="Z135" s="181" t="s">
        <v>110</v>
      </c>
      <c r="AA135" s="156">
        <f>IFERROR(IF(T135="Probabilidad",(AA134-(+AA134*W135)),IF(T135="Impacto",L135,"")),"")</f>
        <v>0.1512</v>
      </c>
      <c r="AB135" s="170" t="str">
        <f t="shared" si="197"/>
        <v>Muy Baja</v>
      </c>
      <c r="AC135" s="171">
        <f t="shared" si="198"/>
        <v>0.1512</v>
      </c>
      <c r="AD135" s="170" t="str">
        <f t="shared" si="199"/>
        <v>Mayor</v>
      </c>
      <c r="AE135" s="171">
        <v>0.8</v>
      </c>
      <c r="AF135" s="172" t="str">
        <f t="shared" si="201"/>
        <v>Alto</v>
      </c>
      <c r="AG135" s="173" t="s">
        <v>122</v>
      </c>
      <c r="AH135" s="176" t="s">
        <v>544</v>
      </c>
      <c r="AI135" s="166" t="s">
        <v>204</v>
      </c>
      <c r="AJ135" s="167">
        <v>44562</v>
      </c>
      <c r="AK135" s="167" t="s">
        <v>387</v>
      </c>
      <c r="AL135" s="176" t="s">
        <v>507</v>
      </c>
      <c r="AM135" s="166"/>
    </row>
    <row r="136" spans="1:39" s="165" customFormat="1" ht="151.5" customHeight="1" x14ac:dyDescent="0.35">
      <c r="A136" s="427">
        <v>44</v>
      </c>
      <c r="B136" s="424" t="s">
        <v>324</v>
      </c>
      <c r="C136" s="422" t="s">
        <v>325</v>
      </c>
      <c r="D136" s="422" t="s">
        <v>326</v>
      </c>
      <c r="E136" s="411" t="s">
        <v>120</v>
      </c>
      <c r="F136" s="431" t="s">
        <v>330</v>
      </c>
      <c r="G136" s="431" t="s">
        <v>451</v>
      </c>
      <c r="H136" s="428" t="s">
        <v>358</v>
      </c>
      <c r="I136" s="411" t="s">
        <v>334</v>
      </c>
      <c r="J136" s="409">
        <v>56</v>
      </c>
      <c r="K136" s="414" t="str">
        <f>IF(J136&lt;=0,"",IF(J136&lt;=2,"Muy Baja",IF(J136&lt;=24,"Baja",IF(J136&lt;=500,"Media",IF(J136&lt;=5000,"Alta","Muy Alta")))))</f>
        <v>Media</v>
      </c>
      <c r="L136" s="417">
        <f>IF(K136="","",IF(K136="Muy Baja",0.2,IF(K136="Baja",0.4,IF(K136="Media",0.6,IF(K136="Alta",0.8,IF(K136="Muy Alta",1,))))))</f>
        <v>0.6</v>
      </c>
      <c r="M136" s="420" t="s">
        <v>517</v>
      </c>
      <c r="N136" s="179" t="str">
        <f>IF(NOT(ISERROR(MATCH(M136,'Tabla Impacto'!$B$221:$B$223,0))),'Tabla Impacto'!$F$223&amp;"Por favor no seleccionar los criterios de impacto(Afectación Económica o presupuestal y Pérdida Reputacional)",M136)</f>
        <v xml:space="preserve"> El riesgo afecta la imagen de la entidad con algunos usuarios de relevancia frente al logro de los objetivos</v>
      </c>
      <c r="O136" s="414" t="str">
        <f>IF(OR(N136='Tabla Impacto'!$C$11,N136='Tabla Impacto'!$D$11),"Leve",IF(OR(N136='Tabla Impacto'!$C$12,N136='Tabla Impacto'!$D$12),"Menor",IF(OR(N136='Tabla Impacto'!$C$13,N136='Tabla Impacto'!$D$13),"Moderado",IF(OR(N136='Tabla Impacto'!$C$14,N136='Tabla Impacto'!$D$14),"Mayor",IF(OR(N136='Tabla Impacto'!$C$15,N136='Tabla Impacto'!$D$15),"Catastrófico","")))))</f>
        <v>Moderado</v>
      </c>
      <c r="P136" s="417">
        <f>IF(O136="","",IF(O136="Leve",0.2,IF(O136="Menor",0.4,IF(O136="Moderado",0.6,IF(O136="Mayor",0.8,IF(O136="Catastrófico",1,))))))</f>
        <v>0.6</v>
      </c>
      <c r="Q136" s="433"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80">
        <v>1</v>
      </c>
      <c r="S136" s="176" t="s">
        <v>327</v>
      </c>
      <c r="T136" s="177" t="str">
        <f t="shared" si="194"/>
        <v>Probabilidad</v>
      </c>
      <c r="U136" s="181" t="s">
        <v>15</v>
      </c>
      <c r="V136" s="181" t="s">
        <v>9</v>
      </c>
      <c r="W136" s="182" t="str">
        <f t="shared" si="195"/>
        <v>30%</v>
      </c>
      <c r="X136" s="181" t="s">
        <v>20</v>
      </c>
      <c r="Y136" s="181" t="s">
        <v>23</v>
      </c>
      <c r="Z136" s="181" t="s">
        <v>111</v>
      </c>
      <c r="AA136" s="156">
        <f t="shared" si="196"/>
        <v>0.42</v>
      </c>
      <c r="AB136" s="170" t="str">
        <f t="shared" si="197"/>
        <v>Media</v>
      </c>
      <c r="AC136" s="171">
        <f t="shared" si="198"/>
        <v>0.42</v>
      </c>
      <c r="AD136" s="170" t="str">
        <f t="shared" si="199"/>
        <v>Moderado</v>
      </c>
      <c r="AE136" s="171">
        <f t="shared" si="200"/>
        <v>0.6</v>
      </c>
      <c r="AF136" s="172" t="str">
        <f t="shared" si="201"/>
        <v>Moderado</v>
      </c>
      <c r="AG136" s="173" t="s">
        <v>122</v>
      </c>
      <c r="AH136" s="176" t="s">
        <v>331</v>
      </c>
      <c r="AI136" s="168" t="s">
        <v>213</v>
      </c>
      <c r="AJ136" s="167">
        <v>44562</v>
      </c>
      <c r="AK136" s="167" t="s">
        <v>387</v>
      </c>
      <c r="AL136" s="176" t="s">
        <v>509</v>
      </c>
      <c r="AM136" s="166"/>
    </row>
    <row r="137" spans="1:39" s="165" customFormat="1" ht="151.5" customHeight="1" x14ac:dyDescent="0.35">
      <c r="A137" s="427"/>
      <c r="B137" s="425"/>
      <c r="C137" s="423"/>
      <c r="D137" s="423"/>
      <c r="E137" s="412"/>
      <c r="F137" s="412"/>
      <c r="G137" s="412"/>
      <c r="H137" s="429"/>
      <c r="I137" s="412"/>
      <c r="J137" s="410"/>
      <c r="K137" s="415"/>
      <c r="L137" s="418"/>
      <c r="M137" s="421"/>
      <c r="N137" s="186"/>
      <c r="O137" s="415"/>
      <c r="P137" s="418"/>
      <c r="Q137" s="434"/>
      <c r="R137" s="180">
        <v>2</v>
      </c>
      <c r="S137" s="176" t="s">
        <v>328</v>
      </c>
      <c r="T137" s="177" t="str">
        <f t="shared" si="194"/>
        <v>Probabilidad</v>
      </c>
      <c r="U137" s="181" t="s">
        <v>15</v>
      </c>
      <c r="V137" s="181" t="s">
        <v>9</v>
      </c>
      <c r="W137" s="182" t="str">
        <f t="shared" si="195"/>
        <v>30%</v>
      </c>
      <c r="X137" s="181" t="s">
        <v>20</v>
      </c>
      <c r="Y137" s="181" t="s">
        <v>23</v>
      </c>
      <c r="Z137" s="181" t="s">
        <v>111</v>
      </c>
      <c r="AA137" s="156">
        <f>IFERROR(IF(T137="Probabilidad",(AA136-(+AA136*W137)),IF(T137="Impacto",L137,"")),"")</f>
        <v>0.29399999999999998</v>
      </c>
      <c r="AB137" s="170" t="str">
        <f t="shared" si="197"/>
        <v>Baja</v>
      </c>
      <c r="AC137" s="171">
        <f t="shared" si="198"/>
        <v>0.29399999999999998</v>
      </c>
      <c r="AD137" s="170" t="str">
        <f t="shared" si="199"/>
        <v>Moderado</v>
      </c>
      <c r="AE137" s="171">
        <v>0.6</v>
      </c>
      <c r="AF137" s="172" t="str">
        <f t="shared" si="201"/>
        <v>Moderado</v>
      </c>
      <c r="AG137" s="173" t="s">
        <v>122</v>
      </c>
      <c r="AH137" s="176" t="s">
        <v>544</v>
      </c>
      <c r="AI137" s="166" t="s">
        <v>204</v>
      </c>
      <c r="AJ137" s="167">
        <v>44562</v>
      </c>
      <c r="AK137" s="167" t="s">
        <v>387</v>
      </c>
      <c r="AL137" s="176" t="s">
        <v>509</v>
      </c>
      <c r="AM137" s="166"/>
    </row>
    <row r="138" spans="1:39" s="165" customFormat="1" ht="151.5" customHeight="1" x14ac:dyDescent="0.35">
      <c r="A138" s="427"/>
      <c r="B138" s="426"/>
      <c r="C138" s="423"/>
      <c r="D138" s="423"/>
      <c r="E138" s="412"/>
      <c r="F138" s="412"/>
      <c r="G138" s="412"/>
      <c r="H138" s="429"/>
      <c r="I138" s="412"/>
      <c r="J138" s="410"/>
      <c r="K138" s="416"/>
      <c r="L138" s="419"/>
      <c r="M138" s="421"/>
      <c r="N138" s="186"/>
      <c r="O138" s="416"/>
      <c r="P138" s="419"/>
      <c r="Q138" s="435"/>
      <c r="R138" s="180">
        <v>3</v>
      </c>
      <c r="S138" s="176" t="s">
        <v>329</v>
      </c>
      <c r="T138" s="177" t="str">
        <f t="shared" si="194"/>
        <v>Probabilidad</v>
      </c>
      <c r="U138" s="181" t="s">
        <v>15</v>
      </c>
      <c r="V138" s="181" t="s">
        <v>9</v>
      </c>
      <c r="W138" s="182" t="str">
        <f t="shared" si="195"/>
        <v>30%</v>
      </c>
      <c r="X138" s="181" t="s">
        <v>20</v>
      </c>
      <c r="Y138" s="181" t="s">
        <v>23</v>
      </c>
      <c r="Z138" s="181" t="s">
        <v>111</v>
      </c>
      <c r="AA138" s="156">
        <f>IFERROR(IF(T138="Probabilidad",(AA137-(+AA137*W138)),IF(T138="Impacto",L138,"")),"")</f>
        <v>0.20579999999999998</v>
      </c>
      <c r="AB138" s="170" t="str">
        <f t="shared" si="197"/>
        <v>Baja</v>
      </c>
      <c r="AC138" s="171">
        <f t="shared" si="198"/>
        <v>0.20579999999999998</v>
      </c>
      <c r="AD138" s="170" t="str">
        <f t="shared" si="199"/>
        <v>Moderado</v>
      </c>
      <c r="AE138" s="171">
        <v>0.6</v>
      </c>
      <c r="AF138" s="172" t="str">
        <f t="shared" si="201"/>
        <v>Moderado</v>
      </c>
      <c r="AG138" s="173" t="s">
        <v>122</v>
      </c>
      <c r="AH138" s="176" t="s">
        <v>510</v>
      </c>
      <c r="AI138" s="166" t="s">
        <v>213</v>
      </c>
      <c r="AJ138" s="167">
        <v>44562</v>
      </c>
      <c r="AK138" s="167" t="s">
        <v>387</v>
      </c>
      <c r="AL138" s="176" t="s">
        <v>509</v>
      </c>
      <c r="AM138" s="166"/>
    </row>
    <row r="139" spans="1:39" s="165" customFormat="1" ht="151.5" customHeight="1" x14ac:dyDescent="0.35">
      <c r="A139" s="427">
        <v>45</v>
      </c>
      <c r="B139" s="406" t="s">
        <v>324</v>
      </c>
      <c r="C139" s="422" t="s">
        <v>325</v>
      </c>
      <c r="D139" s="422" t="s">
        <v>326</v>
      </c>
      <c r="E139" s="411" t="s">
        <v>120</v>
      </c>
      <c r="F139" s="411" t="s">
        <v>450</v>
      </c>
      <c r="G139" s="411" t="s">
        <v>452</v>
      </c>
      <c r="H139" s="428" t="s">
        <v>591</v>
      </c>
      <c r="I139" s="411" t="s">
        <v>115</v>
      </c>
      <c r="J139" s="409">
        <v>56</v>
      </c>
      <c r="K139" s="414" t="str">
        <f>IF(J139&lt;=0,"",IF(J139&lt;=2,"Muy Baja",IF(J139&lt;=24,"Baja",IF(J139&lt;=500,"Media",IF(J139&lt;=5000,"Alta","Muy Alta")))))</f>
        <v>Media</v>
      </c>
      <c r="L139" s="417">
        <f>IF(K139="","",IF(K139="Muy Baja",0.2,IF(K139="Baja",0.4,IF(K139="Media",0.6,IF(K139="Alta",0.8,IF(K139="Muy Alta",1,))))))</f>
        <v>0.6</v>
      </c>
      <c r="M139" s="420" t="s">
        <v>524</v>
      </c>
      <c r="N139" s="179" t="str">
        <f>IF(NOT(ISERROR(MATCH(M139,'Tabla Impacto'!$B$221:$B$223,0))),'Tabla Impacto'!$F$223&amp;"Por favor no seleccionar los criterios de impacto(Afectación Económica o presupuestal y Pérdida Reputacional)",M139)</f>
        <v xml:space="preserve"> El riesgo afecta la imagen de la entidad con efecto publicitario sostenido a nivel de sector administrativo, nivel departamental o municipal</v>
      </c>
      <c r="O139" s="444" t="str">
        <f>IF(OR(N139='Tabla Impacto'!$C$11,N139='Tabla Impacto'!$D$11),"Leve",IF(OR(N139='Tabla Impacto'!$C$12,N139='Tabla Impacto'!$D$12),"Menor",IF(OR(N139='Tabla Impacto'!$C$13,N139='Tabla Impacto'!$D$13),"Moderado",IF(OR(N139='Tabla Impacto'!$C$14,N139='Tabla Impacto'!$D$14),"Mayor",IF(OR(N139='Tabla Impacto'!$C$15,N139='Tabla Impacto'!$D$15),"Catastrófico","")))))</f>
        <v>Mayor</v>
      </c>
      <c r="P139" s="417">
        <f>IF(O139="","",IF(O139="Leve",0.2,IF(O139="Menor",0.4,IF(O139="Moderado",0.6,IF(O139="Mayor",0.8,IF(O139="Catastrófico",1,))))))</f>
        <v>0.8</v>
      </c>
      <c r="Q139" s="433"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Alto</v>
      </c>
      <c r="R139" s="180">
        <v>1</v>
      </c>
      <c r="S139" s="176" t="s">
        <v>592</v>
      </c>
      <c r="T139" s="177" t="str">
        <f t="shared" si="194"/>
        <v>Probabilidad</v>
      </c>
      <c r="U139" s="181" t="s">
        <v>15</v>
      </c>
      <c r="V139" s="181" t="s">
        <v>9</v>
      </c>
      <c r="W139" s="182" t="str">
        <f t="shared" si="195"/>
        <v>30%</v>
      </c>
      <c r="X139" s="181" t="s">
        <v>20</v>
      </c>
      <c r="Y139" s="181" t="s">
        <v>23</v>
      </c>
      <c r="Z139" s="181" t="s">
        <v>111</v>
      </c>
      <c r="AA139" s="156">
        <f t="shared" si="196"/>
        <v>0.42</v>
      </c>
      <c r="AB139" s="170" t="str">
        <f t="shared" si="197"/>
        <v>Media</v>
      </c>
      <c r="AC139" s="171">
        <f t="shared" si="198"/>
        <v>0.42</v>
      </c>
      <c r="AD139" s="170" t="str">
        <f t="shared" si="199"/>
        <v>Mayor</v>
      </c>
      <c r="AE139" s="171">
        <f t="shared" si="200"/>
        <v>0.8</v>
      </c>
      <c r="AF139" s="172" t="str">
        <f t="shared" si="201"/>
        <v>Alto</v>
      </c>
      <c r="AG139" s="173" t="s">
        <v>122</v>
      </c>
      <c r="AH139" s="193" t="s">
        <v>511</v>
      </c>
      <c r="AI139" s="166" t="s">
        <v>199</v>
      </c>
      <c r="AJ139" s="167">
        <v>44562</v>
      </c>
      <c r="AK139" s="167" t="s">
        <v>387</v>
      </c>
      <c r="AL139" s="193" t="s">
        <v>512</v>
      </c>
      <c r="AM139" s="166"/>
    </row>
    <row r="140" spans="1:39" s="165" customFormat="1" ht="151.5" customHeight="1" x14ac:dyDescent="0.35">
      <c r="A140" s="427"/>
      <c r="B140" s="407"/>
      <c r="C140" s="423"/>
      <c r="D140" s="423"/>
      <c r="E140" s="412"/>
      <c r="F140" s="412"/>
      <c r="G140" s="412"/>
      <c r="H140" s="429"/>
      <c r="I140" s="412"/>
      <c r="J140" s="410"/>
      <c r="K140" s="415"/>
      <c r="L140" s="418"/>
      <c r="M140" s="421"/>
      <c r="N140" s="186"/>
      <c r="O140" s="415"/>
      <c r="P140" s="418"/>
      <c r="Q140" s="434"/>
      <c r="R140" s="180">
        <v>2</v>
      </c>
      <c r="S140" s="176"/>
      <c r="T140" s="160"/>
      <c r="U140" s="148"/>
      <c r="V140" s="148"/>
      <c r="W140" s="149"/>
      <c r="X140" s="148"/>
      <c r="Y140" s="148"/>
      <c r="Z140" s="148"/>
      <c r="AA140" s="150"/>
      <c r="AB140" s="135"/>
      <c r="AC140" s="151"/>
      <c r="AD140" s="135"/>
      <c r="AE140" s="151"/>
      <c r="AF140" s="152"/>
      <c r="AG140" s="153"/>
      <c r="AH140" s="176" t="s">
        <v>332</v>
      </c>
      <c r="AI140" s="166" t="s">
        <v>204</v>
      </c>
      <c r="AJ140" s="167">
        <v>44562</v>
      </c>
      <c r="AK140" s="167" t="s">
        <v>387</v>
      </c>
      <c r="AL140" s="193" t="s">
        <v>512</v>
      </c>
      <c r="AM140" s="166"/>
    </row>
    <row r="141" spans="1:39" s="165" customFormat="1" ht="151.5" customHeight="1" x14ac:dyDescent="0.35">
      <c r="A141" s="427"/>
      <c r="B141" s="408"/>
      <c r="C141" s="423"/>
      <c r="D141" s="423"/>
      <c r="E141" s="412"/>
      <c r="F141" s="412"/>
      <c r="G141" s="412"/>
      <c r="H141" s="429"/>
      <c r="I141" s="412"/>
      <c r="J141" s="410"/>
      <c r="K141" s="416"/>
      <c r="L141" s="419"/>
      <c r="M141" s="421"/>
      <c r="N141" s="186"/>
      <c r="O141" s="416"/>
      <c r="P141" s="419"/>
      <c r="Q141" s="435"/>
      <c r="R141" s="180">
        <v>3</v>
      </c>
      <c r="S141" s="176"/>
      <c r="T141" s="160"/>
      <c r="U141" s="148"/>
      <c r="V141" s="148"/>
      <c r="W141" s="149"/>
      <c r="X141" s="148"/>
      <c r="Y141" s="148"/>
      <c r="Z141" s="148"/>
      <c r="AA141" s="150"/>
      <c r="AB141" s="135"/>
      <c r="AC141" s="151"/>
      <c r="AD141" s="135"/>
      <c r="AE141" s="151"/>
      <c r="AF141" s="152"/>
      <c r="AG141" s="153"/>
      <c r="AH141" s="193" t="s">
        <v>545</v>
      </c>
      <c r="AI141" s="166" t="s">
        <v>204</v>
      </c>
      <c r="AJ141" s="167">
        <v>44562</v>
      </c>
      <c r="AK141" s="167" t="s">
        <v>387</v>
      </c>
      <c r="AL141" s="193" t="s">
        <v>512</v>
      </c>
      <c r="AM141" s="166"/>
    </row>
    <row r="142" spans="1:39" s="165" customFormat="1" ht="151.5" customHeight="1" x14ac:dyDescent="0.35">
      <c r="A142" s="427">
        <v>46</v>
      </c>
      <c r="B142" s="424"/>
      <c r="C142" s="436"/>
      <c r="D142" s="436"/>
      <c r="E142" s="411"/>
      <c r="F142" s="411"/>
      <c r="G142" s="411"/>
      <c r="H142" s="428"/>
      <c r="I142" s="411"/>
      <c r="J142" s="409"/>
      <c r="K142" s="414" t="str">
        <f>IF(J142&lt;=0,"",IF(J142&lt;=2,"Muy Baja",IF(J142&lt;=24,"Baja",IF(J142&lt;=500,"Media",IF(J142&lt;=5000,"Alta","Muy Alta")))))</f>
        <v/>
      </c>
      <c r="L142" s="417" t="str">
        <f>IF(K142="","",IF(K142="Muy Baja",0.2,IF(K142="Baja",0.4,IF(K142="Media",0.6,IF(K142="Alta",0.8,IF(K142="Muy Alta",1,))))))</f>
        <v/>
      </c>
      <c r="M142" s="420"/>
      <c r="N142" s="179">
        <f>IF(NOT(ISERROR(MATCH(M142,'Tabla Impacto'!$B$221:$B$223,0))),'Tabla Impacto'!$F$223&amp;"Por favor no seleccionar los criterios de impacto(Afectación Económica o presupuestal y Pérdida Reputacional)",M142)</f>
        <v>0</v>
      </c>
      <c r="O142" s="414" t="str">
        <f>IF(OR(N142='Tabla Impacto'!$C$11,N142='Tabla Impacto'!$D$11),"Leve",IF(OR(N142='Tabla Impacto'!$C$12,N142='Tabla Impacto'!$D$12),"Menor",IF(OR(N142='Tabla Impacto'!$C$13,N142='Tabla Impacto'!$D$13),"Moderado",IF(OR(N142='Tabla Impacto'!$C$14,N142='Tabla Impacto'!$D$14),"Mayor",IF(OR(N142='Tabla Impacto'!$C$15,N142='Tabla Impacto'!$D$15),"Catastrófico","")))))</f>
        <v/>
      </c>
      <c r="P142" s="417" t="str">
        <f>IF(O142="","",IF(O142="Leve",0.2,IF(O142="Menor",0.4,IF(O142="Moderado",0.6,IF(O142="Mayor",0.8,IF(O142="Catastrófico",1,))))))</f>
        <v/>
      </c>
      <c r="Q142" s="433"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80">
        <v>1</v>
      </c>
      <c r="S142" s="176"/>
      <c r="T142" s="177" t="str">
        <f t="shared" si="194"/>
        <v/>
      </c>
      <c r="U142" s="181"/>
      <c r="V142" s="181"/>
      <c r="W142" s="182" t="str">
        <f t="shared" si="195"/>
        <v/>
      </c>
      <c r="X142" s="181"/>
      <c r="Y142" s="181"/>
      <c r="Z142" s="181"/>
      <c r="AA142" s="156" t="str">
        <f t="shared" si="196"/>
        <v/>
      </c>
      <c r="AB142" s="170" t="str">
        <f t="shared" si="197"/>
        <v/>
      </c>
      <c r="AC142" s="171" t="str">
        <f t="shared" si="198"/>
        <v/>
      </c>
      <c r="AD142" s="170" t="str">
        <f t="shared" si="199"/>
        <v/>
      </c>
      <c r="AE142" s="171" t="str">
        <f t="shared" si="200"/>
        <v/>
      </c>
      <c r="AF142" s="172" t="str">
        <f t="shared" si="201"/>
        <v/>
      </c>
      <c r="AG142" s="173"/>
      <c r="AH142" s="168"/>
      <c r="AI142" s="166"/>
      <c r="AJ142" s="167"/>
      <c r="AK142" s="167"/>
      <c r="AL142" s="168"/>
      <c r="AM142" s="166"/>
    </row>
    <row r="143" spans="1:39" s="165" customFormat="1" ht="151.5" customHeight="1" x14ac:dyDescent="0.35">
      <c r="A143" s="427"/>
      <c r="B143" s="425"/>
      <c r="C143" s="427"/>
      <c r="D143" s="427"/>
      <c r="E143" s="412"/>
      <c r="F143" s="412"/>
      <c r="G143" s="412"/>
      <c r="H143" s="429"/>
      <c r="I143" s="412"/>
      <c r="J143" s="410"/>
      <c r="K143" s="415"/>
      <c r="L143" s="418"/>
      <c r="M143" s="421"/>
      <c r="N143" s="186"/>
      <c r="O143" s="415"/>
      <c r="P143" s="418"/>
      <c r="Q143" s="434"/>
      <c r="R143" s="180">
        <v>2</v>
      </c>
      <c r="S143" s="176"/>
      <c r="T143" s="177" t="str">
        <f t="shared" si="194"/>
        <v/>
      </c>
      <c r="U143" s="181"/>
      <c r="V143" s="181"/>
      <c r="W143" s="182" t="str">
        <f t="shared" si="195"/>
        <v/>
      </c>
      <c r="X143" s="181"/>
      <c r="Y143" s="181"/>
      <c r="Z143" s="181"/>
      <c r="AA143" s="156" t="str">
        <f t="shared" si="196"/>
        <v/>
      </c>
      <c r="AB143" s="170" t="str">
        <f t="shared" si="197"/>
        <v/>
      </c>
      <c r="AC143" s="171" t="str">
        <f t="shared" si="198"/>
        <v/>
      </c>
      <c r="AD143" s="170" t="str">
        <f t="shared" si="199"/>
        <v/>
      </c>
      <c r="AE143" s="171" t="str">
        <f t="shared" si="200"/>
        <v/>
      </c>
      <c r="AF143" s="172" t="str">
        <f t="shared" si="201"/>
        <v/>
      </c>
      <c r="AG143" s="173"/>
      <c r="AH143" s="168"/>
      <c r="AI143" s="166"/>
      <c r="AJ143" s="167"/>
      <c r="AK143" s="167"/>
      <c r="AL143" s="168"/>
      <c r="AM143" s="166"/>
    </row>
    <row r="144" spans="1:39" s="165" customFormat="1" ht="151.5" customHeight="1" x14ac:dyDescent="0.35">
      <c r="A144" s="427"/>
      <c r="B144" s="426"/>
      <c r="C144" s="445"/>
      <c r="D144" s="445"/>
      <c r="E144" s="446"/>
      <c r="F144" s="446"/>
      <c r="G144" s="446"/>
      <c r="H144" s="447"/>
      <c r="I144" s="446"/>
      <c r="J144" s="448"/>
      <c r="K144" s="416"/>
      <c r="L144" s="419"/>
      <c r="M144" s="439"/>
      <c r="N144" s="186"/>
      <c r="O144" s="416"/>
      <c r="P144" s="419"/>
      <c r="Q144" s="435"/>
      <c r="R144" s="180">
        <v>3</v>
      </c>
      <c r="S144" s="176"/>
      <c r="T144" s="177" t="str">
        <f t="shared" si="194"/>
        <v/>
      </c>
      <c r="U144" s="181"/>
      <c r="V144" s="181"/>
      <c r="W144" s="182" t="str">
        <f t="shared" si="195"/>
        <v/>
      </c>
      <c r="X144" s="181"/>
      <c r="Y144" s="181"/>
      <c r="Z144" s="181"/>
      <c r="AA144" s="156" t="str">
        <f t="shared" si="196"/>
        <v/>
      </c>
      <c r="AB144" s="170" t="str">
        <f t="shared" si="197"/>
        <v/>
      </c>
      <c r="AC144" s="171" t="str">
        <f t="shared" si="198"/>
        <v/>
      </c>
      <c r="AD144" s="170" t="str">
        <f t="shared" si="199"/>
        <v/>
      </c>
      <c r="AE144" s="171" t="str">
        <f t="shared" si="200"/>
        <v/>
      </c>
      <c r="AF144" s="172" t="str">
        <f t="shared" si="201"/>
        <v/>
      </c>
      <c r="AG144" s="173"/>
      <c r="AH144" s="168"/>
      <c r="AI144" s="166"/>
      <c r="AJ144" s="167"/>
      <c r="AK144" s="167"/>
      <c r="AL144" s="168"/>
      <c r="AM144" s="166"/>
    </row>
    <row r="145" spans="1:39" s="165" customFormat="1" ht="151.5" customHeight="1" x14ac:dyDescent="0.35">
      <c r="A145" s="427">
        <v>47</v>
      </c>
      <c r="B145" s="424"/>
      <c r="C145" s="436"/>
      <c r="D145" s="436"/>
      <c r="E145" s="411"/>
      <c r="F145" s="411"/>
      <c r="G145" s="411"/>
      <c r="H145" s="428"/>
      <c r="I145" s="411"/>
      <c r="J145" s="409"/>
      <c r="K145" s="414" t="str">
        <f>IF(J145&lt;=0,"",IF(J145&lt;=2,"Muy Baja",IF(J145&lt;=24,"Baja",IF(J145&lt;=500,"Media",IF(J145&lt;=5000,"Alta","Muy Alta")))))</f>
        <v/>
      </c>
      <c r="L145" s="417" t="str">
        <f>IF(K145="","",IF(K145="Muy Baja",0.2,IF(K145="Baja",0.4,IF(K145="Media",0.6,IF(K145="Alta",0.8,IF(K145="Muy Alta",1,))))))</f>
        <v/>
      </c>
      <c r="M145" s="420"/>
      <c r="N145" s="179">
        <f>IF(NOT(ISERROR(MATCH(M145,'Tabla Impacto'!$B$221:$B$223,0))),'Tabla Impacto'!$F$223&amp;"Por favor no seleccionar los criterios de impacto(Afectación Económica o presupuestal y Pérdida Reputacional)",M145)</f>
        <v>0</v>
      </c>
      <c r="O145" s="414" t="str">
        <f>IF(OR(N145='Tabla Impacto'!$C$11,N145='Tabla Impacto'!$D$11),"Leve",IF(OR(N145='Tabla Impacto'!$C$12,N145='Tabla Impacto'!$D$12),"Menor",IF(OR(N145='Tabla Impacto'!$C$13,N145='Tabla Impacto'!$D$13),"Moderado",IF(OR(N145='Tabla Impacto'!$C$14,N145='Tabla Impacto'!$D$14),"Mayor",IF(OR(N145='Tabla Impacto'!$C$15,N145='Tabla Impacto'!$D$15),"Catastrófico","")))))</f>
        <v/>
      </c>
      <c r="P145" s="417" t="str">
        <f>IF(O145="","",IF(O145="Leve",0.2,IF(O145="Menor",0.4,IF(O145="Moderado",0.6,IF(O145="Mayor",0.8,IF(O145="Catastrófico",1,))))))</f>
        <v/>
      </c>
      <c r="Q145" s="433"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80">
        <v>1</v>
      </c>
      <c r="S145" s="176"/>
      <c r="T145" s="177" t="str">
        <f t="shared" si="194"/>
        <v/>
      </c>
      <c r="U145" s="181"/>
      <c r="V145" s="181"/>
      <c r="W145" s="182" t="str">
        <f t="shared" si="195"/>
        <v/>
      </c>
      <c r="X145" s="181"/>
      <c r="Y145" s="181"/>
      <c r="Z145" s="181"/>
      <c r="AA145" s="156" t="str">
        <f t="shared" si="196"/>
        <v/>
      </c>
      <c r="AB145" s="170" t="str">
        <f t="shared" si="197"/>
        <v/>
      </c>
      <c r="AC145" s="171" t="str">
        <f t="shared" si="198"/>
        <v/>
      </c>
      <c r="AD145" s="170" t="str">
        <f t="shared" si="199"/>
        <v/>
      </c>
      <c r="AE145" s="171" t="str">
        <f t="shared" si="200"/>
        <v/>
      </c>
      <c r="AF145" s="172" t="str">
        <f t="shared" si="201"/>
        <v/>
      </c>
      <c r="AG145" s="173"/>
      <c r="AH145" s="168"/>
      <c r="AI145" s="166"/>
      <c r="AJ145" s="167"/>
      <c r="AK145" s="167"/>
      <c r="AL145" s="168"/>
      <c r="AM145" s="166"/>
    </row>
    <row r="146" spans="1:39" s="165" customFormat="1" ht="151.5" customHeight="1" x14ac:dyDescent="0.35">
      <c r="A146" s="427"/>
      <c r="B146" s="425"/>
      <c r="C146" s="427"/>
      <c r="D146" s="427"/>
      <c r="E146" s="412"/>
      <c r="F146" s="412"/>
      <c r="G146" s="412"/>
      <c r="H146" s="429"/>
      <c r="I146" s="412"/>
      <c r="J146" s="410"/>
      <c r="K146" s="415"/>
      <c r="L146" s="418"/>
      <c r="M146" s="421"/>
      <c r="N146" s="186"/>
      <c r="O146" s="415"/>
      <c r="P146" s="418"/>
      <c r="Q146" s="434"/>
      <c r="R146" s="180">
        <v>2</v>
      </c>
      <c r="S146" s="176"/>
      <c r="T146" s="177" t="str">
        <f t="shared" si="194"/>
        <v/>
      </c>
      <c r="U146" s="181"/>
      <c r="V146" s="181"/>
      <c r="W146" s="182" t="str">
        <f t="shared" si="195"/>
        <v/>
      </c>
      <c r="X146" s="181"/>
      <c r="Y146" s="181"/>
      <c r="Z146" s="181"/>
      <c r="AA146" s="156" t="str">
        <f t="shared" si="196"/>
        <v/>
      </c>
      <c r="AB146" s="170" t="str">
        <f t="shared" si="197"/>
        <v/>
      </c>
      <c r="AC146" s="171" t="str">
        <f t="shared" si="198"/>
        <v/>
      </c>
      <c r="AD146" s="170" t="str">
        <f t="shared" si="199"/>
        <v/>
      </c>
      <c r="AE146" s="171" t="str">
        <f t="shared" si="200"/>
        <v/>
      </c>
      <c r="AF146" s="172" t="str">
        <f t="shared" si="201"/>
        <v/>
      </c>
      <c r="AG146" s="173"/>
      <c r="AH146" s="168"/>
      <c r="AI146" s="166"/>
      <c r="AJ146" s="167"/>
      <c r="AK146" s="167"/>
      <c r="AL146" s="168"/>
      <c r="AM146" s="166"/>
    </row>
    <row r="147" spans="1:39" s="165" customFormat="1" ht="151.5" customHeight="1" x14ac:dyDescent="0.35">
      <c r="A147" s="427"/>
      <c r="B147" s="426"/>
      <c r="C147" s="445"/>
      <c r="D147" s="445"/>
      <c r="E147" s="446"/>
      <c r="F147" s="446"/>
      <c r="G147" s="446"/>
      <c r="H147" s="447"/>
      <c r="I147" s="446"/>
      <c r="J147" s="448"/>
      <c r="K147" s="416"/>
      <c r="L147" s="419"/>
      <c r="M147" s="439"/>
      <c r="N147" s="186"/>
      <c r="O147" s="416"/>
      <c r="P147" s="419"/>
      <c r="Q147" s="435"/>
      <c r="R147" s="180">
        <v>3</v>
      </c>
      <c r="S147" s="176"/>
      <c r="T147" s="177" t="str">
        <f t="shared" si="194"/>
        <v/>
      </c>
      <c r="U147" s="181"/>
      <c r="V147" s="181"/>
      <c r="W147" s="182" t="str">
        <f t="shared" si="195"/>
        <v/>
      </c>
      <c r="X147" s="181"/>
      <c r="Y147" s="181"/>
      <c r="Z147" s="181"/>
      <c r="AA147" s="156" t="str">
        <f t="shared" si="196"/>
        <v/>
      </c>
      <c r="AB147" s="170" t="str">
        <f t="shared" si="197"/>
        <v/>
      </c>
      <c r="AC147" s="171" t="str">
        <f t="shared" si="198"/>
        <v/>
      </c>
      <c r="AD147" s="170" t="str">
        <f t="shared" si="199"/>
        <v/>
      </c>
      <c r="AE147" s="171" t="str">
        <f t="shared" si="200"/>
        <v/>
      </c>
      <c r="AF147" s="172" t="str">
        <f t="shared" si="201"/>
        <v/>
      </c>
      <c r="AG147" s="173"/>
      <c r="AH147" s="168"/>
      <c r="AI147" s="166"/>
      <c r="AJ147" s="167"/>
      <c r="AK147" s="167"/>
      <c r="AL147" s="168"/>
      <c r="AM147" s="166"/>
    </row>
    <row r="148" spans="1:39" s="165" customFormat="1" ht="151.5" customHeight="1" x14ac:dyDescent="0.35">
      <c r="A148" s="427">
        <v>48</v>
      </c>
      <c r="B148" s="424"/>
      <c r="C148" s="436"/>
      <c r="D148" s="436"/>
      <c r="E148" s="411"/>
      <c r="F148" s="411"/>
      <c r="G148" s="411"/>
      <c r="H148" s="428"/>
      <c r="I148" s="411"/>
      <c r="J148" s="409"/>
      <c r="K148" s="414" t="str">
        <f>IF(J148&lt;=0,"",IF(J148&lt;=2,"Muy Baja",IF(J148&lt;=24,"Baja",IF(J148&lt;=500,"Media",IF(J148&lt;=5000,"Alta","Muy Alta")))))</f>
        <v/>
      </c>
      <c r="L148" s="417" t="str">
        <f>IF(K148="","",IF(K148="Muy Baja",0.2,IF(K148="Baja",0.4,IF(K148="Media",0.6,IF(K148="Alta",0.8,IF(K148="Muy Alta",1,))))))</f>
        <v/>
      </c>
      <c r="M148" s="420"/>
      <c r="N148" s="179">
        <f>IF(NOT(ISERROR(MATCH(M148,'Tabla Impacto'!$B$221:$B$223,0))),'Tabla Impacto'!$F$223&amp;"Por favor no seleccionar los criterios de impacto(Afectación Económica o presupuestal y Pérdida Reputacional)",M148)</f>
        <v>0</v>
      </c>
      <c r="O148" s="414" t="str">
        <f>IF(OR(N148='Tabla Impacto'!$C$11,N148='Tabla Impacto'!$D$11),"Leve",IF(OR(N148='Tabla Impacto'!$C$12,N148='Tabla Impacto'!$D$12),"Menor",IF(OR(N148='Tabla Impacto'!$C$13,N148='Tabla Impacto'!$D$13),"Moderado",IF(OR(N148='Tabla Impacto'!$C$14,N148='Tabla Impacto'!$D$14),"Mayor",IF(OR(N148='Tabla Impacto'!$C$15,N148='Tabla Impacto'!$D$15),"Catastrófico","")))))</f>
        <v/>
      </c>
      <c r="P148" s="417" t="str">
        <f>IF(O148="","",IF(O148="Leve",0.2,IF(O148="Menor",0.4,IF(O148="Moderado",0.6,IF(O148="Mayor",0.8,IF(O148="Catastrófico",1,))))))</f>
        <v/>
      </c>
      <c r="Q148" s="433"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80">
        <v>1</v>
      </c>
      <c r="S148" s="176"/>
      <c r="T148" s="177" t="str">
        <f t="shared" si="194"/>
        <v/>
      </c>
      <c r="U148" s="181"/>
      <c r="V148" s="181"/>
      <c r="W148" s="182" t="str">
        <f t="shared" si="195"/>
        <v/>
      </c>
      <c r="X148" s="181"/>
      <c r="Y148" s="181"/>
      <c r="Z148" s="181"/>
      <c r="AA148" s="156" t="str">
        <f t="shared" si="196"/>
        <v/>
      </c>
      <c r="AB148" s="170" t="str">
        <f t="shared" si="197"/>
        <v/>
      </c>
      <c r="AC148" s="171" t="str">
        <f t="shared" si="198"/>
        <v/>
      </c>
      <c r="AD148" s="170" t="str">
        <f t="shared" si="199"/>
        <v/>
      </c>
      <c r="AE148" s="171" t="str">
        <f t="shared" si="200"/>
        <v/>
      </c>
      <c r="AF148" s="172" t="str">
        <f t="shared" si="201"/>
        <v/>
      </c>
      <c r="AG148" s="173"/>
      <c r="AH148" s="168"/>
      <c r="AI148" s="166"/>
      <c r="AJ148" s="167"/>
      <c r="AK148" s="167"/>
      <c r="AL148" s="168"/>
      <c r="AM148" s="166"/>
    </row>
    <row r="149" spans="1:39" s="165" customFormat="1" ht="151.5" customHeight="1" x14ac:dyDescent="0.35">
      <c r="A149" s="427"/>
      <c r="B149" s="425"/>
      <c r="C149" s="427"/>
      <c r="D149" s="427"/>
      <c r="E149" s="412"/>
      <c r="F149" s="412"/>
      <c r="G149" s="412"/>
      <c r="H149" s="429"/>
      <c r="I149" s="412"/>
      <c r="J149" s="410"/>
      <c r="K149" s="415"/>
      <c r="L149" s="418"/>
      <c r="M149" s="421"/>
      <c r="N149" s="186"/>
      <c r="O149" s="415"/>
      <c r="P149" s="418"/>
      <c r="Q149" s="434"/>
      <c r="R149" s="180">
        <v>2</v>
      </c>
      <c r="S149" s="176"/>
      <c r="T149" s="177" t="str">
        <f t="shared" si="194"/>
        <v/>
      </c>
      <c r="U149" s="181"/>
      <c r="V149" s="181"/>
      <c r="W149" s="182" t="str">
        <f t="shared" si="195"/>
        <v/>
      </c>
      <c r="X149" s="181"/>
      <c r="Y149" s="181"/>
      <c r="Z149" s="181"/>
      <c r="AA149" s="156" t="str">
        <f t="shared" si="196"/>
        <v/>
      </c>
      <c r="AB149" s="170" t="str">
        <f t="shared" si="197"/>
        <v/>
      </c>
      <c r="AC149" s="171" t="str">
        <f t="shared" si="198"/>
        <v/>
      </c>
      <c r="AD149" s="170" t="str">
        <f t="shared" si="199"/>
        <v/>
      </c>
      <c r="AE149" s="171" t="str">
        <f t="shared" si="200"/>
        <v/>
      </c>
      <c r="AF149" s="172" t="str">
        <f t="shared" si="201"/>
        <v/>
      </c>
      <c r="AG149" s="173"/>
      <c r="AH149" s="168"/>
      <c r="AI149" s="166"/>
      <c r="AJ149" s="167"/>
      <c r="AK149" s="167"/>
      <c r="AL149" s="168"/>
      <c r="AM149" s="166"/>
    </row>
    <row r="150" spans="1:39" s="165" customFormat="1" ht="151.5" customHeight="1" x14ac:dyDescent="0.35">
      <c r="A150" s="427"/>
      <c r="B150" s="426"/>
      <c r="C150" s="445"/>
      <c r="D150" s="445"/>
      <c r="E150" s="446"/>
      <c r="F150" s="446"/>
      <c r="G150" s="446"/>
      <c r="H150" s="447"/>
      <c r="I150" s="446"/>
      <c r="J150" s="448"/>
      <c r="K150" s="416"/>
      <c r="L150" s="419"/>
      <c r="M150" s="439"/>
      <c r="N150" s="186"/>
      <c r="O150" s="416"/>
      <c r="P150" s="419"/>
      <c r="Q150" s="435"/>
      <c r="R150" s="180">
        <v>3</v>
      </c>
      <c r="S150" s="176"/>
      <c r="T150" s="177" t="str">
        <f t="shared" si="194"/>
        <v/>
      </c>
      <c r="U150" s="181"/>
      <c r="V150" s="181"/>
      <c r="W150" s="182" t="str">
        <f t="shared" si="195"/>
        <v/>
      </c>
      <c r="X150" s="181"/>
      <c r="Y150" s="181"/>
      <c r="Z150" s="181"/>
      <c r="AA150" s="156" t="str">
        <f t="shared" si="196"/>
        <v/>
      </c>
      <c r="AB150" s="170" t="str">
        <f t="shared" si="197"/>
        <v/>
      </c>
      <c r="AC150" s="171" t="str">
        <f t="shared" si="198"/>
        <v/>
      </c>
      <c r="AD150" s="170" t="str">
        <f t="shared" si="199"/>
        <v/>
      </c>
      <c r="AE150" s="171" t="str">
        <f t="shared" si="200"/>
        <v/>
      </c>
      <c r="AF150" s="172" t="str">
        <f t="shared" si="201"/>
        <v/>
      </c>
      <c r="AG150" s="173"/>
      <c r="AH150" s="168"/>
      <c r="AI150" s="166"/>
      <c r="AJ150" s="167"/>
      <c r="AK150" s="167"/>
      <c r="AL150" s="168"/>
      <c r="AM150" s="166"/>
    </row>
    <row r="151" spans="1:39" s="165" customFormat="1" ht="151.5" customHeight="1" x14ac:dyDescent="0.35">
      <c r="A151" s="427">
        <v>49</v>
      </c>
      <c r="B151" s="424"/>
      <c r="C151" s="436"/>
      <c r="D151" s="436"/>
      <c r="E151" s="411"/>
      <c r="F151" s="411"/>
      <c r="G151" s="411"/>
      <c r="H151" s="428"/>
      <c r="I151" s="411"/>
      <c r="J151" s="409"/>
      <c r="K151" s="414" t="str">
        <f>IF(J151&lt;=0,"",IF(J151&lt;=2,"Muy Baja",IF(J151&lt;=24,"Baja",IF(J151&lt;=500,"Media",IF(J151&lt;=5000,"Alta","Muy Alta")))))</f>
        <v/>
      </c>
      <c r="L151" s="417" t="str">
        <f>IF(K151="","",IF(K151="Muy Baja",0.2,IF(K151="Baja",0.4,IF(K151="Media",0.6,IF(K151="Alta",0.8,IF(K151="Muy Alta",1,))))))</f>
        <v/>
      </c>
      <c r="M151" s="420"/>
      <c r="N151" s="179">
        <f>IF(NOT(ISERROR(MATCH(M151,'Tabla Impacto'!$B$221:$B$223,0))),'Tabla Impacto'!$F$223&amp;"Por favor no seleccionar los criterios de impacto(Afectación Económica o presupuestal y Pérdida Reputacional)",M151)</f>
        <v>0</v>
      </c>
      <c r="O151" s="414" t="str">
        <f>IF(OR(N151='Tabla Impacto'!$C$11,N151='Tabla Impacto'!$D$11),"Leve",IF(OR(N151='Tabla Impacto'!$C$12,N151='Tabla Impacto'!$D$12),"Menor",IF(OR(N151='Tabla Impacto'!$C$13,N151='Tabla Impacto'!$D$13),"Moderado",IF(OR(N151='Tabla Impacto'!$C$14,N151='Tabla Impacto'!$D$14),"Mayor",IF(OR(N151='Tabla Impacto'!$C$15,N151='Tabla Impacto'!$D$15),"Catastrófico","")))))</f>
        <v/>
      </c>
      <c r="P151" s="417" t="str">
        <f>IF(O151="","",IF(O151="Leve",0.2,IF(O151="Menor",0.4,IF(O151="Moderado",0.6,IF(O151="Mayor",0.8,IF(O151="Catastrófico",1,))))))</f>
        <v/>
      </c>
      <c r="Q151" s="433"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80">
        <v>1</v>
      </c>
      <c r="S151" s="176"/>
      <c r="T151" s="177" t="str">
        <f t="shared" si="194"/>
        <v/>
      </c>
      <c r="U151" s="181"/>
      <c r="V151" s="181"/>
      <c r="W151" s="182" t="str">
        <f t="shared" si="195"/>
        <v/>
      </c>
      <c r="X151" s="181"/>
      <c r="Y151" s="181"/>
      <c r="Z151" s="181"/>
      <c r="AA151" s="156" t="str">
        <f t="shared" si="196"/>
        <v/>
      </c>
      <c r="AB151" s="170" t="str">
        <f t="shared" si="197"/>
        <v/>
      </c>
      <c r="AC151" s="171" t="str">
        <f t="shared" si="198"/>
        <v/>
      </c>
      <c r="AD151" s="170" t="str">
        <f t="shared" si="199"/>
        <v/>
      </c>
      <c r="AE151" s="171" t="str">
        <f t="shared" si="200"/>
        <v/>
      </c>
      <c r="AF151" s="172" t="str">
        <f t="shared" si="201"/>
        <v/>
      </c>
      <c r="AG151" s="173"/>
      <c r="AH151" s="168"/>
      <c r="AI151" s="166"/>
      <c r="AJ151" s="167"/>
      <c r="AK151" s="167"/>
      <c r="AL151" s="168"/>
      <c r="AM151" s="166"/>
    </row>
    <row r="152" spans="1:39" s="165" customFormat="1" ht="151.5" customHeight="1" x14ac:dyDescent="0.35">
      <c r="A152" s="427"/>
      <c r="B152" s="425"/>
      <c r="C152" s="427"/>
      <c r="D152" s="427"/>
      <c r="E152" s="412"/>
      <c r="F152" s="412"/>
      <c r="G152" s="412"/>
      <c r="H152" s="429"/>
      <c r="I152" s="412"/>
      <c r="J152" s="410"/>
      <c r="K152" s="415"/>
      <c r="L152" s="418"/>
      <c r="M152" s="421"/>
      <c r="N152" s="186"/>
      <c r="O152" s="415"/>
      <c r="P152" s="418"/>
      <c r="Q152" s="434"/>
      <c r="R152" s="180">
        <v>2</v>
      </c>
      <c r="S152" s="176"/>
      <c r="T152" s="177" t="str">
        <f t="shared" si="194"/>
        <v/>
      </c>
      <c r="U152" s="181"/>
      <c r="V152" s="181"/>
      <c r="W152" s="182" t="str">
        <f t="shared" si="195"/>
        <v/>
      </c>
      <c r="X152" s="181"/>
      <c r="Y152" s="181"/>
      <c r="Z152" s="181"/>
      <c r="AA152" s="156" t="str">
        <f t="shared" si="196"/>
        <v/>
      </c>
      <c r="AB152" s="170" t="str">
        <f t="shared" si="197"/>
        <v/>
      </c>
      <c r="AC152" s="171" t="str">
        <f t="shared" si="198"/>
        <v/>
      </c>
      <c r="AD152" s="170" t="str">
        <f t="shared" si="199"/>
        <v/>
      </c>
      <c r="AE152" s="171" t="str">
        <f t="shared" si="200"/>
        <v/>
      </c>
      <c r="AF152" s="172" t="str">
        <f t="shared" si="201"/>
        <v/>
      </c>
      <c r="AG152" s="173"/>
      <c r="AH152" s="168"/>
      <c r="AI152" s="166"/>
      <c r="AJ152" s="167"/>
      <c r="AK152" s="167"/>
      <c r="AL152" s="168"/>
      <c r="AM152" s="166"/>
    </row>
    <row r="153" spans="1:39" s="165" customFormat="1" ht="151.5" customHeight="1" x14ac:dyDescent="0.35">
      <c r="A153" s="427"/>
      <c r="B153" s="426"/>
      <c r="C153" s="445"/>
      <c r="D153" s="445"/>
      <c r="E153" s="446"/>
      <c r="F153" s="446"/>
      <c r="G153" s="446"/>
      <c r="H153" s="447"/>
      <c r="I153" s="446"/>
      <c r="J153" s="448"/>
      <c r="K153" s="416"/>
      <c r="L153" s="419"/>
      <c r="M153" s="439"/>
      <c r="N153" s="186"/>
      <c r="O153" s="416"/>
      <c r="P153" s="419"/>
      <c r="Q153" s="435"/>
      <c r="R153" s="180">
        <v>3</v>
      </c>
      <c r="S153" s="176"/>
      <c r="T153" s="177" t="str">
        <f t="shared" si="194"/>
        <v/>
      </c>
      <c r="U153" s="181"/>
      <c r="V153" s="181"/>
      <c r="W153" s="182" t="str">
        <f t="shared" si="195"/>
        <v/>
      </c>
      <c r="X153" s="181"/>
      <c r="Y153" s="181"/>
      <c r="Z153" s="181"/>
      <c r="AA153" s="156" t="str">
        <f t="shared" si="196"/>
        <v/>
      </c>
      <c r="AB153" s="170" t="str">
        <f t="shared" si="197"/>
        <v/>
      </c>
      <c r="AC153" s="171" t="str">
        <f t="shared" si="198"/>
        <v/>
      </c>
      <c r="AD153" s="170" t="str">
        <f t="shared" si="199"/>
        <v/>
      </c>
      <c r="AE153" s="171" t="str">
        <f t="shared" si="200"/>
        <v/>
      </c>
      <c r="AF153" s="172" t="str">
        <f t="shared" si="201"/>
        <v/>
      </c>
      <c r="AG153" s="173"/>
      <c r="AH153" s="168"/>
      <c r="AI153" s="166"/>
      <c r="AJ153" s="167"/>
      <c r="AK153" s="167"/>
      <c r="AL153" s="168"/>
      <c r="AM153" s="166"/>
    </row>
    <row r="154" spans="1:39" s="165" customFormat="1" ht="151.5" customHeight="1" x14ac:dyDescent="0.35">
      <c r="A154" s="427">
        <v>50</v>
      </c>
      <c r="B154" s="424"/>
      <c r="C154" s="436"/>
      <c r="D154" s="436"/>
      <c r="E154" s="411"/>
      <c r="F154" s="411"/>
      <c r="G154" s="411"/>
      <c r="H154" s="428"/>
      <c r="I154" s="411"/>
      <c r="J154" s="409"/>
      <c r="K154" s="414" t="str">
        <f>IF(J154&lt;=0,"",IF(J154&lt;=2,"Muy Baja",IF(J154&lt;=24,"Baja",IF(J154&lt;=500,"Media",IF(J154&lt;=5000,"Alta","Muy Alta")))))</f>
        <v/>
      </c>
      <c r="L154" s="417" t="str">
        <f>IF(K154="","",IF(K154="Muy Baja",0.2,IF(K154="Baja",0.4,IF(K154="Media",0.6,IF(K154="Alta",0.8,IF(K154="Muy Alta",1,))))))</f>
        <v/>
      </c>
      <c r="M154" s="420"/>
      <c r="N154" s="179">
        <f>IF(NOT(ISERROR(MATCH(M154,'Tabla Impacto'!$B$221:$B$223,0))),'Tabla Impacto'!$F$223&amp;"Por favor no seleccionar los criterios de impacto(Afectación Económica o presupuestal y Pérdida Reputacional)",M154)</f>
        <v>0</v>
      </c>
      <c r="O154" s="414" t="str">
        <f>IF(OR(N154='Tabla Impacto'!$C$11,N154='Tabla Impacto'!$D$11),"Leve",IF(OR(N154='Tabla Impacto'!$C$12,N154='Tabla Impacto'!$D$12),"Menor",IF(OR(N154='Tabla Impacto'!$C$13,N154='Tabla Impacto'!$D$13),"Moderado",IF(OR(N154='Tabla Impacto'!$C$14,N154='Tabla Impacto'!$D$14),"Mayor",IF(OR(N154='Tabla Impacto'!$C$15,N154='Tabla Impacto'!$D$15),"Catastrófico","")))))</f>
        <v/>
      </c>
      <c r="P154" s="417" t="str">
        <f>IF(O154="","",IF(O154="Leve",0.2,IF(O154="Menor",0.4,IF(O154="Moderado",0.6,IF(O154="Mayor",0.8,IF(O154="Catastrófico",1,))))))</f>
        <v/>
      </c>
      <c r="Q154" s="433" t="str">
        <f>IF(OR(AND(K154="Muy Baja",O154="Leve"),AND(K154="Muy Baja",O154="Menor"),AND(K154="Baja",O154="Leve")),"Bajo",IF(OR(AND(K154="Muy baja",O154="Moderado"),AND(K154="Baja",O154="Menor"),AND(K154="Baja",O154="Moderado"),AND(K154="Media",O154="Leve"),AND(K154="Media",O154="Menor"),AND(K154="Media",O154="Moderado"),AND(K154="Alta",O154="Leve"),AND(K154="Alta",O154="Menor")),"Moderado",IF(OR(AND(K154="Muy Baja",O154="Mayor"),AND(K154="Baja",O154="Mayor"),AND(K154="Media",O154="Mayor"),AND(K154="Alta",O154="Moderado"),AND(K154="Alta",O154="Mayor"),AND(K154="Muy Alta",O154="Leve"),AND(K154="Muy Alta",O154="Menor"),AND(K154="Muy Alta",O154="Moderado"),AND(K154="Muy Alta",O154="Mayor")),"Alto",IF(OR(AND(K154="Muy Baja",O154="Catastrófico"),AND(K154="Baja",O154="Catastrófico"),AND(K154="Media",O154="Catastrófico"),AND(K154="Alta",O154="Catastrófico"),AND(K154="Muy Alta",O154="Catastrófico")),"Extremo",""))))</f>
        <v/>
      </c>
      <c r="R154" s="180">
        <v>1</v>
      </c>
      <c r="S154" s="176"/>
      <c r="T154" s="177" t="str">
        <f t="shared" si="194"/>
        <v/>
      </c>
      <c r="U154" s="181"/>
      <c r="V154" s="181"/>
      <c r="W154" s="182" t="str">
        <f t="shared" si="195"/>
        <v/>
      </c>
      <c r="X154" s="181"/>
      <c r="Y154" s="181"/>
      <c r="Z154" s="181"/>
      <c r="AA154" s="156" t="str">
        <f t="shared" si="196"/>
        <v/>
      </c>
      <c r="AB154" s="170" t="str">
        <f t="shared" si="197"/>
        <v/>
      </c>
      <c r="AC154" s="171" t="str">
        <f t="shared" si="198"/>
        <v/>
      </c>
      <c r="AD154" s="170" t="str">
        <f t="shared" si="199"/>
        <v/>
      </c>
      <c r="AE154" s="171" t="str">
        <f t="shared" si="200"/>
        <v/>
      </c>
      <c r="AF154" s="172" t="str">
        <f t="shared" si="201"/>
        <v/>
      </c>
      <c r="AG154" s="173"/>
      <c r="AH154" s="168"/>
      <c r="AI154" s="166"/>
      <c r="AJ154" s="167"/>
      <c r="AK154" s="167"/>
      <c r="AL154" s="168"/>
      <c r="AM154" s="166"/>
    </row>
    <row r="155" spans="1:39" s="165" customFormat="1" ht="151.5" customHeight="1" x14ac:dyDescent="0.35">
      <c r="A155" s="427"/>
      <c r="B155" s="425"/>
      <c r="C155" s="427"/>
      <c r="D155" s="427"/>
      <c r="E155" s="412"/>
      <c r="F155" s="412"/>
      <c r="G155" s="412"/>
      <c r="H155" s="429"/>
      <c r="I155" s="412"/>
      <c r="J155" s="410"/>
      <c r="K155" s="415"/>
      <c r="L155" s="418"/>
      <c r="M155" s="421"/>
      <c r="N155" s="186"/>
      <c r="O155" s="415"/>
      <c r="P155" s="418"/>
      <c r="Q155" s="434"/>
      <c r="R155" s="180">
        <v>2</v>
      </c>
      <c r="S155" s="176"/>
      <c r="T155" s="177" t="str">
        <f t="shared" si="194"/>
        <v/>
      </c>
      <c r="U155" s="181"/>
      <c r="V155" s="181"/>
      <c r="W155" s="182" t="str">
        <f t="shared" si="195"/>
        <v/>
      </c>
      <c r="X155" s="181"/>
      <c r="Y155" s="181"/>
      <c r="Z155" s="181"/>
      <c r="AA155" s="156" t="str">
        <f t="shared" si="196"/>
        <v/>
      </c>
      <c r="AB155" s="170" t="str">
        <f t="shared" si="197"/>
        <v/>
      </c>
      <c r="AC155" s="171" t="str">
        <f t="shared" si="198"/>
        <v/>
      </c>
      <c r="AD155" s="170" t="str">
        <f t="shared" si="199"/>
        <v/>
      </c>
      <c r="AE155" s="171" t="str">
        <f t="shared" si="200"/>
        <v/>
      </c>
      <c r="AF155" s="172" t="str">
        <f t="shared" si="201"/>
        <v/>
      </c>
      <c r="AG155" s="173"/>
      <c r="AH155" s="168"/>
      <c r="AI155" s="166"/>
      <c r="AJ155" s="167"/>
      <c r="AK155" s="167"/>
      <c r="AL155" s="168"/>
      <c r="AM155" s="166"/>
    </row>
    <row r="156" spans="1:39" s="165" customFormat="1" ht="151.5" customHeight="1" x14ac:dyDescent="0.35">
      <c r="A156" s="445"/>
      <c r="B156" s="426"/>
      <c r="C156" s="445"/>
      <c r="D156" s="445"/>
      <c r="E156" s="446"/>
      <c r="F156" s="446"/>
      <c r="G156" s="446"/>
      <c r="H156" s="447"/>
      <c r="I156" s="446"/>
      <c r="J156" s="448"/>
      <c r="K156" s="416"/>
      <c r="L156" s="419"/>
      <c r="M156" s="439"/>
      <c r="N156" s="186"/>
      <c r="O156" s="416"/>
      <c r="P156" s="419"/>
      <c r="Q156" s="435"/>
      <c r="R156" s="180">
        <v>3</v>
      </c>
      <c r="S156" s="176"/>
      <c r="T156" s="177" t="str">
        <f t="shared" si="194"/>
        <v/>
      </c>
      <c r="U156" s="181"/>
      <c r="V156" s="181"/>
      <c r="W156" s="182" t="str">
        <f t="shared" si="195"/>
        <v/>
      </c>
      <c r="X156" s="181"/>
      <c r="Y156" s="181"/>
      <c r="Z156" s="181"/>
      <c r="AA156" s="156" t="str">
        <f t="shared" si="196"/>
        <v/>
      </c>
      <c r="AB156" s="170" t="str">
        <f t="shared" si="197"/>
        <v/>
      </c>
      <c r="AC156" s="171" t="str">
        <f t="shared" si="198"/>
        <v/>
      </c>
      <c r="AD156" s="170" t="str">
        <f t="shared" si="199"/>
        <v/>
      </c>
      <c r="AE156" s="171" t="str">
        <f t="shared" si="200"/>
        <v/>
      </c>
      <c r="AF156" s="172" t="str">
        <f t="shared" si="201"/>
        <v/>
      </c>
      <c r="AG156" s="173"/>
      <c r="AH156" s="168"/>
      <c r="AI156" s="166"/>
      <c r="AJ156" s="167"/>
      <c r="AK156" s="167"/>
      <c r="AL156" s="168"/>
      <c r="AM156" s="166"/>
    </row>
    <row r="157" spans="1:39" ht="49.5" customHeight="1" x14ac:dyDescent="0.35">
      <c r="A157" s="3"/>
      <c r="B157" s="97"/>
      <c r="C157" s="97"/>
      <c r="D157" s="97"/>
      <c r="E157" s="380" t="s">
        <v>548</v>
      </c>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2"/>
    </row>
    <row r="159" spans="1:39" x14ac:dyDescent="0.35">
      <c r="A159" s="2"/>
      <c r="B159" s="2"/>
      <c r="C159" s="2"/>
      <c r="D159" s="2"/>
      <c r="E159" s="20" t="s">
        <v>359</v>
      </c>
      <c r="F159" s="2"/>
      <c r="G159" s="2"/>
    </row>
  </sheetData>
  <dataConsolidate/>
  <mergeCells count="843">
    <mergeCell ref="B142:B144"/>
    <mergeCell ref="A142:A144"/>
    <mergeCell ref="O103:O105"/>
    <mergeCell ref="P103:P105"/>
    <mergeCell ref="Q103:Q105"/>
    <mergeCell ref="J142:J144"/>
    <mergeCell ref="I142:I144"/>
    <mergeCell ref="H142:H144"/>
    <mergeCell ref="G142:G144"/>
    <mergeCell ref="F142:F144"/>
    <mergeCell ref="E142:E144"/>
    <mergeCell ref="B103:B105"/>
    <mergeCell ref="C103:C105"/>
    <mergeCell ref="D103:D105"/>
    <mergeCell ref="E103:E105"/>
    <mergeCell ref="F103:F105"/>
    <mergeCell ref="G103:G105"/>
    <mergeCell ref="H103:H105"/>
    <mergeCell ref="I103:I105"/>
    <mergeCell ref="J103:J105"/>
    <mergeCell ref="K142:K144"/>
    <mergeCell ref="L142:L144"/>
    <mergeCell ref="O142:O144"/>
    <mergeCell ref="P142:P144"/>
    <mergeCell ref="K151:K153"/>
    <mergeCell ref="L151:L153"/>
    <mergeCell ref="M151:M153"/>
    <mergeCell ref="O151:O153"/>
    <mergeCell ref="P151:P153"/>
    <mergeCell ref="Q151:Q153"/>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O154:O156"/>
    <mergeCell ref="P154:P156"/>
    <mergeCell ref="Q154:Q156"/>
    <mergeCell ref="A151:A153"/>
    <mergeCell ref="B151:B153"/>
    <mergeCell ref="C151:C153"/>
    <mergeCell ref="D151:D153"/>
    <mergeCell ref="E151:E153"/>
    <mergeCell ref="F151:F153"/>
    <mergeCell ref="G151:G153"/>
    <mergeCell ref="H151:H153"/>
    <mergeCell ref="I151:I153"/>
    <mergeCell ref="J145:J147"/>
    <mergeCell ref="C145:C147"/>
    <mergeCell ref="D145:D147"/>
    <mergeCell ref="E145:E147"/>
    <mergeCell ref="F145:F147"/>
    <mergeCell ref="G145:G147"/>
    <mergeCell ref="H145:H147"/>
    <mergeCell ref="I145:I147"/>
    <mergeCell ref="J151:J153"/>
    <mergeCell ref="J148:J150"/>
    <mergeCell ref="K148:K150"/>
    <mergeCell ref="L148:L150"/>
    <mergeCell ref="M148:M150"/>
    <mergeCell ref="O148:O150"/>
    <mergeCell ref="P148:P150"/>
    <mergeCell ref="Q148:Q150"/>
    <mergeCell ref="A145:A147"/>
    <mergeCell ref="B145:B147"/>
    <mergeCell ref="A148:A150"/>
    <mergeCell ref="B148:B150"/>
    <mergeCell ref="C148:C150"/>
    <mergeCell ref="D148:D150"/>
    <mergeCell ref="E148:E150"/>
    <mergeCell ref="F148:F150"/>
    <mergeCell ref="G148:G150"/>
    <mergeCell ref="H148:H150"/>
    <mergeCell ref="I148:I150"/>
    <mergeCell ref="Q142:Q144"/>
    <mergeCell ref="K145:K147"/>
    <mergeCell ref="L145:L147"/>
    <mergeCell ref="M145:M147"/>
    <mergeCell ref="O145:O147"/>
    <mergeCell ref="P145:P147"/>
    <mergeCell ref="Q145:Q147"/>
    <mergeCell ref="C136:C138"/>
    <mergeCell ref="D136:D138"/>
    <mergeCell ref="E136:E138"/>
    <mergeCell ref="F136:F138"/>
    <mergeCell ref="G136:G138"/>
    <mergeCell ref="H136:H138"/>
    <mergeCell ref="I136:I138"/>
    <mergeCell ref="K136:K138"/>
    <mergeCell ref="M142:M144"/>
    <mergeCell ref="D142:D144"/>
    <mergeCell ref="C142:C144"/>
    <mergeCell ref="L136:L138"/>
    <mergeCell ref="M136:M138"/>
    <mergeCell ref="O136:O138"/>
    <mergeCell ref="P136:P138"/>
    <mergeCell ref="Q136:Q138"/>
    <mergeCell ref="J139:J141"/>
    <mergeCell ref="K139:K141"/>
    <mergeCell ref="L139:L141"/>
    <mergeCell ref="M139:M141"/>
    <mergeCell ref="O139:O141"/>
    <mergeCell ref="P139:P141"/>
    <mergeCell ref="Q139:Q141"/>
    <mergeCell ref="A136:A138"/>
    <mergeCell ref="B136:B138"/>
    <mergeCell ref="J136:J138"/>
    <mergeCell ref="A139:A141"/>
    <mergeCell ref="B139:B141"/>
    <mergeCell ref="C139:C141"/>
    <mergeCell ref="D139:D141"/>
    <mergeCell ref="E139:E141"/>
    <mergeCell ref="F139:F141"/>
    <mergeCell ref="G139:G141"/>
    <mergeCell ref="H139:H141"/>
    <mergeCell ref="I139:I141"/>
    <mergeCell ref="J130:J132"/>
    <mergeCell ref="K130:K132"/>
    <mergeCell ref="L130:L132"/>
    <mergeCell ref="M130:M132"/>
    <mergeCell ref="O130:O132"/>
    <mergeCell ref="P130:P132"/>
    <mergeCell ref="Q130:Q132"/>
    <mergeCell ref="A133:A135"/>
    <mergeCell ref="B133:B135"/>
    <mergeCell ref="C133:C135"/>
    <mergeCell ref="D133:D135"/>
    <mergeCell ref="E133:E135"/>
    <mergeCell ref="F133:F135"/>
    <mergeCell ref="G133:G135"/>
    <mergeCell ref="H133:H135"/>
    <mergeCell ref="I133:I135"/>
    <mergeCell ref="J133:J135"/>
    <mergeCell ref="K133:K135"/>
    <mergeCell ref="L133:L135"/>
    <mergeCell ref="M133:M135"/>
    <mergeCell ref="O133:O135"/>
    <mergeCell ref="P133:P135"/>
    <mergeCell ref="Q133:Q135"/>
    <mergeCell ref="A130:A132"/>
    <mergeCell ref="B130:B132"/>
    <mergeCell ref="C130:C132"/>
    <mergeCell ref="D130:D132"/>
    <mergeCell ref="E130:E132"/>
    <mergeCell ref="F130:F132"/>
    <mergeCell ref="G130:G132"/>
    <mergeCell ref="H130:H132"/>
    <mergeCell ref="I130:I132"/>
    <mergeCell ref="Q112:Q114"/>
    <mergeCell ref="O115:O117"/>
    <mergeCell ref="P115:P117"/>
    <mergeCell ref="Q115:Q117"/>
    <mergeCell ref="O118:O120"/>
    <mergeCell ref="P118:P120"/>
    <mergeCell ref="Q118:Q120"/>
    <mergeCell ref="K112:K114"/>
    <mergeCell ref="L112:L114"/>
    <mergeCell ref="M112:M114"/>
    <mergeCell ref="O112:O114"/>
    <mergeCell ref="P112:P114"/>
    <mergeCell ref="M118:M120"/>
    <mergeCell ref="L118:L120"/>
    <mergeCell ref="K118:K120"/>
    <mergeCell ref="F112:F114"/>
    <mergeCell ref="G112:G114"/>
    <mergeCell ref="H112:H114"/>
    <mergeCell ref="I112:I114"/>
    <mergeCell ref="J112:J114"/>
    <mergeCell ref="A112:A114"/>
    <mergeCell ref="B112:B114"/>
    <mergeCell ref="C112:C114"/>
    <mergeCell ref="D112:D114"/>
    <mergeCell ref="E112:E114"/>
    <mergeCell ref="Q124:Q126"/>
    <mergeCell ref="P124:P126"/>
    <mergeCell ref="O124:O126"/>
    <mergeCell ref="M124:M126"/>
    <mergeCell ref="M121:M123"/>
    <mergeCell ref="O121:O123"/>
    <mergeCell ref="P121:P123"/>
    <mergeCell ref="Q121:Q123"/>
    <mergeCell ref="H121:H123"/>
    <mergeCell ref="I121:I123"/>
    <mergeCell ref="J121:J123"/>
    <mergeCell ref="K121:K123"/>
    <mergeCell ref="L121:L123"/>
    <mergeCell ref="K124:K126"/>
    <mergeCell ref="L124:L126"/>
    <mergeCell ref="H124:H126"/>
    <mergeCell ref="I124:I126"/>
    <mergeCell ref="J124:J126"/>
    <mergeCell ref="M109:M111"/>
    <mergeCell ref="O109:O111"/>
    <mergeCell ref="P109:P111"/>
    <mergeCell ref="Q109:Q111"/>
    <mergeCell ref="L106:L108"/>
    <mergeCell ref="M106:M108"/>
    <mergeCell ref="O106:O108"/>
    <mergeCell ref="P106:P108"/>
    <mergeCell ref="Q106:Q108"/>
    <mergeCell ref="K103:K105"/>
    <mergeCell ref="L103:L105"/>
    <mergeCell ref="K100:K102"/>
    <mergeCell ref="L100:L102"/>
    <mergeCell ref="M100:M102"/>
    <mergeCell ref="N100:N102"/>
    <mergeCell ref="N103:N105"/>
    <mergeCell ref="M103:M105"/>
    <mergeCell ref="B106:B108"/>
    <mergeCell ref="C106:C108"/>
    <mergeCell ref="D106:D108"/>
    <mergeCell ref="E106:E108"/>
    <mergeCell ref="F106:F108"/>
    <mergeCell ref="G106:G108"/>
    <mergeCell ref="H106:H108"/>
    <mergeCell ref="I106:I108"/>
    <mergeCell ref="J106:J108"/>
    <mergeCell ref="K106:K108"/>
    <mergeCell ref="G100:G102"/>
    <mergeCell ref="H100:H102"/>
    <mergeCell ref="I100:I102"/>
    <mergeCell ref="L97:L99"/>
    <mergeCell ref="M97:M99"/>
    <mergeCell ref="O97:O99"/>
    <mergeCell ref="P97:P99"/>
    <mergeCell ref="B100:B102"/>
    <mergeCell ref="Q97:Q99"/>
    <mergeCell ref="G97:G99"/>
    <mergeCell ref="H97:H99"/>
    <mergeCell ref="I97:I99"/>
    <mergeCell ref="J97:J99"/>
    <mergeCell ref="K97:K99"/>
    <mergeCell ref="B97:B99"/>
    <mergeCell ref="C97:C99"/>
    <mergeCell ref="D97:D99"/>
    <mergeCell ref="E97:E99"/>
    <mergeCell ref="F97:F99"/>
    <mergeCell ref="J100:J102"/>
    <mergeCell ref="O100:O102"/>
    <mergeCell ref="P100:P102"/>
    <mergeCell ref="Q100:Q102"/>
    <mergeCell ref="C100:C102"/>
    <mergeCell ref="D100:D102"/>
    <mergeCell ref="E100:E102"/>
    <mergeCell ref="F100:F102"/>
    <mergeCell ref="F94:F96"/>
    <mergeCell ref="E94:E96"/>
    <mergeCell ref="D94:D96"/>
    <mergeCell ref="C94:C96"/>
    <mergeCell ref="B94:B96"/>
    <mergeCell ref="K94:K96"/>
    <mergeCell ref="J94:J96"/>
    <mergeCell ref="I94:I96"/>
    <mergeCell ref="H94:H96"/>
    <mergeCell ref="G94:G96"/>
    <mergeCell ref="Q94:Q96"/>
    <mergeCell ref="P94:P96"/>
    <mergeCell ref="O94:O96"/>
    <mergeCell ref="M94:M96"/>
    <mergeCell ref="L94:L96"/>
    <mergeCell ref="L91:L93"/>
    <mergeCell ref="M91:M93"/>
    <mergeCell ref="O91:O93"/>
    <mergeCell ref="P91:P93"/>
    <mergeCell ref="Q91:Q93"/>
    <mergeCell ref="G91:G93"/>
    <mergeCell ref="H91:H93"/>
    <mergeCell ref="I91:I93"/>
    <mergeCell ref="J91:J93"/>
    <mergeCell ref="K91:K93"/>
    <mergeCell ref="B91:B93"/>
    <mergeCell ref="C91:C93"/>
    <mergeCell ref="D91:D93"/>
    <mergeCell ref="E91:E93"/>
    <mergeCell ref="F91:F93"/>
    <mergeCell ref="L88:L90"/>
    <mergeCell ref="M88:M90"/>
    <mergeCell ref="O88:O90"/>
    <mergeCell ref="P88:P90"/>
    <mergeCell ref="Q88:Q90"/>
    <mergeCell ref="G88:G90"/>
    <mergeCell ref="H88:H90"/>
    <mergeCell ref="I88:I90"/>
    <mergeCell ref="J88:J90"/>
    <mergeCell ref="K88:K90"/>
    <mergeCell ref="B88:B90"/>
    <mergeCell ref="C88:C90"/>
    <mergeCell ref="D88:D90"/>
    <mergeCell ref="E88:E90"/>
    <mergeCell ref="F88:F90"/>
    <mergeCell ref="F82:F84"/>
    <mergeCell ref="E82:E84"/>
    <mergeCell ref="D82:D84"/>
    <mergeCell ref="C82:C84"/>
    <mergeCell ref="B82:B84"/>
    <mergeCell ref="B85:B87"/>
    <mergeCell ref="C85:C87"/>
    <mergeCell ref="D85:D87"/>
    <mergeCell ref="E85:E87"/>
    <mergeCell ref="F85:F87"/>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67:P69"/>
    <mergeCell ref="Q67:Q69"/>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67:I69"/>
    <mergeCell ref="J67:J69"/>
    <mergeCell ref="K67:K69"/>
    <mergeCell ref="L67:L69"/>
    <mergeCell ref="M67:M69"/>
    <mergeCell ref="D67:D69"/>
    <mergeCell ref="E67:E69"/>
    <mergeCell ref="F67:F69"/>
    <mergeCell ref="K61:K63"/>
    <mergeCell ref="L61:L63"/>
    <mergeCell ref="M61:M63"/>
    <mergeCell ref="D61:D63"/>
    <mergeCell ref="E61:E63"/>
    <mergeCell ref="F61:F63"/>
    <mergeCell ref="G61:G63"/>
    <mergeCell ref="H61:H63"/>
    <mergeCell ref="G67:G69"/>
    <mergeCell ref="H67:H69"/>
    <mergeCell ref="I64:I66"/>
    <mergeCell ref="J64:J66"/>
    <mergeCell ref="K64:K66"/>
    <mergeCell ref="L64:L66"/>
    <mergeCell ref="M64:M66"/>
    <mergeCell ref="D64:D66"/>
    <mergeCell ref="E64:E66"/>
    <mergeCell ref="F64:F66"/>
    <mergeCell ref="G64:G66"/>
    <mergeCell ref="H64:H66"/>
    <mergeCell ref="A67:A69"/>
    <mergeCell ref="A64:A66"/>
    <mergeCell ref="A61:A63"/>
    <mergeCell ref="B61:B63"/>
    <mergeCell ref="C61:C63"/>
    <mergeCell ref="B64:B66"/>
    <mergeCell ref="C64:C66"/>
    <mergeCell ref="B67:B69"/>
    <mergeCell ref="C67:C69"/>
    <mergeCell ref="A88:A90"/>
    <mergeCell ref="A82:A84"/>
    <mergeCell ref="A79:A81"/>
    <mergeCell ref="A76:A78"/>
    <mergeCell ref="A73:A75"/>
    <mergeCell ref="A106:A108"/>
    <mergeCell ref="A97:A99"/>
    <mergeCell ref="A94:A96"/>
    <mergeCell ref="A91:A93"/>
    <mergeCell ref="A85:A87"/>
    <mergeCell ref="A100:A102"/>
    <mergeCell ref="A103:A105"/>
    <mergeCell ref="M127:M129"/>
    <mergeCell ref="O127:O129"/>
    <mergeCell ref="P127:P129"/>
    <mergeCell ref="Q127:Q129"/>
    <mergeCell ref="A109:A111"/>
    <mergeCell ref="B109:B111"/>
    <mergeCell ref="C109:C111"/>
    <mergeCell ref="D109:D111"/>
    <mergeCell ref="E109:E111"/>
    <mergeCell ref="F109:F111"/>
    <mergeCell ref="G109:G111"/>
    <mergeCell ref="H109:H111"/>
    <mergeCell ref="I109:I111"/>
    <mergeCell ref="J109:J111"/>
    <mergeCell ref="K109:K111"/>
    <mergeCell ref="L109:L111"/>
    <mergeCell ref="H127:H129"/>
    <mergeCell ref="I127:I129"/>
    <mergeCell ref="J127:J129"/>
    <mergeCell ref="K127:K129"/>
    <mergeCell ref="L127:L129"/>
    <mergeCell ref="A127:A129"/>
    <mergeCell ref="B127:B129"/>
    <mergeCell ref="C127:C129"/>
    <mergeCell ref="D127:D129"/>
    <mergeCell ref="E127:E129"/>
    <mergeCell ref="F127:F129"/>
    <mergeCell ref="G127:G129"/>
    <mergeCell ref="A121:A123"/>
    <mergeCell ref="B121:B123"/>
    <mergeCell ref="C121:C123"/>
    <mergeCell ref="D121:D123"/>
    <mergeCell ref="E121:E123"/>
    <mergeCell ref="F121:F123"/>
    <mergeCell ref="G121:G123"/>
    <mergeCell ref="F124:F126"/>
    <mergeCell ref="G124:G126"/>
    <mergeCell ref="A124:A126"/>
    <mergeCell ref="B124:B126"/>
    <mergeCell ref="C124:C126"/>
    <mergeCell ref="D124:D126"/>
    <mergeCell ref="E124:E126"/>
    <mergeCell ref="C118:C120"/>
    <mergeCell ref="B118:B120"/>
    <mergeCell ref="A118:A120"/>
    <mergeCell ref="A115:A117"/>
    <mergeCell ref="B115:B117"/>
    <mergeCell ref="C115:C117"/>
    <mergeCell ref="H118:H120"/>
    <mergeCell ref="G118:G120"/>
    <mergeCell ref="F118:F120"/>
    <mergeCell ref="E118:E120"/>
    <mergeCell ref="D118:D120"/>
    <mergeCell ref="D115:D117"/>
    <mergeCell ref="E115:E117"/>
    <mergeCell ref="F115:F117"/>
    <mergeCell ref="G115:G117"/>
    <mergeCell ref="H115:H117"/>
    <mergeCell ref="J118:J120"/>
    <mergeCell ref="I118:I120"/>
    <mergeCell ref="O58:O60"/>
    <mergeCell ref="P58:P60"/>
    <mergeCell ref="Q58:Q60"/>
    <mergeCell ref="O61:O63"/>
    <mergeCell ref="P61:P63"/>
    <mergeCell ref="Q61:Q63"/>
    <mergeCell ref="O64:O66"/>
    <mergeCell ref="P64:P66"/>
    <mergeCell ref="Q64:Q66"/>
    <mergeCell ref="O67:O69"/>
    <mergeCell ref="I58:I60"/>
    <mergeCell ref="J58:J60"/>
    <mergeCell ref="K58:K60"/>
    <mergeCell ref="L58:L60"/>
    <mergeCell ref="M58:M60"/>
    <mergeCell ref="I115:I117"/>
    <mergeCell ref="J115:J117"/>
    <mergeCell ref="K115:K117"/>
    <mergeCell ref="L115:L117"/>
    <mergeCell ref="M115:M117"/>
    <mergeCell ref="I61:I63"/>
    <mergeCell ref="J61:J63"/>
    <mergeCell ref="C55:C57"/>
    <mergeCell ref="B55:B57"/>
    <mergeCell ref="A55:A57"/>
    <mergeCell ref="A58:A60"/>
    <mergeCell ref="B58:B60"/>
    <mergeCell ref="C58:C60"/>
    <mergeCell ref="H55:H57"/>
    <mergeCell ref="G55:G57"/>
    <mergeCell ref="F55:F57"/>
    <mergeCell ref="E55:E57"/>
    <mergeCell ref="D55:D57"/>
    <mergeCell ref="I55:I57"/>
    <mergeCell ref="P52:P54"/>
    <mergeCell ref="Q52:Q54"/>
    <mergeCell ref="Q55:Q57"/>
    <mergeCell ref="P55:P57"/>
    <mergeCell ref="O55:O57"/>
    <mergeCell ref="D58:D60"/>
    <mergeCell ref="E58:E60"/>
    <mergeCell ref="F58:F60"/>
    <mergeCell ref="G58:G60"/>
    <mergeCell ref="H58:H60"/>
    <mergeCell ref="J52:J54"/>
    <mergeCell ref="K52:K54"/>
    <mergeCell ref="L52:L54"/>
    <mergeCell ref="M52:M54"/>
    <mergeCell ref="O52:O54"/>
    <mergeCell ref="M55:M57"/>
    <mergeCell ref="L55:L57"/>
    <mergeCell ref="K55:K57"/>
    <mergeCell ref="J55:J57"/>
    <mergeCell ref="J49:J51"/>
    <mergeCell ref="K49:K51"/>
    <mergeCell ref="L49:L51"/>
    <mergeCell ref="M49:M51"/>
    <mergeCell ref="O49:O51"/>
    <mergeCell ref="P49:P51"/>
    <mergeCell ref="Q49:Q51"/>
    <mergeCell ref="A46:A48"/>
    <mergeCell ref="A52:A54"/>
    <mergeCell ref="B52:B54"/>
    <mergeCell ref="C52:C54"/>
    <mergeCell ref="D52:D54"/>
    <mergeCell ref="E52:E54"/>
    <mergeCell ref="F52:F54"/>
    <mergeCell ref="G52:G54"/>
    <mergeCell ref="H52:H54"/>
    <mergeCell ref="I52:I54"/>
    <mergeCell ref="B49:B51"/>
    <mergeCell ref="A49:A51"/>
    <mergeCell ref="C49:C51"/>
    <mergeCell ref="D49:D51"/>
    <mergeCell ref="E49:E51"/>
    <mergeCell ref="F49:F51"/>
    <mergeCell ref="G49:G51"/>
    <mergeCell ref="H49:H51"/>
    <mergeCell ref="I49:I51"/>
    <mergeCell ref="B46:B48"/>
    <mergeCell ref="C46:C48"/>
    <mergeCell ref="D46:D48"/>
    <mergeCell ref="E46:E48"/>
    <mergeCell ref="F46:F48"/>
    <mergeCell ref="G46:G48"/>
    <mergeCell ref="H46:H48"/>
    <mergeCell ref="I46:I48"/>
    <mergeCell ref="J43:J45"/>
    <mergeCell ref="K43:K45"/>
    <mergeCell ref="L43:L45"/>
    <mergeCell ref="M43:M45"/>
    <mergeCell ref="O43:O45"/>
    <mergeCell ref="P43:P45"/>
    <mergeCell ref="Q43:Q45"/>
    <mergeCell ref="J46:J48"/>
    <mergeCell ref="K46:K48"/>
    <mergeCell ref="L46:L48"/>
    <mergeCell ref="M46:M48"/>
    <mergeCell ref="O46:O48"/>
    <mergeCell ref="P46:P48"/>
    <mergeCell ref="Q46:Q48"/>
    <mergeCell ref="A43:A45"/>
    <mergeCell ref="B43:B45"/>
    <mergeCell ref="C43:C45"/>
    <mergeCell ref="D43:D45"/>
    <mergeCell ref="E43:E45"/>
    <mergeCell ref="F43:F45"/>
    <mergeCell ref="G43:G45"/>
    <mergeCell ref="H43:H45"/>
    <mergeCell ref="I43:I45"/>
    <mergeCell ref="Q40:Q42"/>
    <mergeCell ref="K40:K42"/>
    <mergeCell ref="L40:L42"/>
    <mergeCell ref="M40:M42"/>
    <mergeCell ref="O40:O42"/>
    <mergeCell ref="P40:P42"/>
    <mergeCell ref="F40:F42"/>
    <mergeCell ref="G40:G42"/>
    <mergeCell ref="H40:H42"/>
    <mergeCell ref="I40:I42"/>
    <mergeCell ref="J40:J42"/>
    <mergeCell ref="A40:A42"/>
    <mergeCell ref="B40:B42"/>
    <mergeCell ref="C40:C42"/>
    <mergeCell ref="D40:D42"/>
    <mergeCell ref="E40:E42"/>
    <mergeCell ref="G37:G39"/>
    <mergeCell ref="F37:F39"/>
    <mergeCell ref="E37:E39"/>
    <mergeCell ref="D37:D39"/>
    <mergeCell ref="C37:C39"/>
    <mergeCell ref="Q34:Q36"/>
    <mergeCell ref="Q37:Q39"/>
    <mergeCell ref="P37:P39"/>
    <mergeCell ref="O37:O39"/>
    <mergeCell ref="M37:M39"/>
    <mergeCell ref="K34:K36"/>
    <mergeCell ref="L34:L36"/>
    <mergeCell ref="M34:M36"/>
    <mergeCell ref="O34:O36"/>
    <mergeCell ref="P34:P36"/>
    <mergeCell ref="J34:J36"/>
    <mergeCell ref="A37:A39"/>
    <mergeCell ref="B37:B39"/>
    <mergeCell ref="C34:C36"/>
    <mergeCell ref="D34:D36"/>
    <mergeCell ref="E34:E36"/>
    <mergeCell ref="L37:L39"/>
    <mergeCell ref="K37:K39"/>
    <mergeCell ref="J37:J39"/>
    <mergeCell ref="I37:I39"/>
    <mergeCell ref="H37:H39"/>
    <mergeCell ref="A34:A36"/>
    <mergeCell ref="B34:B36"/>
    <mergeCell ref="G31:G33"/>
    <mergeCell ref="F31:F33"/>
    <mergeCell ref="E31:E33"/>
    <mergeCell ref="D31:D33"/>
    <mergeCell ref="F34:F36"/>
    <mergeCell ref="G34:G36"/>
    <mergeCell ref="H34:H36"/>
    <mergeCell ref="I31:I33"/>
    <mergeCell ref="I34:I36"/>
    <mergeCell ref="Q28:Q30"/>
    <mergeCell ref="P31:P33"/>
    <mergeCell ref="O31:O33"/>
    <mergeCell ref="Q31:Q33"/>
    <mergeCell ref="C31:C33"/>
    <mergeCell ref="B31:B33"/>
    <mergeCell ref="A31:A33"/>
    <mergeCell ref="J28:J30"/>
    <mergeCell ref="K28:K30"/>
    <mergeCell ref="L28:L30"/>
    <mergeCell ref="M28:M30"/>
    <mergeCell ref="O28:O30"/>
    <mergeCell ref="M31:M33"/>
    <mergeCell ref="L31:L33"/>
    <mergeCell ref="K31:K33"/>
    <mergeCell ref="J31:J33"/>
    <mergeCell ref="A28:A30"/>
    <mergeCell ref="B28:B30"/>
    <mergeCell ref="C28:C30"/>
    <mergeCell ref="D28:D30"/>
    <mergeCell ref="E28:E30"/>
    <mergeCell ref="F28:F30"/>
    <mergeCell ref="G28:G30"/>
    <mergeCell ref="H31:H33"/>
    <mergeCell ref="H28:H30"/>
    <mergeCell ref="I28:I30"/>
    <mergeCell ref="I22:I24"/>
    <mergeCell ref="J22:J24"/>
    <mergeCell ref="K22:K24"/>
    <mergeCell ref="L22:L24"/>
    <mergeCell ref="M22:M24"/>
    <mergeCell ref="O22:O24"/>
    <mergeCell ref="P22:P24"/>
    <mergeCell ref="P28:P30"/>
    <mergeCell ref="Q22:Q24"/>
    <mergeCell ref="A25:A27"/>
    <mergeCell ref="B25:B27"/>
    <mergeCell ref="C25:C27"/>
    <mergeCell ref="D25:D27"/>
    <mergeCell ref="E25:E27"/>
    <mergeCell ref="F25:F27"/>
    <mergeCell ref="G25:G27"/>
    <mergeCell ref="H25:H27"/>
    <mergeCell ref="I25:I27"/>
    <mergeCell ref="J25:J27"/>
    <mergeCell ref="K25:K27"/>
    <mergeCell ref="L25:L27"/>
    <mergeCell ref="M25:M27"/>
    <mergeCell ref="O25:O27"/>
    <mergeCell ref="P25:P27"/>
    <mergeCell ref="Q25:Q27"/>
    <mergeCell ref="A19:A21"/>
    <mergeCell ref="A22:A24"/>
    <mergeCell ref="B22:B24"/>
    <mergeCell ref="C22:C24"/>
    <mergeCell ref="D22:D24"/>
    <mergeCell ref="E22:E24"/>
    <mergeCell ref="F22:F24"/>
    <mergeCell ref="G22:G24"/>
    <mergeCell ref="H22:H24"/>
    <mergeCell ref="P16:P18"/>
    <mergeCell ref="Q16:Q18"/>
    <mergeCell ref="B19:B21"/>
    <mergeCell ref="C19:C21"/>
    <mergeCell ref="D19:D21"/>
    <mergeCell ref="E19:E21"/>
    <mergeCell ref="F19:F21"/>
    <mergeCell ref="G19:G21"/>
    <mergeCell ref="H19:H21"/>
    <mergeCell ref="I19:I21"/>
    <mergeCell ref="J19:J21"/>
    <mergeCell ref="K19:K21"/>
    <mergeCell ref="L19:L21"/>
    <mergeCell ref="M19:M21"/>
    <mergeCell ref="O19:O21"/>
    <mergeCell ref="P19:P21"/>
    <mergeCell ref="Q19:Q21"/>
    <mergeCell ref="J16:J18"/>
    <mergeCell ref="K16:K18"/>
    <mergeCell ref="L16:L18"/>
    <mergeCell ref="M16:M18"/>
    <mergeCell ref="O16:O18"/>
    <mergeCell ref="A10:A12"/>
    <mergeCell ref="B10:B12"/>
    <mergeCell ref="C10:C12"/>
    <mergeCell ref="D10:D12"/>
    <mergeCell ref="E10:E12"/>
    <mergeCell ref="F10:F12"/>
    <mergeCell ref="A16:A18"/>
    <mergeCell ref="B16:B18"/>
    <mergeCell ref="C16:C18"/>
    <mergeCell ref="D16:D18"/>
    <mergeCell ref="E16:E18"/>
    <mergeCell ref="F16:F18"/>
    <mergeCell ref="G16:G18"/>
    <mergeCell ref="H16:H18"/>
    <mergeCell ref="I16:I18"/>
    <mergeCell ref="Q13:Q15"/>
    <mergeCell ref="G10:G12"/>
    <mergeCell ref="H10:H12"/>
    <mergeCell ref="I10:I12"/>
    <mergeCell ref="J10:J12"/>
    <mergeCell ref="K10:K12"/>
    <mergeCell ref="L10:L12"/>
    <mergeCell ref="M10:M12"/>
    <mergeCell ref="O10:O12"/>
    <mergeCell ref="P13:P15"/>
    <mergeCell ref="P10:P12"/>
    <mergeCell ref="Q10:Q12"/>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I7:I9"/>
    <mergeCell ref="J7:J9"/>
    <mergeCell ref="A7:A9"/>
    <mergeCell ref="B7:B9"/>
    <mergeCell ref="C7:C9"/>
    <mergeCell ref="D7:D9"/>
    <mergeCell ref="E157:AM157"/>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Q85:Q87"/>
    <mergeCell ref="G85:G87"/>
    <mergeCell ref="H85:H87"/>
    <mergeCell ref="I85:I87"/>
    <mergeCell ref="J85:J87"/>
    <mergeCell ref="K85:K87"/>
    <mergeCell ref="L85:L87"/>
    <mergeCell ref="M85:M87"/>
    <mergeCell ref="O85:O87"/>
    <mergeCell ref="P85:P87"/>
    <mergeCell ref="J70:J72"/>
    <mergeCell ref="K70:K72"/>
    <mergeCell ref="L70:L72"/>
    <mergeCell ref="M70:M72"/>
    <mergeCell ref="O70:O72"/>
    <mergeCell ref="P70:P72"/>
    <mergeCell ref="Q70:Q72"/>
    <mergeCell ref="A70:A72"/>
    <mergeCell ref="B70:B72"/>
    <mergeCell ref="C70:C72"/>
    <mergeCell ref="D70:D72"/>
    <mergeCell ref="E70:E72"/>
    <mergeCell ref="F70:F72"/>
    <mergeCell ref="G70:G72"/>
    <mergeCell ref="H70:H72"/>
    <mergeCell ref="I70:I72"/>
  </mergeCells>
  <conditionalFormatting sqref="K7 AB7:AB16">
    <cfRule type="cellIs" dxfId="2639" priority="3309" operator="equal">
      <formula>"Muy Alta"</formula>
    </cfRule>
    <cfRule type="cellIs" dxfId="2638" priority="3310" operator="equal">
      <formula>"Alta"</formula>
    </cfRule>
    <cfRule type="cellIs" dxfId="2637" priority="3311" operator="equal">
      <formula>"Media"</formula>
    </cfRule>
    <cfRule type="cellIs" dxfId="2636" priority="3312" operator="equal">
      <formula>"Baja"</formula>
    </cfRule>
    <cfRule type="cellIs" dxfId="2635" priority="3313" operator="equal">
      <formula>"Muy Baja"</formula>
    </cfRule>
  </conditionalFormatting>
  <conditionalFormatting sqref="Q7 AF7:AF16">
    <cfRule type="cellIs" dxfId="2634" priority="3300" operator="equal">
      <formula>"Extremo"</formula>
    </cfRule>
    <cfRule type="cellIs" dxfId="2633" priority="3301" operator="equal">
      <formula>"Alto"</formula>
    </cfRule>
    <cfRule type="cellIs" dxfId="2632" priority="3302" operator="equal">
      <formula>"Moderado"</formula>
    </cfRule>
    <cfRule type="cellIs" dxfId="2631" priority="3303" operator="equal">
      <formula>"Bajo"</formula>
    </cfRule>
  </conditionalFormatting>
  <conditionalFormatting sqref="AB49 AB55 AB58 AB61 AB64 AB67 AB79 AB82 AB88 AB91 AB97:AB98 AB109 AB19 AB22">
    <cfRule type="cellIs" dxfId="2630" priority="3295" operator="equal">
      <formula>"Muy Alta"</formula>
    </cfRule>
    <cfRule type="cellIs" dxfId="2629" priority="3296" operator="equal">
      <formula>"Alta"</formula>
    </cfRule>
    <cfRule type="cellIs" dxfId="2628" priority="3297" operator="equal">
      <formula>"Media"</formula>
    </cfRule>
    <cfRule type="cellIs" dxfId="2627" priority="3298" operator="equal">
      <formula>"Baja"</formula>
    </cfRule>
    <cfRule type="cellIs" dxfId="2626" priority="3299" operator="equal">
      <formula>"Muy Baja"</formula>
    </cfRule>
  </conditionalFormatting>
  <conditionalFormatting sqref="AD49 AD55 AD58 AD61 AD64 AD67 AD79 AD82 AD88 AD91 AD97:AD98 AD109 AD19 AD22 AD7:AD16">
    <cfRule type="cellIs" dxfId="2625" priority="3290" operator="equal">
      <formula>"Catastrófico"</formula>
    </cfRule>
    <cfRule type="cellIs" dxfId="2624" priority="3291" operator="equal">
      <formula>"Mayor"</formula>
    </cfRule>
    <cfRule type="cellIs" dxfId="2623" priority="3292" operator="equal">
      <formula>"Moderado"</formula>
    </cfRule>
    <cfRule type="cellIs" dxfId="2622" priority="3293" operator="equal">
      <formula>"Menor"</formula>
    </cfRule>
    <cfRule type="cellIs" dxfId="2621" priority="3294" operator="equal">
      <formula>"Leve"</formula>
    </cfRule>
  </conditionalFormatting>
  <conditionalFormatting sqref="AF49 AF55 AF58 AF61 AF64 AF67 AF79 AF82 AF88 AF91 AF97:AF98 AF109 AF19 AF22">
    <cfRule type="cellIs" dxfId="2620" priority="3286" operator="equal">
      <formula>"Extremo"</formula>
    </cfRule>
    <cfRule type="cellIs" dxfId="2619" priority="3287" operator="equal">
      <formula>"Alto"</formula>
    </cfRule>
    <cfRule type="cellIs" dxfId="2618" priority="3288" operator="equal">
      <formula>"Moderado"</formula>
    </cfRule>
    <cfRule type="cellIs" dxfId="2617" priority="3289" operator="equal">
      <formula>"Bajo"</formula>
    </cfRule>
  </conditionalFormatting>
  <conditionalFormatting sqref="K97:K98">
    <cfRule type="cellIs" dxfId="2616" priority="1423" operator="equal">
      <formula>"Muy Alta"</formula>
    </cfRule>
    <cfRule type="cellIs" dxfId="2615" priority="1424" operator="equal">
      <formula>"Alta"</formula>
    </cfRule>
    <cfRule type="cellIs" dxfId="2614" priority="1425" operator="equal">
      <formula>"Media"</formula>
    </cfRule>
    <cfRule type="cellIs" dxfId="2613" priority="1426" operator="equal">
      <formula>"Baja"</formula>
    </cfRule>
    <cfRule type="cellIs" dxfId="2612" priority="1427" operator="equal">
      <formula>"Muy Baja"</formula>
    </cfRule>
  </conditionalFormatting>
  <conditionalFormatting sqref="K82">
    <cfRule type="cellIs" dxfId="2611" priority="1483" operator="equal">
      <formula>"Muy Alta"</formula>
    </cfRule>
    <cfRule type="cellIs" dxfId="2610" priority="1484" operator="equal">
      <formula>"Alta"</formula>
    </cfRule>
    <cfRule type="cellIs" dxfId="2609" priority="1485" operator="equal">
      <formula>"Media"</formula>
    </cfRule>
    <cfRule type="cellIs" dxfId="2608" priority="1486" operator="equal">
      <formula>"Baja"</formula>
    </cfRule>
    <cfRule type="cellIs" dxfId="2607" priority="1487" operator="equal">
      <formula>"Muy Baja"</formula>
    </cfRule>
  </conditionalFormatting>
  <conditionalFormatting sqref="N7:N9">
    <cfRule type="containsText" dxfId="2606" priority="2991" operator="containsText" text="❌">
      <formula>NOT(ISERROR(SEARCH("❌",N7)))</formula>
    </cfRule>
  </conditionalFormatting>
  <conditionalFormatting sqref="AD52">
    <cfRule type="cellIs" dxfId="2605" priority="2469" operator="equal">
      <formula>"Catastrófico"</formula>
    </cfRule>
    <cfRule type="cellIs" dxfId="2604" priority="2470" operator="equal">
      <formula>"Mayor"</formula>
    </cfRule>
    <cfRule type="cellIs" dxfId="2603" priority="2471" operator="equal">
      <formula>"Moderado"</formula>
    </cfRule>
    <cfRule type="cellIs" dxfId="2602" priority="2472" operator="equal">
      <formula>"Menor"</formula>
    </cfRule>
    <cfRule type="cellIs" dxfId="2601" priority="2473" operator="equal">
      <formula>"Leve"</formula>
    </cfRule>
  </conditionalFormatting>
  <conditionalFormatting sqref="AF52">
    <cfRule type="cellIs" dxfId="2600" priority="2465" operator="equal">
      <formula>"Extremo"</formula>
    </cfRule>
    <cfRule type="cellIs" dxfId="2599" priority="2466" operator="equal">
      <formula>"Alto"</formula>
    </cfRule>
    <cfRule type="cellIs" dxfId="2598" priority="2467" operator="equal">
      <formula>"Moderado"</formula>
    </cfRule>
    <cfRule type="cellIs" dxfId="2597" priority="2468" operator="equal">
      <formula>"Bajo"</formula>
    </cfRule>
  </conditionalFormatting>
  <conditionalFormatting sqref="AF50">
    <cfRule type="cellIs" dxfId="2596" priority="2479" operator="equal">
      <formula>"Extremo"</formula>
    </cfRule>
    <cfRule type="cellIs" dxfId="2595" priority="2480" operator="equal">
      <formula>"Alto"</formula>
    </cfRule>
    <cfRule type="cellIs" dxfId="2594" priority="2481" operator="equal">
      <formula>"Moderado"</formula>
    </cfRule>
    <cfRule type="cellIs" dxfId="2593" priority="2482" operator="equal">
      <formula>"Bajo"</formula>
    </cfRule>
  </conditionalFormatting>
  <conditionalFormatting sqref="AB23">
    <cfRule type="cellIs" dxfId="2592" priority="2894" operator="equal">
      <formula>"Muy Alta"</formula>
    </cfRule>
    <cfRule type="cellIs" dxfId="2591" priority="2895" operator="equal">
      <formula>"Alta"</formula>
    </cfRule>
    <cfRule type="cellIs" dxfId="2590" priority="2896" operator="equal">
      <formula>"Media"</formula>
    </cfRule>
    <cfRule type="cellIs" dxfId="2589" priority="2897" operator="equal">
      <formula>"Baja"</formula>
    </cfRule>
    <cfRule type="cellIs" dxfId="2588" priority="2898" operator="equal">
      <formula>"Muy Baja"</formula>
    </cfRule>
  </conditionalFormatting>
  <conditionalFormatting sqref="AD23">
    <cfRule type="cellIs" dxfId="2587" priority="2889" operator="equal">
      <formula>"Catastrófico"</formula>
    </cfRule>
    <cfRule type="cellIs" dxfId="2586" priority="2890" operator="equal">
      <formula>"Mayor"</formula>
    </cfRule>
    <cfRule type="cellIs" dxfId="2585" priority="2891" operator="equal">
      <formula>"Moderado"</formula>
    </cfRule>
    <cfRule type="cellIs" dxfId="2584" priority="2892" operator="equal">
      <formula>"Menor"</formula>
    </cfRule>
    <cfRule type="cellIs" dxfId="2583" priority="2893" operator="equal">
      <formula>"Leve"</formula>
    </cfRule>
  </conditionalFormatting>
  <conditionalFormatting sqref="AF23">
    <cfRule type="cellIs" dxfId="2582" priority="2885" operator="equal">
      <formula>"Extremo"</formula>
    </cfRule>
    <cfRule type="cellIs" dxfId="2581" priority="2886" operator="equal">
      <formula>"Alto"</formula>
    </cfRule>
    <cfRule type="cellIs" dxfId="2580" priority="2887" operator="equal">
      <formula>"Moderado"</formula>
    </cfRule>
    <cfRule type="cellIs" dxfId="2579" priority="2888" operator="equal">
      <formula>"Bajo"</formula>
    </cfRule>
  </conditionalFormatting>
  <conditionalFormatting sqref="AB24">
    <cfRule type="cellIs" dxfId="2578" priority="2880" operator="equal">
      <formula>"Muy Alta"</formula>
    </cfRule>
    <cfRule type="cellIs" dxfId="2577" priority="2881" operator="equal">
      <formula>"Alta"</formula>
    </cfRule>
    <cfRule type="cellIs" dxfId="2576" priority="2882" operator="equal">
      <formula>"Media"</formula>
    </cfRule>
    <cfRule type="cellIs" dxfId="2575" priority="2883" operator="equal">
      <formula>"Baja"</formula>
    </cfRule>
    <cfRule type="cellIs" dxfId="2574" priority="2884" operator="equal">
      <formula>"Muy Baja"</formula>
    </cfRule>
  </conditionalFormatting>
  <conditionalFormatting sqref="AD24">
    <cfRule type="cellIs" dxfId="2573" priority="2875" operator="equal">
      <formula>"Catastrófico"</formula>
    </cfRule>
    <cfRule type="cellIs" dxfId="2572" priority="2876" operator="equal">
      <formula>"Mayor"</formula>
    </cfRule>
    <cfRule type="cellIs" dxfId="2571" priority="2877" operator="equal">
      <formula>"Moderado"</formula>
    </cfRule>
    <cfRule type="cellIs" dxfId="2570" priority="2878" operator="equal">
      <formula>"Menor"</formula>
    </cfRule>
    <cfRule type="cellIs" dxfId="2569" priority="2879" operator="equal">
      <formula>"Leve"</formula>
    </cfRule>
  </conditionalFormatting>
  <conditionalFormatting sqref="AF24">
    <cfRule type="cellIs" dxfId="2568" priority="2871" operator="equal">
      <formula>"Extremo"</formula>
    </cfRule>
    <cfRule type="cellIs" dxfId="2567" priority="2872" operator="equal">
      <formula>"Alto"</formula>
    </cfRule>
    <cfRule type="cellIs" dxfId="2566" priority="2873" operator="equal">
      <formula>"Moderado"</formula>
    </cfRule>
    <cfRule type="cellIs" dxfId="2565" priority="2874" operator="equal">
      <formula>"Bajo"</formula>
    </cfRule>
  </conditionalFormatting>
  <conditionalFormatting sqref="AB25">
    <cfRule type="cellIs" dxfId="2564" priority="2866" operator="equal">
      <formula>"Muy Alta"</formula>
    </cfRule>
    <cfRule type="cellIs" dxfId="2563" priority="2867" operator="equal">
      <formula>"Alta"</formula>
    </cfRule>
    <cfRule type="cellIs" dxfId="2562" priority="2868" operator="equal">
      <formula>"Media"</formula>
    </cfRule>
    <cfRule type="cellIs" dxfId="2561" priority="2869" operator="equal">
      <formula>"Baja"</formula>
    </cfRule>
    <cfRule type="cellIs" dxfId="2560" priority="2870" operator="equal">
      <formula>"Muy Baja"</formula>
    </cfRule>
  </conditionalFormatting>
  <conditionalFormatting sqref="AD25">
    <cfRule type="cellIs" dxfId="2559" priority="2861" operator="equal">
      <formula>"Catastrófico"</formula>
    </cfRule>
    <cfRule type="cellIs" dxfId="2558" priority="2862" operator="equal">
      <formula>"Mayor"</formula>
    </cfRule>
    <cfRule type="cellIs" dxfId="2557" priority="2863" operator="equal">
      <formula>"Moderado"</formula>
    </cfRule>
    <cfRule type="cellIs" dxfId="2556" priority="2864" operator="equal">
      <formula>"Menor"</formula>
    </cfRule>
    <cfRule type="cellIs" dxfId="2555" priority="2865" operator="equal">
      <formula>"Leve"</formula>
    </cfRule>
  </conditionalFormatting>
  <conditionalFormatting sqref="AF25">
    <cfRule type="cellIs" dxfId="2554" priority="2857" operator="equal">
      <formula>"Extremo"</formula>
    </cfRule>
    <cfRule type="cellIs" dxfId="2553" priority="2858" operator="equal">
      <formula>"Alto"</formula>
    </cfRule>
    <cfRule type="cellIs" dxfId="2552" priority="2859" operator="equal">
      <formula>"Moderado"</formula>
    </cfRule>
    <cfRule type="cellIs" dxfId="2551" priority="2860" operator="equal">
      <formula>"Bajo"</formula>
    </cfRule>
  </conditionalFormatting>
  <conditionalFormatting sqref="AB26">
    <cfRule type="cellIs" dxfId="2550" priority="2852" operator="equal">
      <formula>"Muy Alta"</formula>
    </cfRule>
    <cfRule type="cellIs" dxfId="2549" priority="2853" operator="equal">
      <formula>"Alta"</formula>
    </cfRule>
    <cfRule type="cellIs" dxfId="2548" priority="2854" operator="equal">
      <formula>"Media"</formula>
    </cfRule>
    <cfRule type="cellIs" dxfId="2547" priority="2855" operator="equal">
      <formula>"Baja"</formula>
    </cfRule>
    <cfRule type="cellIs" dxfId="2546" priority="2856" operator="equal">
      <formula>"Muy Baja"</formula>
    </cfRule>
  </conditionalFormatting>
  <conditionalFormatting sqref="AD26">
    <cfRule type="cellIs" dxfId="2545" priority="2847" operator="equal">
      <formula>"Catastrófico"</formula>
    </cfRule>
    <cfRule type="cellIs" dxfId="2544" priority="2848" operator="equal">
      <formula>"Mayor"</formula>
    </cfRule>
    <cfRule type="cellIs" dxfId="2543" priority="2849" operator="equal">
      <formula>"Moderado"</formula>
    </cfRule>
    <cfRule type="cellIs" dxfId="2542" priority="2850" operator="equal">
      <formula>"Menor"</formula>
    </cfRule>
    <cfRule type="cellIs" dxfId="2541" priority="2851" operator="equal">
      <formula>"Leve"</formula>
    </cfRule>
  </conditionalFormatting>
  <conditionalFormatting sqref="AF26">
    <cfRule type="cellIs" dxfId="2540" priority="2843" operator="equal">
      <formula>"Extremo"</formula>
    </cfRule>
    <cfRule type="cellIs" dxfId="2539" priority="2844" operator="equal">
      <formula>"Alto"</formula>
    </cfRule>
    <cfRule type="cellIs" dxfId="2538" priority="2845" operator="equal">
      <formula>"Moderado"</formula>
    </cfRule>
    <cfRule type="cellIs" dxfId="2537" priority="2846" operator="equal">
      <formula>"Bajo"</formula>
    </cfRule>
  </conditionalFormatting>
  <conditionalFormatting sqref="AB27">
    <cfRule type="cellIs" dxfId="2536" priority="2838" operator="equal">
      <formula>"Muy Alta"</formula>
    </cfRule>
    <cfRule type="cellIs" dxfId="2535" priority="2839" operator="equal">
      <formula>"Alta"</formula>
    </cfRule>
    <cfRule type="cellIs" dxfId="2534" priority="2840" operator="equal">
      <formula>"Media"</formula>
    </cfRule>
    <cfRule type="cellIs" dxfId="2533" priority="2841" operator="equal">
      <formula>"Baja"</formula>
    </cfRule>
    <cfRule type="cellIs" dxfId="2532" priority="2842" operator="equal">
      <formula>"Muy Baja"</formula>
    </cfRule>
  </conditionalFormatting>
  <conditionalFormatting sqref="AD27">
    <cfRule type="cellIs" dxfId="2531" priority="2833" operator="equal">
      <formula>"Catastrófico"</formula>
    </cfRule>
    <cfRule type="cellIs" dxfId="2530" priority="2834" operator="equal">
      <formula>"Mayor"</formula>
    </cfRule>
    <cfRule type="cellIs" dxfId="2529" priority="2835" operator="equal">
      <formula>"Moderado"</formula>
    </cfRule>
    <cfRule type="cellIs" dxfId="2528" priority="2836" operator="equal">
      <formula>"Menor"</formula>
    </cfRule>
    <cfRule type="cellIs" dxfId="2527" priority="2837" operator="equal">
      <formula>"Leve"</formula>
    </cfRule>
  </conditionalFormatting>
  <conditionalFormatting sqref="AF27">
    <cfRule type="cellIs" dxfId="2526" priority="2829" operator="equal">
      <formula>"Extremo"</formula>
    </cfRule>
    <cfRule type="cellIs" dxfId="2525" priority="2830" operator="equal">
      <formula>"Alto"</formula>
    </cfRule>
    <cfRule type="cellIs" dxfId="2524" priority="2831" operator="equal">
      <formula>"Moderado"</formula>
    </cfRule>
    <cfRule type="cellIs" dxfId="2523" priority="2832" operator="equal">
      <formula>"Bajo"</formula>
    </cfRule>
  </conditionalFormatting>
  <conditionalFormatting sqref="AB28">
    <cfRule type="cellIs" dxfId="2522" priority="2824" operator="equal">
      <formula>"Muy Alta"</formula>
    </cfRule>
    <cfRule type="cellIs" dxfId="2521" priority="2825" operator="equal">
      <formula>"Alta"</formula>
    </cfRule>
    <cfRule type="cellIs" dxfId="2520" priority="2826" operator="equal">
      <formula>"Media"</formula>
    </cfRule>
    <cfRule type="cellIs" dxfId="2519" priority="2827" operator="equal">
      <formula>"Baja"</formula>
    </cfRule>
    <cfRule type="cellIs" dxfId="2518" priority="2828" operator="equal">
      <formula>"Muy Baja"</formula>
    </cfRule>
  </conditionalFormatting>
  <conditionalFormatting sqref="AD28">
    <cfRule type="cellIs" dxfId="2517" priority="2819" operator="equal">
      <formula>"Catastrófico"</formula>
    </cfRule>
    <cfRule type="cellIs" dxfId="2516" priority="2820" operator="equal">
      <formula>"Mayor"</formula>
    </cfRule>
    <cfRule type="cellIs" dxfId="2515" priority="2821" operator="equal">
      <formula>"Moderado"</formula>
    </cfRule>
    <cfRule type="cellIs" dxfId="2514" priority="2822" operator="equal">
      <formula>"Menor"</formula>
    </cfRule>
    <cfRule type="cellIs" dxfId="2513" priority="2823" operator="equal">
      <formula>"Leve"</formula>
    </cfRule>
  </conditionalFormatting>
  <conditionalFormatting sqref="AF28">
    <cfRule type="cellIs" dxfId="2512" priority="2815" operator="equal">
      <formula>"Extremo"</formula>
    </cfRule>
    <cfRule type="cellIs" dxfId="2511" priority="2816" operator="equal">
      <formula>"Alto"</formula>
    </cfRule>
    <cfRule type="cellIs" dxfId="2510" priority="2817" operator="equal">
      <formula>"Moderado"</formula>
    </cfRule>
    <cfRule type="cellIs" dxfId="2509" priority="2818" operator="equal">
      <formula>"Bajo"</formula>
    </cfRule>
  </conditionalFormatting>
  <conditionalFormatting sqref="AB29">
    <cfRule type="cellIs" dxfId="2508" priority="2810" operator="equal">
      <formula>"Muy Alta"</formula>
    </cfRule>
    <cfRule type="cellIs" dxfId="2507" priority="2811" operator="equal">
      <formula>"Alta"</formula>
    </cfRule>
    <cfRule type="cellIs" dxfId="2506" priority="2812" operator="equal">
      <formula>"Media"</formula>
    </cfRule>
    <cfRule type="cellIs" dxfId="2505" priority="2813" operator="equal">
      <formula>"Baja"</formula>
    </cfRule>
    <cfRule type="cellIs" dxfId="2504" priority="2814" operator="equal">
      <formula>"Muy Baja"</formula>
    </cfRule>
  </conditionalFormatting>
  <conditionalFormatting sqref="AD29">
    <cfRule type="cellIs" dxfId="2503" priority="2805" operator="equal">
      <formula>"Catastrófico"</formula>
    </cfRule>
    <cfRule type="cellIs" dxfId="2502" priority="2806" operator="equal">
      <formula>"Mayor"</formula>
    </cfRule>
    <cfRule type="cellIs" dxfId="2501" priority="2807" operator="equal">
      <formula>"Moderado"</formula>
    </cfRule>
    <cfRule type="cellIs" dxfId="2500" priority="2808" operator="equal">
      <formula>"Menor"</formula>
    </cfRule>
    <cfRule type="cellIs" dxfId="2499" priority="2809" operator="equal">
      <formula>"Leve"</formula>
    </cfRule>
  </conditionalFormatting>
  <conditionalFormatting sqref="AF29">
    <cfRule type="cellIs" dxfId="2498" priority="2801" operator="equal">
      <formula>"Extremo"</formula>
    </cfRule>
    <cfRule type="cellIs" dxfId="2497" priority="2802" operator="equal">
      <formula>"Alto"</formula>
    </cfRule>
    <cfRule type="cellIs" dxfId="2496" priority="2803" operator="equal">
      <formula>"Moderado"</formula>
    </cfRule>
    <cfRule type="cellIs" dxfId="2495" priority="2804" operator="equal">
      <formula>"Bajo"</formula>
    </cfRule>
  </conditionalFormatting>
  <conditionalFormatting sqref="AB30">
    <cfRule type="cellIs" dxfId="2494" priority="2796" operator="equal">
      <formula>"Muy Alta"</formula>
    </cfRule>
    <cfRule type="cellIs" dxfId="2493" priority="2797" operator="equal">
      <formula>"Alta"</formula>
    </cfRule>
    <cfRule type="cellIs" dxfId="2492" priority="2798" operator="equal">
      <formula>"Media"</formula>
    </cfRule>
    <cfRule type="cellIs" dxfId="2491" priority="2799" operator="equal">
      <formula>"Baja"</formula>
    </cfRule>
    <cfRule type="cellIs" dxfId="2490" priority="2800" operator="equal">
      <formula>"Muy Baja"</formula>
    </cfRule>
  </conditionalFormatting>
  <conditionalFormatting sqref="AD30">
    <cfRule type="cellIs" dxfId="2489" priority="2791" operator="equal">
      <formula>"Catastrófico"</formula>
    </cfRule>
    <cfRule type="cellIs" dxfId="2488" priority="2792" operator="equal">
      <formula>"Mayor"</formula>
    </cfRule>
    <cfRule type="cellIs" dxfId="2487" priority="2793" operator="equal">
      <formula>"Moderado"</formula>
    </cfRule>
    <cfRule type="cellIs" dxfId="2486" priority="2794" operator="equal">
      <formula>"Menor"</formula>
    </cfRule>
    <cfRule type="cellIs" dxfId="2485" priority="2795" operator="equal">
      <formula>"Leve"</formula>
    </cfRule>
  </conditionalFormatting>
  <conditionalFormatting sqref="AF30">
    <cfRule type="cellIs" dxfId="2484" priority="2787" operator="equal">
      <formula>"Extremo"</formula>
    </cfRule>
    <cfRule type="cellIs" dxfId="2483" priority="2788" operator="equal">
      <formula>"Alto"</formula>
    </cfRule>
    <cfRule type="cellIs" dxfId="2482" priority="2789" operator="equal">
      <formula>"Moderado"</formula>
    </cfRule>
    <cfRule type="cellIs" dxfId="2481" priority="2790" operator="equal">
      <formula>"Bajo"</formula>
    </cfRule>
  </conditionalFormatting>
  <conditionalFormatting sqref="AB31">
    <cfRule type="cellIs" dxfId="2480" priority="2782" operator="equal">
      <formula>"Muy Alta"</formula>
    </cfRule>
    <cfRule type="cellIs" dxfId="2479" priority="2783" operator="equal">
      <formula>"Alta"</formula>
    </cfRule>
    <cfRule type="cellIs" dxfId="2478" priority="2784" operator="equal">
      <formula>"Media"</formula>
    </cfRule>
    <cfRule type="cellIs" dxfId="2477" priority="2785" operator="equal">
      <formula>"Baja"</formula>
    </cfRule>
    <cfRule type="cellIs" dxfId="2476" priority="2786" operator="equal">
      <formula>"Muy Baja"</formula>
    </cfRule>
  </conditionalFormatting>
  <conditionalFormatting sqref="AD31">
    <cfRule type="cellIs" dxfId="2475" priority="2777" operator="equal">
      <formula>"Catastrófico"</formula>
    </cfRule>
    <cfRule type="cellIs" dxfId="2474" priority="2778" operator="equal">
      <formula>"Mayor"</formula>
    </cfRule>
    <cfRule type="cellIs" dxfId="2473" priority="2779" operator="equal">
      <formula>"Moderado"</formula>
    </cfRule>
    <cfRule type="cellIs" dxfId="2472" priority="2780" operator="equal">
      <formula>"Menor"</formula>
    </cfRule>
    <cfRule type="cellIs" dxfId="2471" priority="2781" operator="equal">
      <formula>"Leve"</formula>
    </cfRule>
  </conditionalFormatting>
  <conditionalFormatting sqref="AF31">
    <cfRule type="cellIs" dxfId="2470" priority="2773" operator="equal">
      <formula>"Extremo"</formula>
    </cfRule>
    <cfRule type="cellIs" dxfId="2469" priority="2774" operator="equal">
      <formula>"Alto"</formula>
    </cfRule>
    <cfRule type="cellIs" dxfId="2468" priority="2775" operator="equal">
      <formula>"Moderado"</formula>
    </cfRule>
    <cfRule type="cellIs" dxfId="2467" priority="2776" operator="equal">
      <formula>"Bajo"</formula>
    </cfRule>
  </conditionalFormatting>
  <conditionalFormatting sqref="AB32">
    <cfRule type="cellIs" dxfId="2466" priority="2768" operator="equal">
      <formula>"Muy Alta"</formula>
    </cfRule>
    <cfRule type="cellIs" dxfId="2465" priority="2769" operator="equal">
      <formula>"Alta"</formula>
    </cfRule>
    <cfRule type="cellIs" dxfId="2464" priority="2770" operator="equal">
      <formula>"Media"</formula>
    </cfRule>
    <cfRule type="cellIs" dxfId="2463" priority="2771" operator="equal">
      <formula>"Baja"</formula>
    </cfRule>
    <cfRule type="cellIs" dxfId="2462" priority="2772" operator="equal">
      <formula>"Muy Baja"</formula>
    </cfRule>
  </conditionalFormatting>
  <conditionalFormatting sqref="AD32">
    <cfRule type="cellIs" dxfId="2461" priority="2763" operator="equal">
      <formula>"Catastrófico"</formula>
    </cfRule>
    <cfRule type="cellIs" dxfId="2460" priority="2764" operator="equal">
      <formula>"Mayor"</formula>
    </cfRule>
    <cfRule type="cellIs" dxfId="2459" priority="2765" operator="equal">
      <formula>"Moderado"</formula>
    </cfRule>
    <cfRule type="cellIs" dxfId="2458" priority="2766" operator="equal">
      <formula>"Menor"</formula>
    </cfRule>
    <cfRule type="cellIs" dxfId="2457" priority="2767" operator="equal">
      <formula>"Leve"</formula>
    </cfRule>
  </conditionalFormatting>
  <conditionalFormatting sqref="AF32">
    <cfRule type="cellIs" dxfId="2456" priority="2759" operator="equal">
      <formula>"Extremo"</formula>
    </cfRule>
    <cfRule type="cellIs" dxfId="2455" priority="2760" operator="equal">
      <formula>"Alto"</formula>
    </cfRule>
    <cfRule type="cellIs" dxfId="2454" priority="2761" operator="equal">
      <formula>"Moderado"</formula>
    </cfRule>
    <cfRule type="cellIs" dxfId="2453" priority="2762" operator="equal">
      <formula>"Bajo"</formula>
    </cfRule>
  </conditionalFormatting>
  <conditionalFormatting sqref="AB33">
    <cfRule type="cellIs" dxfId="2452" priority="2754" operator="equal">
      <formula>"Muy Alta"</formula>
    </cfRule>
    <cfRule type="cellIs" dxfId="2451" priority="2755" operator="equal">
      <formula>"Alta"</formula>
    </cfRule>
    <cfRule type="cellIs" dxfId="2450" priority="2756" operator="equal">
      <formula>"Media"</formula>
    </cfRule>
    <cfRule type="cellIs" dxfId="2449" priority="2757" operator="equal">
      <formula>"Baja"</formula>
    </cfRule>
    <cfRule type="cellIs" dxfId="2448" priority="2758" operator="equal">
      <formula>"Muy Baja"</formula>
    </cfRule>
  </conditionalFormatting>
  <conditionalFormatting sqref="AD33">
    <cfRule type="cellIs" dxfId="2447" priority="2749" operator="equal">
      <formula>"Catastrófico"</formula>
    </cfRule>
    <cfRule type="cellIs" dxfId="2446" priority="2750" operator="equal">
      <formula>"Mayor"</formula>
    </cfRule>
    <cfRule type="cellIs" dxfId="2445" priority="2751" operator="equal">
      <formula>"Moderado"</formula>
    </cfRule>
    <cfRule type="cellIs" dxfId="2444" priority="2752" operator="equal">
      <formula>"Menor"</formula>
    </cfRule>
    <cfRule type="cellIs" dxfId="2443" priority="2753" operator="equal">
      <formula>"Leve"</formula>
    </cfRule>
  </conditionalFormatting>
  <conditionalFormatting sqref="AF33">
    <cfRule type="cellIs" dxfId="2442" priority="2745" operator="equal">
      <formula>"Extremo"</formula>
    </cfRule>
    <cfRule type="cellIs" dxfId="2441" priority="2746" operator="equal">
      <formula>"Alto"</formula>
    </cfRule>
    <cfRule type="cellIs" dxfId="2440" priority="2747" operator="equal">
      <formula>"Moderado"</formula>
    </cfRule>
    <cfRule type="cellIs" dxfId="2439" priority="2748" operator="equal">
      <formula>"Bajo"</formula>
    </cfRule>
  </conditionalFormatting>
  <conditionalFormatting sqref="AB34">
    <cfRule type="cellIs" dxfId="2438" priority="2740" operator="equal">
      <formula>"Muy Alta"</formula>
    </cfRule>
    <cfRule type="cellIs" dxfId="2437" priority="2741" operator="equal">
      <formula>"Alta"</formula>
    </cfRule>
    <cfRule type="cellIs" dxfId="2436" priority="2742" operator="equal">
      <formula>"Media"</formula>
    </cfRule>
    <cfRule type="cellIs" dxfId="2435" priority="2743" operator="equal">
      <formula>"Baja"</formula>
    </cfRule>
    <cfRule type="cellIs" dxfId="2434" priority="2744" operator="equal">
      <formula>"Muy Baja"</formula>
    </cfRule>
  </conditionalFormatting>
  <conditionalFormatting sqref="AD34">
    <cfRule type="cellIs" dxfId="2433" priority="2735" operator="equal">
      <formula>"Catastrófico"</formula>
    </cfRule>
    <cfRule type="cellIs" dxfId="2432" priority="2736" operator="equal">
      <formula>"Mayor"</formula>
    </cfRule>
    <cfRule type="cellIs" dxfId="2431" priority="2737" operator="equal">
      <formula>"Moderado"</formula>
    </cfRule>
    <cfRule type="cellIs" dxfId="2430" priority="2738" operator="equal">
      <formula>"Menor"</formula>
    </cfRule>
    <cfRule type="cellIs" dxfId="2429" priority="2739" operator="equal">
      <formula>"Leve"</formula>
    </cfRule>
  </conditionalFormatting>
  <conditionalFormatting sqref="AF34">
    <cfRule type="cellIs" dxfId="2428" priority="2731" operator="equal">
      <formula>"Extremo"</formula>
    </cfRule>
    <cfRule type="cellIs" dxfId="2427" priority="2732" operator="equal">
      <formula>"Alto"</formula>
    </cfRule>
    <cfRule type="cellIs" dxfId="2426" priority="2733" operator="equal">
      <formula>"Moderado"</formula>
    </cfRule>
    <cfRule type="cellIs" dxfId="2425" priority="2734" operator="equal">
      <formula>"Bajo"</formula>
    </cfRule>
  </conditionalFormatting>
  <conditionalFormatting sqref="AB35">
    <cfRule type="cellIs" dxfId="2424" priority="2726" operator="equal">
      <formula>"Muy Alta"</formula>
    </cfRule>
    <cfRule type="cellIs" dxfId="2423" priority="2727" operator="equal">
      <formula>"Alta"</formula>
    </cfRule>
    <cfRule type="cellIs" dxfId="2422" priority="2728" operator="equal">
      <formula>"Media"</formula>
    </cfRule>
    <cfRule type="cellIs" dxfId="2421" priority="2729" operator="equal">
      <formula>"Baja"</formula>
    </cfRule>
    <cfRule type="cellIs" dxfId="2420" priority="2730" operator="equal">
      <formula>"Muy Baja"</formula>
    </cfRule>
  </conditionalFormatting>
  <conditionalFormatting sqref="AD35">
    <cfRule type="cellIs" dxfId="2419" priority="2721" operator="equal">
      <formula>"Catastrófico"</formula>
    </cfRule>
    <cfRule type="cellIs" dxfId="2418" priority="2722" operator="equal">
      <formula>"Mayor"</formula>
    </cfRule>
    <cfRule type="cellIs" dxfId="2417" priority="2723" operator="equal">
      <formula>"Moderado"</formula>
    </cfRule>
    <cfRule type="cellIs" dxfId="2416" priority="2724" operator="equal">
      <formula>"Menor"</formula>
    </cfRule>
    <cfRule type="cellIs" dxfId="2415" priority="2725" operator="equal">
      <formula>"Leve"</formula>
    </cfRule>
  </conditionalFormatting>
  <conditionalFormatting sqref="AF35">
    <cfRule type="cellIs" dxfId="2414" priority="2717" operator="equal">
      <formula>"Extremo"</formula>
    </cfRule>
    <cfRule type="cellIs" dxfId="2413" priority="2718" operator="equal">
      <formula>"Alto"</formula>
    </cfRule>
    <cfRule type="cellIs" dxfId="2412" priority="2719" operator="equal">
      <formula>"Moderado"</formula>
    </cfRule>
    <cfRule type="cellIs" dxfId="2411" priority="2720" operator="equal">
      <formula>"Bajo"</formula>
    </cfRule>
  </conditionalFormatting>
  <conditionalFormatting sqref="AB36">
    <cfRule type="cellIs" dxfId="2410" priority="2712" operator="equal">
      <formula>"Muy Alta"</formula>
    </cfRule>
    <cfRule type="cellIs" dxfId="2409" priority="2713" operator="equal">
      <formula>"Alta"</formula>
    </cfRule>
    <cfRule type="cellIs" dxfId="2408" priority="2714" operator="equal">
      <formula>"Media"</formula>
    </cfRule>
    <cfRule type="cellIs" dxfId="2407" priority="2715" operator="equal">
      <formula>"Baja"</formula>
    </cfRule>
    <cfRule type="cellIs" dxfId="2406" priority="2716" operator="equal">
      <formula>"Muy Baja"</formula>
    </cfRule>
  </conditionalFormatting>
  <conditionalFormatting sqref="AD36">
    <cfRule type="cellIs" dxfId="2405" priority="2707" operator="equal">
      <formula>"Catastrófico"</formula>
    </cfRule>
    <cfRule type="cellIs" dxfId="2404" priority="2708" operator="equal">
      <formula>"Mayor"</formula>
    </cfRule>
    <cfRule type="cellIs" dxfId="2403" priority="2709" operator="equal">
      <formula>"Moderado"</formula>
    </cfRule>
    <cfRule type="cellIs" dxfId="2402" priority="2710" operator="equal">
      <formula>"Menor"</formula>
    </cfRule>
    <cfRule type="cellIs" dxfId="2401" priority="2711" operator="equal">
      <formula>"Leve"</formula>
    </cfRule>
  </conditionalFormatting>
  <conditionalFormatting sqref="AF36">
    <cfRule type="cellIs" dxfId="2400" priority="2703" operator="equal">
      <formula>"Extremo"</formula>
    </cfRule>
    <cfRule type="cellIs" dxfId="2399" priority="2704" operator="equal">
      <formula>"Alto"</formula>
    </cfRule>
    <cfRule type="cellIs" dxfId="2398" priority="2705" operator="equal">
      <formula>"Moderado"</formula>
    </cfRule>
    <cfRule type="cellIs" dxfId="2397" priority="2706" operator="equal">
      <formula>"Bajo"</formula>
    </cfRule>
  </conditionalFormatting>
  <conditionalFormatting sqref="AB37">
    <cfRule type="cellIs" dxfId="2396" priority="2698" operator="equal">
      <formula>"Muy Alta"</formula>
    </cfRule>
    <cfRule type="cellIs" dxfId="2395" priority="2699" operator="equal">
      <formula>"Alta"</formula>
    </cfRule>
    <cfRule type="cellIs" dxfId="2394" priority="2700" operator="equal">
      <formula>"Media"</formula>
    </cfRule>
    <cfRule type="cellIs" dxfId="2393" priority="2701" operator="equal">
      <formula>"Baja"</formula>
    </cfRule>
    <cfRule type="cellIs" dxfId="2392" priority="2702" operator="equal">
      <formula>"Muy Baja"</formula>
    </cfRule>
  </conditionalFormatting>
  <conditionalFormatting sqref="AD37">
    <cfRule type="cellIs" dxfId="2391" priority="2693" operator="equal">
      <formula>"Catastrófico"</formula>
    </cfRule>
    <cfRule type="cellIs" dxfId="2390" priority="2694" operator="equal">
      <formula>"Mayor"</formula>
    </cfRule>
    <cfRule type="cellIs" dxfId="2389" priority="2695" operator="equal">
      <formula>"Moderado"</formula>
    </cfRule>
    <cfRule type="cellIs" dxfId="2388" priority="2696" operator="equal">
      <formula>"Menor"</formula>
    </cfRule>
    <cfRule type="cellIs" dxfId="2387" priority="2697" operator="equal">
      <formula>"Leve"</formula>
    </cfRule>
  </conditionalFormatting>
  <conditionalFormatting sqref="AF37">
    <cfRule type="cellIs" dxfId="2386" priority="2689" operator="equal">
      <formula>"Extremo"</formula>
    </cfRule>
    <cfRule type="cellIs" dxfId="2385" priority="2690" operator="equal">
      <formula>"Alto"</formula>
    </cfRule>
    <cfRule type="cellIs" dxfId="2384" priority="2691" operator="equal">
      <formula>"Moderado"</formula>
    </cfRule>
    <cfRule type="cellIs" dxfId="2383" priority="2692" operator="equal">
      <formula>"Bajo"</formula>
    </cfRule>
  </conditionalFormatting>
  <conditionalFormatting sqref="AB38">
    <cfRule type="cellIs" dxfId="2382" priority="2684" operator="equal">
      <formula>"Muy Alta"</formula>
    </cfRule>
    <cfRule type="cellIs" dxfId="2381" priority="2685" operator="equal">
      <formula>"Alta"</formula>
    </cfRule>
    <cfRule type="cellIs" dxfId="2380" priority="2686" operator="equal">
      <formula>"Media"</formula>
    </cfRule>
    <cfRule type="cellIs" dxfId="2379" priority="2687" operator="equal">
      <formula>"Baja"</formula>
    </cfRule>
    <cfRule type="cellIs" dxfId="2378" priority="2688" operator="equal">
      <formula>"Muy Baja"</formula>
    </cfRule>
  </conditionalFormatting>
  <conditionalFormatting sqref="AD38">
    <cfRule type="cellIs" dxfId="2377" priority="2679" operator="equal">
      <formula>"Catastrófico"</formula>
    </cfRule>
    <cfRule type="cellIs" dxfId="2376" priority="2680" operator="equal">
      <formula>"Mayor"</formula>
    </cfRule>
    <cfRule type="cellIs" dxfId="2375" priority="2681" operator="equal">
      <formula>"Moderado"</formula>
    </cfRule>
    <cfRule type="cellIs" dxfId="2374" priority="2682" operator="equal">
      <formula>"Menor"</formula>
    </cfRule>
    <cfRule type="cellIs" dxfId="2373" priority="2683" operator="equal">
      <formula>"Leve"</formula>
    </cfRule>
  </conditionalFormatting>
  <conditionalFormatting sqref="AF38">
    <cfRule type="cellIs" dxfId="2372" priority="2675" operator="equal">
      <formula>"Extremo"</formula>
    </cfRule>
    <cfRule type="cellIs" dxfId="2371" priority="2676" operator="equal">
      <formula>"Alto"</formula>
    </cfRule>
    <cfRule type="cellIs" dxfId="2370" priority="2677" operator="equal">
      <formula>"Moderado"</formula>
    </cfRule>
    <cfRule type="cellIs" dxfId="2369" priority="2678" operator="equal">
      <formula>"Bajo"</formula>
    </cfRule>
  </conditionalFormatting>
  <conditionalFormatting sqref="AB39">
    <cfRule type="cellIs" dxfId="2368" priority="2670" operator="equal">
      <formula>"Muy Alta"</formula>
    </cfRule>
    <cfRule type="cellIs" dxfId="2367" priority="2671" operator="equal">
      <formula>"Alta"</formula>
    </cfRule>
    <cfRule type="cellIs" dxfId="2366" priority="2672" operator="equal">
      <formula>"Media"</formula>
    </cfRule>
    <cfRule type="cellIs" dxfId="2365" priority="2673" operator="equal">
      <formula>"Baja"</formula>
    </cfRule>
    <cfRule type="cellIs" dxfId="2364" priority="2674" operator="equal">
      <formula>"Muy Baja"</formula>
    </cfRule>
  </conditionalFormatting>
  <conditionalFormatting sqref="AD39">
    <cfRule type="cellIs" dxfId="2363" priority="2665" operator="equal">
      <formula>"Catastrófico"</formula>
    </cfRule>
    <cfRule type="cellIs" dxfId="2362" priority="2666" operator="equal">
      <formula>"Mayor"</formula>
    </cfRule>
    <cfRule type="cellIs" dxfId="2361" priority="2667" operator="equal">
      <formula>"Moderado"</formula>
    </cfRule>
    <cfRule type="cellIs" dxfId="2360" priority="2668" operator="equal">
      <formula>"Menor"</formula>
    </cfRule>
    <cfRule type="cellIs" dxfId="2359" priority="2669" operator="equal">
      <formula>"Leve"</formula>
    </cfRule>
  </conditionalFormatting>
  <conditionalFormatting sqref="AF39">
    <cfRule type="cellIs" dxfId="2358" priority="2661" operator="equal">
      <formula>"Extremo"</formula>
    </cfRule>
    <cfRule type="cellIs" dxfId="2357" priority="2662" operator="equal">
      <formula>"Alto"</formula>
    </cfRule>
    <cfRule type="cellIs" dxfId="2356" priority="2663" operator="equal">
      <formula>"Moderado"</formula>
    </cfRule>
    <cfRule type="cellIs" dxfId="2355" priority="2664" operator="equal">
      <formula>"Bajo"</formula>
    </cfRule>
  </conditionalFormatting>
  <conditionalFormatting sqref="AB40">
    <cfRule type="cellIs" dxfId="2354" priority="2656" operator="equal">
      <formula>"Muy Alta"</formula>
    </cfRule>
    <cfRule type="cellIs" dxfId="2353" priority="2657" operator="equal">
      <formula>"Alta"</formula>
    </cfRule>
    <cfRule type="cellIs" dxfId="2352" priority="2658" operator="equal">
      <formula>"Media"</formula>
    </cfRule>
    <cfRule type="cellIs" dxfId="2351" priority="2659" operator="equal">
      <formula>"Baja"</formula>
    </cfRule>
    <cfRule type="cellIs" dxfId="2350" priority="2660" operator="equal">
      <formula>"Muy Baja"</formula>
    </cfRule>
  </conditionalFormatting>
  <conditionalFormatting sqref="AD40">
    <cfRule type="cellIs" dxfId="2349" priority="2651" operator="equal">
      <formula>"Catastrófico"</formula>
    </cfRule>
    <cfRule type="cellIs" dxfId="2348" priority="2652" operator="equal">
      <formula>"Mayor"</formula>
    </cfRule>
    <cfRule type="cellIs" dxfId="2347" priority="2653" operator="equal">
      <formula>"Moderado"</formula>
    </cfRule>
    <cfRule type="cellIs" dxfId="2346" priority="2654" operator="equal">
      <formula>"Menor"</formula>
    </cfRule>
    <cfRule type="cellIs" dxfId="2345" priority="2655" operator="equal">
      <formula>"Leve"</formula>
    </cfRule>
  </conditionalFormatting>
  <conditionalFormatting sqref="AF40">
    <cfRule type="cellIs" dxfId="2344" priority="2647" operator="equal">
      <formula>"Extremo"</formula>
    </cfRule>
    <cfRule type="cellIs" dxfId="2343" priority="2648" operator="equal">
      <formula>"Alto"</formula>
    </cfRule>
    <cfRule type="cellIs" dxfId="2342" priority="2649" operator="equal">
      <formula>"Moderado"</formula>
    </cfRule>
    <cfRule type="cellIs" dxfId="2341" priority="2650" operator="equal">
      <formula>"Bajo"</formula>
    </cfRule>
  </conditionalFormatting>
  <conditionalFormatting sqref="AB41">
    <cfRule type="cellIs" dxfId="2340" priority="2642" operator="equal">
      <formula>"Muy Alta"</formula>
    </cfRule>
    <cfRule type="cellIs" dxfId="2339" priority="2643" operator="equal">
      <formula>"Alta"</formula>
    </cfRule>
    <cfRule type="cellIs" dxfId="2338" priority="2644" operator="equal">
      <formula>"Media"</formula>
    </cfRule>
    <cfRule type="cellIs" dxfId="2337" priority="2645" operator="equal">
      <formula>"Baja"</formula>
    </cfRule>
    <cfRule type="cellIs" dxfId="2336" priority="2646" operator="equal">
      <formula>"Muy Baja"</formula>
    </cfRule>
  </conditionalFormatting>
  <conditionalFormatting sqref="AD41">
    <cfRule type="cellIs" dxfId="2335" priority="2637" operator="equal">
      <formula>"Catastrófico"</formula>
    </cfRule>
    <cfRule type="cellIs" dxfId="2334" priority="2638" operator="equal">
      <formula>"Mayor"</formula>
    </cfRule>
    <cfRule type="cellIs" dxfId="2333" priority="2639" operator="equal">
      <formula>"Moderado"</formula>
    </cfRule>
    <cfRule type="cellIs" dxfId="2332" priority="2640" operator="equal">
      <formula>"Menor"</formula>
    </cfRule>
    <cfRule type="cellIs" dxfId="2331" priority="2641" operator="equal">
      <formula>"Leve"</formula>
    </cfRule>
  </conditionalFormatting>
  <conditionalFormatting sqref="AF41">
    <cfRule type="cellIs" dxfId="2330" priority="2633" operator="equal">
      <formula>"Extremo"</formula>
    </cfRule>
    <cfRule type="cellIs" dxfId="2329" priority="2634" operator="equal">
      <formula>"Alto"</formula>
    </cfRule>
    <cfRule type="cellIs" dxfId="2328" priority="2635" operator="equal">
      <formula>"Moderado"</formula>
    </cfRule>
    <cfRule type="cellIs" dxfId="2327" priority="2636" operator="equal">
      <formula>"Bajo"</formula>
    </cfRule>
  </conditionalFormatting>
  <conditionalFormatting sqref="AB42">
    <cfRule type="cellIs" dxfId="2326" priority="2628" operator="equal">
      <formula>"Muy Alta"</formula>
    </cfRule>
    <cfRule type="cellIs" dxfId="2325" priority="2629" operator="equal">
      <formula>"Alta"</formula>
    </cfRule>
    <cfRule type="cellIs" dxfId="2324" priority="2630" operator="equal">
      <formula>"Media"</formula>
    </cfRule>
    <cfRule type="cellIs" dxfId="2323" priority="2631" operator="equal">
      <formula>"Baja"</formula>
    </cfRule>
    <cfRule type="cellIs" dxfId="2322" priority="2632" operator="equal">
      <formula>"Muy Baja"</formula>
    </cfRule>
  </conditionalFormatting>
  <conditionalFormatting sqref="AD42">
    <cfRule type="cellIs" dxfId="2321" priority="2623" operator="equal">
      <formula>"Catastrófico"</formula>
    </cfRule>
    <cfRule type="cellIs" dxfId="2320" priority="2624" operator="equal">
      <formula>"Mayor"</formula>
    </cfRule>
    <cfRule type="cellIs" dxfId="2319" priority="2625" operator="equal">
      <formula>"Moderado"</formula>
    </cfRule>
    <cfRule type="cellIs" dxfId="2318" priority="2626" operator="equal">
      <formula>"Menor"</formula>
    </cfRule>
    <cfRule type="cellIs" dxfId="2317" priority="2627" operator="equal">
      <formula>"Leve"</formula>
    </cfRule>
  </conditionalFormatting>
  <conditionalFormatting sqref="AF42">
    <cfRule type="cellIs" dxfId="2316" priority="2619" operator="equal">
      <formula>"Extremo"</formula>
    </cfRule>
    <cfRule type="cellIs" dxfId="2315" priority="2620" operator="equal">
      <formula>"Alto"</formula>
    </cfRule>
    <cfRule type="cellIs" dxfId="2314" priority="2621" operator="equal">
      <formula>"Moderado"</formula>
    </cfRule>
    <cfRule type="cellIs" dxfId="2313" priority="2622" operator="equal">
      <formula>"Bajo"</formula>
    </cfRule>
  </conditionalFormatting>
  <conditionalFormatting sqref="AB43">
    <cfRule type="cellIs" dxfId="2312" priority="2572" operator="equal">
      <formula>"Muy Alta"</formula>
    </cfRule>
    <cfRule type="cellIs" dxfId="2311" priority="2573" operator="equal">
      <formula>"Alta"</formula>
    </cfRule>
    <cfRule type="cellIs" dxfId="2310" priority="2574" operator="equal">
      <formula>"Media"</formula>
    </cfRule>
    <cfRule type="cellIs" dxfId="2309" priority="2575" operator="equal">
      <formula>"Baja"</formula>
    </cfRule>
    <cfRule type="cellIs" dxfId="2308" priority="2576" operator="equal">
      <formula>"Muy Baja"</formula>
    </cfRule>
  </conditionalFormatting>
  <conditionalFormatting sqref="AD43">
    <cfRule type="cellIs" dxfId="2307" priority="2567" operator="equal">
      <formula>"Catastrófico"</formula>
    </cfRule>
    <cfRule type="cellIs" dxfId="2306" priority="2568" operator="equal">
      <formula>"Mayor"</formula>
    </cfRule>
    <cfRule type="cellIs" dxfId="2305" priority="2569" operator="equal">
      <formula>"Moderado"</formula>
    </cfRule>
    <cfRule type="cellIs" dxfId="2304" priority="2570" operator="equal">
      <formula>"Menor"</formula>
    </cfRule>
    <cfRule type="cellIs" dxfId="2303" priority="2571" operator="equal">
      <formula>"Leve"</formula>
    </cfRule>
  </conditionalFormatting>
  <conditionalFormatting sqref="AF43">
    <cfRule type="cellIs" dxfId="2302" priority="2563" operator="equal">
      <formula>"Extremo"</formula>
    </cfRule>
    <cfRule type="cellIs" dxfId="2301" priority="2564" operator="equal">
      <formula>"Alto"</formula>
    </cfRule>
    <cfRule type="cellIs" dxfId="2300" priority="2565" operator="equal">
      <formula>"Moderado"</formula>
    </cfRule>
    <cfRule type="cellIs" dxfId="2299" priority="2566" operator="equal">
      <formula>"Bajo"</formula>
    </cfRule>
  </conditionalFormatting>
  <conditionalFormatting sqref="AB46">
    <cfRule type="cellIs" dxfId="2298" priority="2558" operator="equal">
      <formula>"Muy Alta"</formula>
    </cfRule>
    <cfRule type="cellIs" dxfId="2297" priority="2559" operator="equal">
      <formula>"Alta"</formula>
    </cfRule>
    <cfRule type="cellIs" dxfId="2296" priority="2560" operator="equal">
      <formula>"Media"</formula>
    </cfRule>
    <cfRule type="cellIs" dxfId="2295" priority="2561" operator="equal">
      <formula>"Baja"</formula>
    </cfRule>
    <cfRule type="cellIs" dxfId="2294" priority="2562" operator="equal">
      <formula>"Muy Baja"</formula>
    </cfRule>
  </conditionalFormatting>
  <conditionalFormatting sqref="AD46">
    <cfRule type="cellIs" dxfId="2293" priority="2553" operator="equal">
      <formula>"Catastrófico"</formula>
    </cfRule>
    <cfRule type="cellIs" dxfId="2292" priority="2554" operator="equal">
      <formula>"Mayor"</formula>
    </cfRule>
    <cfRule type="cellIs" dxfId="2291" priority="2555" operator="equal">
      <formula>"Moderado"</formula>
    </cfRule>
    <cfRule type="cellIs" dxfId="2290" priority="2556" operator="equal">
      <formula>"Menor"</formula>
    </cfRule>
    <cfRule type="cellIs" dxfId="2289" priority="2557" operator="equal">
      <formula>"Leve"</formula>
    </cfRule>
  </conditionalFormatting>
  <conditionalFormatting sqref="AF46">
    <cfRule type="cellIs" dxfId="2288" priority="2549" operator="equal">
      <formula>"Extremo"</formula>
    </cfRule>
    <cfRule type="cellIs" dxfId="2287" priority="2550" operator="equal">
      <formula>"Alto"</formula>
    </cfRule>
    <cfRule type="cellIs" dxfId="2286" priority="2551" operator="equal">
      <formula>"Moderado"</formula>
    </cfRule>
    <cfRule type="cellIs" dxfId="2285" priority="2552" operator="equal">
      <formula>"Bajo"</formula>
    </cfRule>
  </conditionalFormatting>
  <conditionalFormatting sqref="AB44">
    <cfRule type="cellIs" dxfId="2284" priority="2544" operator="equal">
      <formula>"Muy Alta"</formula>
    </cfRule>
    <cfRule type="cellIs" dxfId="2283" priority="2545" operator="equal">
      <formula>"Alta"</formula>
    </cfRule>
    <cfRule type="cellIs" dxfId="2282" priority="2546" operator="equal">
      <formula>"Media"</formula>
    </cfRule>
    <cfRule type="cellIs" dxfId="2281" priority="2547" operator="equal">
      <formula>"Baja"</formula>
    </cfRule>
    <cfRule type="cellIs" dxfId="2280" priority="2548" operator="equal">
      <formula>"Muy Baja"</formula>
    </cfRule>
  </conditionalFormatting>
  <conditionalFormatting sqref="AD44">
    <cfRule type="cellIs" dxfId="2279" priority="2539" operator="equal">
      <formula>"Catastrófico"</formula>
    </cfRule>
    <cfRule type="cellIs" dxfId="2278" priority="2540" operator="equal">
      <formula>"Mayor"</formula>
    </cfRule>
    <cfRule type="cellIs" dxfId="2277" priority="2541" operator="equal">
      <formula>"Moderado"</formula>
    </cfRule>
    <cfRule type="cellIs" dxfId="2276" priority="2542" operator="equal">
      <formula>"Menor"</formula>
    </cfRule>
    <cfRule type="cellIs" dxfId="2275" priority="2543" operator="equal">
      <formula>"Leve"</formula>
    </cfRule>
  </conditionalFormatting>
  <conditionalFormatting sqref="AF44">
    <cfRule type="cellIs" dxfId="2274" priority="2535" operator="equal">
      <formula>"Extremo"</formula>
    </cfRule>
    <cfRule type="cellIs" dxfId="2273" priority="2536" operator="equal">
      <formula>"Alto"</formula>
    </cfRule>
    <cfRule type="cellIs" dxfId="2272" priority="2537" operator="equal">
      <formula>"Moderado"</formula>
    </cfRule>
    <cfRule type="cellIs" dxfId="2271" priority="2538" operator="equal">
      <formula>"Bajo"</formula>
    </cfRule>
  </conditionalFormatting>
  <conditionalFormatting sqref="AB45">
    <cfRule type="cellIs" dxfId="2270" priority="2530" operator="equal">
      <formula>"Muy Alta"</formula>
    </cfRule>
    <cfRule type="cellIs" dxfId="2269" priority="2531" operator="equal">
      <formula>"Alta"</formula>
    </cfRule>
    <cfRule type="cellIs" dxfId="2268" priority="2532" operator="equal">
      <formula>"Media"</formula>
    </cfRule>
    <cfRule type="cellIs" dxfId="2267" priority="2533" operator="equal">
      <formula>"Baja"</formula>
    </cfRule>
    <cfRule type="cellIs" dxfId="2266" priority="2534" operator="equal">
      <formula>"Muy Baja"</formula>
    </cfRule>
  </conditionalFormatting>
  <conditionalFormatting sqref="AD45">
    <cfRule type="cellIs" dxfId="2265" priority="2525" operator="equal">
      <formula>"Catastrófico"</formula>
    </cfRule>
    <cfRule type="cellIs" dxfId="2264" priority="2526" operator="equal">
      <formula>"Mayor"</formula>
    </cfRule>
    <cfRule type="cellIs" dxfId="2263" priority="2527" operator="equal">
      <formula>"Moderado"</formula>
    </cfRule>
    <cfRule type="cellIs" dxfId="2262" priority="2528" operator="equal">
      <formula>"Menor"</formula>
    </cfRule>
    <cfRule type="cellIs" dxfId="2261" priority="2529" operator="equal">
      <formula>"Leve"</formula>
    </cfRule>
  </conditionalFormatting>
  <conditionalFormatting sqref="AF45">
    <cfRule type="cellIs" dxfId="2260" priority="2521" operator="equal">
      <formula>"Extremo"</formula>
    </cfRule>
    <cfRule type="cellIs" dxfId="2259" priority="2522" operator="equal">
      <formula>"Alto"</formula>
    </cfRule>
    <cfRule type="cellIs" dxfId="2258" priority="2523" operator="equal">
      <formula>"Moderado"</formula>
    </cfRule>
    <cfRule type="cellIs" dxfId="2257" priority="2524" operator="equal">
      <formula>"Bajo"</formula>
    </cfRule>
  </conditionalFormatting>
  <conditionalFormatting sqref="AB47">
    <cfRule type="cellIs" dxfId="2256" priority="2516" operator="equal">
      <formula>"Muy Alta"</formula>
    </cfRule>
    <cfRule type="cellIs" dxfId="2255" priority="2517" operator="equal">
      <formula>"Alta"</formula>
    </cfRule>
    <cfRule type="cellIs" dxfId="2254" priority="2518" operator="equal">
      <formula>"Media"</formula>
    </cfRule>
    <cfRule type="cellIs" dxfId="2253" priority="2519" operator="equal">
      <formula>"Baja"</formula>
    </cfRule>
    <cfRule type="cellIs" dxfId="2252" priority="2520" operator="equal">
      <formula>"Muy Baja"</formula>
    </cfRule>
  </conditionalFormatting>
  <conditionalFormatting sqref="AD47">
    <cfRule type="cellIs" dxfId="2251" priority="2511" operator="equal">
      <formula>"Catastrófico"</formula>
    </cfRule>
    <cfRule type="cellIs" dxfId="2250" priority="2512" operator="equal">
      <formula>"Mayor"</formula>
    </cfRule>
    <cfRule type="cellIs" dxfId="2249" priority="2513" operator="equal">
      <formula>"Moderado"</formula>
    </cfRule>
    <cfRule type="cellIs" dxfId="2248" priority="2514" operator="equal">
      <formula>"Menor"</formula>
    </cfRule>
    <cfRule type="cellIs" dxfId="2247" priority="2515" operator="equal">
      <formula>"Leve"</formula>
    </cfRule>
  </conditionalFormatting>
  <conditionalFormatting sqref="AF47">
    <cfRule type="cellIs" dxfId="2246" priority="2507" operator="equal">
      <formula>"Extremo"</formula>
    </cfRule>
    <cfRule type="cellIs" dxfId="2245" priority="2508" operator="equal">
      <formula>"Alto"</formula>
    </cfRule>
    <cfRule type="cellIs" dxfId="2244" priority="2509" operator="equal">
      <formula>"Moderado"</formula>
    </cfRule>
    <cfRule type="cellIs" dxfId="2243" priority="2510" operator="equal">
      <formula>"Bajo"</formula>
    </cfRule>
  </conditionalFormatting>
  <conditionalFormatting sqref="AB48">
    <cfRule type="cellIs" dxfId="2242" priority="2502" operator="equal">
      <formula>"Muy Alta"</formula>
    </cfRule>
    <cfRule type="cellIs" dxfId="2241" priority="2503" operator="equal">
      <formula>"Alta"</formula>
    </cfRule>
    <cfRule type="cellIs" dxfId="2240" priority="2504" operator="equal">
      <formula>"Media"</formula>
    </cfRule>
    <cfRule type="cellIs" dxfId="2239" priority="2505" operator="equal">
      <formula>"Baja"</formula>
    </cfRule>
    <cfRule type="cellIs" dxfId="2238" priority="2506" operator="equal">
      <formula>"Muy Baja"</formula>
    </cfRule>
  </conditionalFormatting>
  <conditionalFormatting sqref="AD48">
    <cfRule type="cellIs" dxfId="2237" priority="2497" operator="equal">
      <formula>"Catastrófico"</formula>
    </cfRule>
    <cfRule type="cellIs" dxfId="2236" priority="2498" operator="equal">
      <formula>"Mayor"</formula>
    </cfRule>
    <cfRule type="cellIs" dxfId="2235" priority="2499" operator="equal">
      <formula>"Moderado"</formula>
    </cfRule>
    <cfRule type="cellIs" dxfId="2234" priority="2500" operator="equal">
      <formula>"Menor"</formula>
    </cfRule>
    <cfRule type="cellIs" dxfId="2233" priority="2501" operator="equal">
      <formula>"Leve"</formula>
    </cfRule>
  </conditionalFormatting>
  <conditionalFormatting sqref="AF48">
    <cfRule type="cellIs" dxfId="2232" priority="2493" operator="equal">
      <formula>"Extremo"</formula>
    </cfRule>
    <cfRule type="cellIs" dxfId="2231" priority="2494" operator="equal">
      <formula>"Alto"</formula>
    </cfRule>
    <cfRule type="cellIs" dxfId="2230" priority="2495" operator="equal">
      <formula>"Moderado"</formula>
    </cfRule>
    <cfRule type="cellIs" dxfId="2229" priority="2496" operator="equal">
      <formula>"Bajo"</formula>
    </cfRule>
  </conditionalFormatting>
  <conditionalFormatting sqref="AB50">
    <cfRule type="cellIs" dxfId="2228" priority="2488" operator="equal">
      <formula>"Muy Alta"</formula>
    </cfRule>
    <cfRule type="cellIs" dxfId="2227" priority="2489" operator="equal">
      <formula>"Alta"</formula>
    </cfRule>
    <cfRule type="cellIs" dxfId="2226" priority="2490" operator="equal">
      <formula>"Media"</formula>
    </cfRule>
    <cfRule type="cellIs" dxfId="2225" priority="2491" operator="equal">
      <formula>"Baja"</formula>
    </cfRule>
    <cfRule type="cellIs" dxfId="2224" priority="2492" operator="equal">
      <formula>"Muy Baja"</formula>
    </cfRule>
  </conditionalFormatting>
  <conditionalFormatting sqref="AD50">
    <cfRule type="cellIs" dxfId="2223" priority="2483" operator="equal">
      <formula>"Catastrófico"</formula>
    </cfRule>
    <cfRule type="cellIs" dxfId="2222" priority="2484" operator="equal">
      <formula>"Mayor"</formula>
    </cfRule>
    <cfRule type="cellIs" dxfId="2221" priority="2485" operator="equal">
      <formula>"Moderado"</formula>
    </cfRule>
    <cfRule type="cellIs" dxfId="2220" priority="2486" operator="equal">
      <formula>"Menor"</formula>
    </cfRule>
    <cfRule type="cellIs" dxfId="2219" priority="2487" operator="equal">
      <formula>"Leve"</formula>
    </cfRule>
  </conditionalFormatting>
  <conditionalFormatting sqref="AB52">
    <cfRule type="cellIs" dxfId="2218" priority="2474" operator="equal">
      <formula>"Muy Alta"</formula>
    </cfRule>
    <cfRule type="cellIs" dxfId="2217" priority="2475" operator="equal">
      <formula>"Alta"</formula>
    </cfRule>
    <cfRule type="cellIs" dxfId="2216" priority="2476" operator="equal">
      <formula>"Media"</formula>
    </cfRule>
    <cfRule type="cellIs" dxfId="2215" priority="2477" operator="equal">
      <formula>"Baja"</formula>
    </cfRule>
    <cfRule type="cellIs" dxfId="2214" priority="2478" operator="equal">
      <formula>"Muy Baja"</formula>
    </cfRule>
  </conditionalFormatting>
  <conditionalFormatting sqref="AB51">
    <cfRule type="cellIs" dxfId="2213" priority="2460" operator="equal">
      <formula>"Muy Alta"</formula>
    </cfRule>
    <cfRule type="cellIs" dxfId="2212" priority="2461" operator="equal">
      <formula>"Alta"</formula>
    </cfRule>
    <cfRule type="cellIs" dxfId="2211" priority="2462" operator="equal">
      <formula>"Media"</formula>
    </cfRule>
    <cfRule type="cellIs" dxfId="2210" priority="2463" operator="equal">
      <formula>"Baja"</formula>
    </cfRule>
    <cfRule type="cellIs" dxfId="2209" priority="2464" operator="equal">
      <formula>"Muy Baja"</formula>
    </cfRule>
  </conditionalFormatting>
  <conditionalFormatting sqref="AD51">
    <cfRule type="cellIs" dxfId="2208" priority="2455" operator="equal">
      <formula>"Catastrófico"</formula>
    </cfRule>
    <cfRule type="cellIs" dxfId="2207" priority="2456" operator="equal">
      <formula>"Mayor"</formula>
    </cfRule>
    <cfRule type="cellIs" dxfId="2206" priority="2457" operator="equal">
      <formula>"Moderado"</formula>
    </cfRule>
    <cfRule type="cellIs" dxfId="2205" priority="2458" operator="equal">
      <formula>"Menor"</formula>
    </cfRule>
    <cfRule type="cellIs" dxfId="2204" priority="2459" operator="equal">
      <formula>"Leve"</formula>
    </cfRule>
  </conditionalFormatting>
  <conditionalFormatting sqref="AF51">
    <cfRule type="cellIs" dxfId="2203" priority="2451" operator="equal">
      <formula>"Extremo"</formula>
    </cfRule>
    <cfRule type="cellIs" dxfId="2202" priority="2452" operator="equal">
      <formula>"Alto"</formula>
    </cfRule>
    <cfRule type="cellIs" dxfId="2201" priority="2453" operator="equal">
      <formula>"Moderado"</formula>
    </cfRule>
    <cfRule type="cellIs" dxfId="2200" priority="2454" operator="equal">
      <formula>"Bajo"</formula>
    </cfRule>
  </conditionalFormatting>
  <conditionalFormatting sqref="AB53">
    <cfRule type="cellIs" dxfId="2199" priority="2446" operator="equal">
      <formula>"Muy Alta"</formula>
    </cfRule>
    <cfRule type="cellIs" dxfId="2198" priority="2447" operator="equal">
      <formula>"Alta"</formula>
    </cfRule>
    <cfRule type="cellIs" dxfId="2197" priority="2448" operator="equal">
      <formula>"Media"</formula>
    </cfRule>
    <cfRule type="cellIs" dxfId="2196" priority="2449" operator="equal">
      <formula>"Baja"</formula>
    </cfRule>
    <cfRule type="cellIs" dxfId="2195" priority="2450" operator="equal">
      <formula>"Muy Baja"</formula>
    </cfRule>
  </conditionalFormatting>
  <conditionalFormatting sqref="AD53">
    <cfRule type="cellIs" dxfId="2194" priority="2441" operator="equal">
      <formula>"Catastrófico"</formula>
    </cfRule>
    <cfRule type="cellIs" dxfId="2193" priority="2442" operator="equal">
      <formula>"Mayor"</formula>
    </cfRule>
    <cfRule type="cellIs" dxfId="2192" priority="2443" operator="equal">
      <formula>"Moderado"</formula>
    </cfRule>
    <cfRule type="cellIs" dxfId="2191" priority="2444" operator="equal">
      <formula>"Menor"</formula>
    </cfRule>
    <cfRule type="cellIs" dxfId="2190" priority="2445" operator="equal">
      <formula>"Leve"</formula>
    </cfRule>
  </conditionalFormatting>
  <conditionalFormatting sqref="AF53">
    <cfRule type="cellIs" dxfId="2189" priority="2437" operator="equal">
      <formula>"Extremo"</formula>
    </cfRule>
    <cfRule type="cellIs" dxfId="2188" priority="2438" operator="equal">
      <formula>"Alto"</formula>
    </cfRule>
    <cfRule type="cellIs" dxfId="2187" priority="2439" operator="equal">
      <formula>"Moderado"</formula>
    </cfRule>
    <cfRule type="cellIs" dxfId="2186" priority="2440" operator="equal">
      <formula>"Bajo"</formula>
    </cfRule>
  </conditionalFormatting>
  <conditionalFormatting sqref="AB54">
    <cfRule type="cellIs" dxfId="2185" priority="2432" operator="equal">
      <formula>"Muy Alta"</formula>
    </cfRule>
    <cfRule type="cellIs" dxfId="2184" priority="2433" operator="equal">
      <formula>"Alta"</formula>
    </cfRule>
    <cfRule type="cellIs" dxfId="2183" priority="2434" operator="equal">
      <formula>"Media"</formula>
    </cfRule>
    <cfRule type="cellIs" dxfId="2182" priority="2435" operator="equal">
      <formula>"Baja"</formula>
    </cfRule>
    <cfRule type="cellIs" dxfId="2181" priority="2436" operator="equal">
      <formula>"Muy Baja"</formula>
    </cfRule>
  </conditionalFormatting>
  <conditionalFormatting sqref="AD54">
    <cfRule type="cellIs" dxfId="2180" priority="2427" operator="equal">
      <formula>"Catastrófico"</formula>
    </cfRule>
    <cfRule type="cellIs" dxfId="2179" priority="2428" operator="equal">
      <formula>"Mayor"</formula>
    </cfRule>
    <cfRule type="cellIs" dxfId="2178" priority="2429" operator="equal">
      <formula>"Moderado"</formula>
    </cfRule>
    <cfRule type="cellIs" dxfId="2177" priority="2430" operator="equal">
      <formula>"Menor"</formula>
    </cfRule>
    <cfRule type="cellIs" dxfId="2176" priority="2431" operator="equal">
      <formula>"Leve"</formula>
    </cfRule>
  </conditionalFormatting>
  <conditionalFormatting sqref="AF54">
    <cfRule type="cellIs" dxfId="2175" priority="2423" operator="equal">
      <formula>"Extremo"</formula>
    </cfRule>
    <cfRule type="cellIs" dxfId="2174" priority="2424" operator="equal">
      <formula>"Alto"</formula>
    </cfRule>
    <cfRule type="cellIs" dxfId="2173" priority="2425" operator="equal">
      <formula>"Moderado"</formula>
    </cfRule>
    <cfRule type="cellIs" dxfId="2172" priority="2426" operator="equal">
      <formula>"Bajo"</formula>
    </cfRule>
  </conditionalFormatting>
  <conditionalFormatting sqref="AB56">
    <cfRule type="cellIs" dxfId="2171" priority="2418" operator="equal">
      <formula>"Muy Alta"</formula>
    </cfRule>
    <cfRule type="cellIs" dxfId="2170" priority="2419" operator="equal">
      <formula>"Alta"</formula>
    </cfRule>
    <cfRule type="cellIs" dxfId="2169" priority="2420" operator="equal">
      <formula>"Media"</formula>
    </cfRule>
    <cfRule type="cellIs" dxfId="2168" priority="2421" operator="equal">
      <formula>"Baja"</formula>
    </cfRule>
    <cfRule type="cellIs" dxfId="2167" priority="2422" operator="equal">
      <formula>"Muy Baja"</formula>
    </cfRule>
  </conditionalFormatting>
  <conditionalFormatting sqref="AD56">
    <cfRule type="cellIs" dxfId="2166" priority="2413" operator="equal">
      <formula>"Catastrófico"</formula>
    </cfRule>
    <cfRule type="cellIs" dxfId="2165" priority="2414" operator="equal">
      <formula>"Mayor"</formula>
    </cfRule>
    <cfRule type="cellIs" dxfId="2164" priority="2415" operator="equal">
      <formula>"Moderado"</formula>
    </cfRule>
    <cfRule type="cellIs" dxfId="2163" priority="2416" operator="equal">
      <formula>"Menor"</formula>
    </cfRule>
    <cfRule type="cellIs" dxfId="2162" priority="2417" operator="equal">
      <formula>"Leve"</formula>
    </cfRule>
  </conditionalFormatting>
  <conditionalFormatting sqref="AF56">
    <cfRule type="cellIs" dxfId="2161" priority="2409" operator="equal">
      <formula>"Extremo"</formula>
    </cfRule>
    <cfRule type="cellIs" dxfId="2160" priority="2410" operator="equal">
      <formula>"Alto"</formula>
    </cfRule>
    <cfRule type="cellIs" dxfId="2159" priority="2411" operator="equal">
      <formula>"Moderado"</formula>
    </cfRule>
    <cfRule type="cellIs" dxfId="2158" priority="2412" operator="equal">
      <formula>"Bajo"</formula>
    </cfRule>
  </conditionalFormatting>
  <conditionalFormatting sqref="AB57">
    <cfRule type="cellIs" dxfId="2157" priority="2404" operator="equal">
      <formula>"Muy Alta"</formula>
    </cfRule>
    <cfRule type="cellIs" dxfId="2156" priority="2405" operator="equal">
      <formula>"Alta"</formula>
    </cfRule>
    <cfRule type="cellIs" dxfId="2155" priority="2406" operator="equal">
      <formula>"Media"</formula>
    </cfRule>
    <cfRule type="cellIs" dxfId="2154" priority="2407" operator="equal">
      <formula>"Baja"</formula>
    </cfRule>
    <cfRule type="cellIs" dxfId="2153" priority="2408" operator="equal">
      <formula>"Muy Baja"</formula>
    </cfRule>
  </conditionalFormatting>
  <conditionalFormatting sqref="AD57">
    <cfRule type="cellIs" dxfId="2152" priority="2399" operator="equal">
      <formula>"Catastrófico"</formula>
    </cfRule>
    <cfRule type="cellIs" dxfId="2151" priority="2400" operator="equal">
      <formula>"Mayor"</formula>
    </cfRule>
    <cfRule type="cellIs" dxfId="2150" priority="2401" operator="equal">
      <formula>"Moderado"</formula>
    </cfRule>
    <cfRule type="cellIs" dxfId="2149" priority="2402" operator="equal">
      <formula>"Menor"</formula>
    </cfRule>
    <cfRule type="cellIs" dxfId="2148" priority="2403" operator="equal">
      <formula>"Leve"</formula>
    </cfRule>
  </conditionalFormatting>
  <conditionalFormatting sqref="AF57">
    <cfRule type="cellIs" dxfId="2147" priority="2395" operator="equal">
      <formula>"Extremo"</formula>
    </cfRule>
    <cfRule type="cellIs" dxfId="2146" priority="2396" operator="equal">
      <formula>"Alto"</formula>
    </cfRule>
    <cfRule type="cellIs" dxfId="2145" priority="2397" operator="equal">
      <formula>"Moderado"</formula>
    </cfRule>
    <cfRule type="cellIs" dxfId="2144" priority="2398" operator="equal">
      <formula>"Bajo"</formula>
    </cfRule>
  </conditionalFormatting>
  <conditionalFormatting sqref="AB59">
    <cfRule type="cellIs" dxfId="2143" priority="2390" operator="equal">
      <formula>"Muy Alta"</formula>
    </cfRule>
    <cfRule type="cellIs" dxfId="2142" priority="2391" operator="equal">
      <formula>"Alta"</formula>
    </cfRule>
    <cfRule type="cellIs" dxfId="2141" priority="2392" operator="equal">
      <formula>"Media"</formula>
    </cfRule>
    <cfRule type="cellIs" dxfId="2140" priority="2393" operator="equal">
      <formula>"Baja"</formula>
    </cfRule>
    <cfRule type="cellIs" dxfId="2139" priority="2394" operator="equal">
      <formula>"Muy Baja"</formula>
    </cfRule>
  </conditionalFormatting>
  <conditionalFormatting sqref="AD59">
    <cfRule type="cellIs" dxfId="2138" priority="2385" operator="equal">
      <formula>"Catastrófico"</formula>
    </cfRule>
    <cfRule type="cellIs" dxfId="2137" priority="2386" operator="equal">
      <formula>"Mayor"</formula>
    </cfRule>
    <cfRule type="cellIs" dxfId="2136" priority="2387" operator="equal">
      <formula>"Moderado"</formula>
    </cfRule>
    <cfRule type="cellIs" dxfId="2135" priority="2388" operator="equal">
      <formula>"Menor"</formula>
    </cfRule>
    <cfRule type="cellIs" dxfId="2134" priority="2389" operator="equal">
      <formula>"Leve"</formula>
    </cfRule>
  </conditionalFormatting>
  <conditionalFormatting sqref="AF59">
    <cfRule type="cellIs" dxfId="2133" priority="2381" operator="equal">
      <formula>"Extremo"</formula>
    </cfRule>
    <cfRule type="cellIs" dxfId="2132" priority="2382" operator="equal">
      <formula>"Alto"</formula>
    </cfRule>
    <cfRule type="cellIs" dxfId="2131" priority="2383" operator="equal">
      <formula>"Moderado"</formula>
    </cfRule>
    <cfRule type="cellIs" dxfId="2130" priority="2384" operator="equal">
      <formula>"Bajo"</formula>
    </cfRule>
  </conditionalFormatting>
  <conditionalFormatting sqref="AB60">
    <cfRule type="cellIs" dxfId="2129" priority="2376" operator="equal">
      <formula>"Muy Alta"</formula>
    </cfRule>
    <cfRule type="cellIs" dxfId="2128" priority="2377" operator="equal">
      <formula>"Alta"</formula>
    </cfRule>
    <cfRule type="cellIs" dxfId="2127" priority="2378" operator="equal">
      <formula>"Media"</formula>
    </cfRule>
    <cfRule type="cellIs" dxfId="2126" priority="2379" operator="equal">
      <formula>"Baja"</formula>
    </cfRule>
    <cfRule type="cellIs" dxfId="2125" priority="2380" operator="equal">
      <formula>"Muy Baja"</formula>
    </cfRule>
  </conditionalFormatting>
  <conditionalFormatting sqref="AD60">
    <cfRule type="cellIs" dxfId="2124" priority="2371" operator="equal">
      <formula>"Catastrófico"</formula>
    </cfRule>
    <cfRule type="cellIs" dxfId="2123" priority="2372" operator="equal">
      <formula>"Mayor"</formula>
    </cfRule>
    <cfRule type="cellIs" dxfId="2122" priority="2373" operator="equal">
      <formula>"Moderado"</formula>
    </cfRule>
    <cfRule type="cellIs" dxfId="2121" priority="2374" operator="equal">
      <formula>"Menor"</formula>
    </cfRule>
    <cfRule type="cellIs" dxfId="2120" priority="2375" operator="equal">
      <formula>"Leve"</formula>
    </cfRule>
  </conditionalFormatting>
  <conditionalFormatting sqref="AF60">
    <cfRule type="cellIs" dxfId="2119" priority="2367" operator="equal">
      <formula>"Extremo"</formula>
    </cfRule>
    <cfRule type="cellIs" dxfId="2118" priority="2368" operator="equal">
      <formula>"Alto"</formula>
    </cfRule>
    <cfRule type="cellIs" dxfId="2117" priority="2369" operator="equal">
      <formula>"Moderado"</formula>
    </cfRule>
    <cfRule type="cellIs" dxfId="2116" priority="2370" operator="equal">
      <formula>"Bajo"</formula>
    </cfRule>
  </conditionalFormatting>
  <conditionalFormatting sqref="AB62">
    <cfRule type="cellIs" dxfId="2115" priority="2362" operator="equal">
      <formula>"Muy Alta"</formula>
    </cfRule>
    <cfRule type="cellIs" dxfId="2114" priority="2363" operator="equal">
      <formula>"Alta"</formula>
    </cfRule>
    <cfRule type="cellIs" dxfId="2113" priority="2364" operator="equal">
      <formula>"Media"</formula>
    </cfRule>
    <cfRule type="cellIs" dxfId="2112" priority="2365" operator="equal">
      <formula>"Baja"</formula>
    </cfRule>
    <cfRule type="cellIs" dxfId="2111" priority="2366" operator="equal">
      <formula>"Muy Baja"</formula>
    </cfRule>
  </conditionalFormatting>
  <conditionalFormatting sqref="AD62">
    <cfRule type="cellIs" dxfId="2110" priority="2357" operator="equal">
      <formula>"Catastrófico"</formula>
    </cfRule>
    <cfRule type="cellIs" dxfId="2109" priority="2358" operator="equal">
      <formula>"Mayor"</formula>
    </cfRule>
    <cfRule type="cellIs" dxfId="2108" priority="2359" operator="equal">
      <formula>"Moderado"</formula>
    </cfRule>
    <cfRule type="cellIs" dxfId="2107" priority="2360" operator="equal">
      <formula>"Menor"</formula>
    </cfRule>
    <cfRule type="cellIs" dxfId="2106" priority="2361" operator="equal">
      <formula>"Leve"</formula>
    </cfRule>
  </conditionalFormatting>
  <conditionalFormatting sqref="AF62">
    <cfRule type="cellIs" dxfId="2105" priority="2353" operator="equal">
      <formula>"Extremo"</formula>
    </cfRule>
    <cfRule type="cellIs" dxfId="2104" priority="2354" operator="equal">
      <formula>"Alto"</formula>
    </cfRule>
    <cfRule type="cellIs" dxfId="2103" priority="2355" operator="equal">
      <formula>"Moderado"</formula>
    </cfRule>
    <cfRule type="cellIs" dxfId="2102" priority="2356" operator="equal">
      <formula>"Bajo"</formula>
    </cfRule>
  </conditionalFormatting>
  <conditionalFormatting sqref="AB63">
    <cfRule type="cellIs" dxfId="2101" priority="2348" operator="equal">
      <formula>"Muy Alta"</formula>
    </cfRule>
    <cfRule type="cellIs" dxfId="2100" priority="2349" operator="equal">
      <formula>"Alta"</formula>
    </cfRule>
    <cfRule type="cellIs" dxfId="2099" priority="2350" operator="equal">
      <formula>"Media"</formula>
    </cfRule>
    <cfRule type="cellIs" dxfId="2098" priority="2351" operator="equal">
      <formula>"Baja"</formula>
    </cfRule>
    <cfRule type="cellIs" dxfId="2097" priority="2352" operator="equal">
      <formula>"Muy Baja"</formula>
    </cfRule>
  </conditionalFormatting>
  <conditionalFormatting sqref="AD63">
    <cfRule type="cellIs" dxfId="2096" priority="2343" operator="equal">
      <formula>"Catastrófico"</formula>
    </cfRule>
    <cfRule type="cellIs" dxfId="2095" priority="2344" operator="equal">
      <formula>"Mayor"</formula>
    </cfRule>
    <cfRule type="cellIs" dxfId="2094" priority="2345" operator="equal">
      <formula>"Moderado"</formula>
    </cfRule>
    <cfRule type="cellIs" dxfId="2093" priority="2346" operator="equal">
      <formula>"Menor"</formula>
    </cfRule>
    <cfRule type="cellIs" dxfId="2092" priority="2347" operator="equal">
      <formula>"Leve"</formula>
    </cfRule>
  </conditionalFormatting>
  <conditionalFormatting sqref="AF63">
    <cfRule type="cellIs" dxfId="2091" priority="2339" operator="equal">
      <formula>"Extremo"</formula>
    </cfRule>
    <cfRule type="cellIs" dxfId="2090" priority="2340" operator="equal">
      <formula>"Alto"</formula>
    </cfRule>
    <cfRule type="cellIs" dxfId="2089" priority="2341" operator="equal">
      <formula>"Moderado"</formula>
    </cfRule>
    <cfRule type="cellIs" dxfId="2088" priority="2342" operator="equal">
      <formula>"Bajo"</formula>
    </cfRule>
  </conditionalFormatting>
  <conditionalFormatting sqref="AB65">
    <cfRule type="cellIs" dxfId="2087" priority="2334" operator="equal">
      <formula>"Muy Alta"</formula>
    </cfRule>
    <cfRule type="cellIs" dxfId="2086" priority="2335" operator="equal">
      <formula>"Alta"</formula>
    </cfRule>
    <cfRule type="cellIs" dxfId="2085" priority="2336" operator="equal">
      <formula>"Media"</formula>
    </cfRule>
    <cfRule type="cellIs" dxfId="2084" priority="2337" operator="equal">
      <formula>"Baja"</formula>
    </cfRule>
    <cfRule type="cellIs" dxfId="2083" priority="2338" operator="equal">
      <formula>"Muy Baja"</formula>
    </cfRule>
  </conditionalFormatting>
  <conditionalFormatting sqref="AD65">
    <cfRule type="cellIs" dxfId="2082" priority="2329" operator="equal">
      <formula>"Catastrófico"</formula>
    </cfRule>
    <cfRule type="cellIs" dxfId="2081" priority="2330" operator="equal">
      <formula>"Mayor"</formula>
    </cfRule>
    <cfRule type="cellIs" dxfId="2080" priority="2331" operator="equal">
      <formula>"Moderado"</formula>
    </cfRule>
    <cfRule type="cellIs" dxfId="2079" priority="2332" operator="equal">
      <formula>"Menor"</formula>
    </cfRule>
    <cfRule type="cellIs" dxfId="2078" priority="2333" operator="equal">
      <formula>"Leve"</formula>
    </cfRule>
  </conditionalFormatting>
  <conditionalFormatting sqref="AF65">
    <cfRule type="cellIs" dxfId="2077" priority="2325" operator="equal">
      <formula>"Extremo"</formula>
    </cfRule>
    <cfRule type="cellIs" dxfId="2076" priority="2326" operator="equal">
      <formula>"Alto"</formula>
    </cfRule>
    <cfRule type="cellIs" dxfId="2075" priority="2327" operator="equal">
      <formula>"Moderado"</formula>
    </cfRule>
    <cfRule type="cellIs" dxfId="2074" priority="2328" operator="equal">
      <formula>"Bajo"</formula>
    </cfRule>
  </conditionalFormatting>
  <conditionalFormatting sqref="AB66">
    <cfRule type="cellIs" dxfId="2073" priority="2320" operator="equal">
      <formula>"Muy Alta"</formula>
    </cfRule>
    <cfRule type="cellIs" dxfId="2072" priority="2321" operator="equal">
      <formula>"Alta"</formula>
    </cfRule>
    <cfRule type="cellIs" dxfId="2071" priority="2322" operator="equal">
      <formula>"Media"</formula>
    </cfRule>
    <cfRule type="cellIs" dxfId="2070" priority="2323" operator="equal">
      <formula>"Baja"</formula>
    </cfRule>
    <cfRule type="cellIs" dxfId="2069" priority="2324" operator="equal">
      <formula>"Muy Baja"</formula>
    </cfRule>
  </conditionalFormatting>
  <conditionalFormatting sqref="AD66">
    <cfRule type="cellIs" dxfId="2068" priority="2315" operator="equal">
      <formula>"Catastrófico"</formula>
    </cfRule>
    <cfRule type="cellIs" dxfId="2067" priority="2316" operator="equal">
      <formula>"Mayor"</formula>
    </cfRule>
    <cfRule type="cellIs" dxfId="2066" priority="2317" operator="equal">
      <formula>"Moderado"</formula>
    </cfRule>
    <cfRule type="cellIs" dxfId="2065" priority="2318" operator="equal">
      <formula>"Menor"</formula>
    </cfRule>
    <cfRule type="cellIs" dxfId="2064" priority="2319" operator="equal">
      <formula>"Leve"</formula>
    </cfRule>
  </conditionalFormatting>
  <conditionalFormatting sqref="AF66">
    <cfRule type="cellIs" dxfId="2063" priority="2311" operator="equal">
      <formula>"Extremo"</formula>
    </cfRule>
    <cfRule type="cellIs" dxfId="2062" priority="2312" operator="equal">
      <formula>"Alto"</formula>
    </cfRule>
    <cfRule type="cellIs" dxfId="2061" priority="2313" operator="equal">
      <formula>"Moderado"</formula>
    </cfRule>
    <cfRule type="cellIs" dxfId="2060" priority="2314" operator="equal">
      <formula>"Bajo"</formula>
    </cfRule>
  </conditionalFormatting>
  <conditionalFormatting sqref="AB68">
    <cfRule type="cellIs" dxfId="2059" priority="2306" operator="equal">
      <formula>"Muy Alta"</formula>
    </cfRule>
    <cfRule type="cellIs" dxfId="2058" priority="2307" operator="equal">
      <formula>"Alta"</formula>
    </cfRule>
    <cfRule type="cellIs" dxfId="2057" priority="2308" operator="equal">
      <formula>"Media"</formula>
    </cfRule>
    <cfRule type="cellIs" dxfId="2056" priority="2309" operator="equal">
      <formula>"Baja"</formula>
    </cfRule>
    <cfRule type="cellIs" dxfId="2055" priority="2310" operator="equal">
      <formula>"Muy Baja"</formula>
    </cfRule>
  </conditionalFormatting>
  <conditionalFormatting sqref="AD68">
    <cfRule type="cellIs" dxfId="2054" priority="2301" operator="equal">
      <formula>"Catastrófico"</formula>
    </cfRule>
    <cfRule type="cellIs" dxfId="2053" priority="2302" operator="equal">
      <formula>"Mayor"</formula>
    </cfRule>
    <cfRule type="cellIs" dxfId="2052" priority="2303" operator="equal">
      <formula>"Moderado"</formula>
    </cfRule>
    <cfRule type="cellIs" dxfId="2051" priority="2304" operator="equal">
      <formula>"Menor"</formula>
    </cfRule>
    <cfRule type="cellIs" dxfId="2050" priority="2305" operator="equal">
      <formula>"Leve"</formula>
    </cfRule>
  </conditionalFormatting>
  <conditionalFormatting sqref="AF68">
    <cfRule type="cellIs" dxfId="2049" priority="2297" operator="equal">
      <formula>"Extremo"</formula>
    </cfRule>
    <cfRule type="cellIs" dxfId="2048" priority="2298" operator="equal">
      <formula>"Alto"</formula>
    </cfRule>
    <cfRule type="cellIs" dxfId="2047" priority="2299" operator="equal">
      <formula>"Moderado"</formula>
    </cfRule>
    <cfRule type="cellIs" dxfId="2046" priority="2300" operator="equal">
      <formula>"Bajo"</formula>
    </cfRule>
  </conditionalFormatting>
  <conditionalFormatting sqref="AB69">
    <cfRule type="cellIs" dxfId="2045" priority="2292" operator="equal">
      <formula>"Muy Alta"</formula>
    </cfRule>
    <cfRule type="cellIs" dxfId="2044" priority="2293" operator="equal">
      <formula>"Alta"</formula>
    </cfRule>
    <cfRule type="cellIs" dxfId="2043" priority="2294" operator="equal">
      <formula>"Media"</formula>
    </cfRule>
    <cfRule type="cellIs" dxfId="2042" priority="2295" operator="equal">
      <formula>"Baja"</formula>
    </cfRule>
    <cfRule type="cellIs" dxfId="2041" priority="2296" operator="equal">
      <formula>"Muy Baja"</formula>
    </cfRule>
  </conditionalFormatting>
  <conditionalFormatting sqref="AD69">
    <cfRule type="cellIs" dxfId="2040" priority="2287" operator="equal">
      <formula>"Catastrófico"</formula>
    </cfRule>
    <cfRule type="cellIs" dxfId="2039" priority="2288" operator="equal">
      <formula>"Mayor"</formula>
    </cfRule>
    <cfRule type="cellIs" dxfId="2038" priority="2289" operator="equal">
      <formula>"Moderado"</formula>
    </cfRule>
    <cfRule type="cellIs" dxfId="2037" priority="2290" operator="equal">
      <formula>"Menor"</formula>
    </cfRule>
    <cfRule type="cellIs" dxfId="2036" priority="2291" operator="equal">
      <formula>"Leve"</formula>
    </cfRule>
  </conditionalFormatting>
  <conditionalFormatting sqref="AF69">
    <cfRule type="cellIs" dxfId="2035" priority="2283" operator="equal">
      <formula>"Extremo"</formula>
    </cfRule>
    <cfRule type="cellIs" dxfId="2034" priority="2284" operator="equal">
      <formula>"Alto"</formula>
    </cfRule>
    <cfRule type="cellIs" dxfId="2033" priority="2285" operator="equal">
      <formula>"Moderado"</formula>
    </cfRule>
    <cfRule type="cellIs" dxfId="2032" priority="2286" operator="equal">
      <formula>"Bajo"</formula>
    </cfRule>
  </conditionalFormatting>
  <conditionalFormatting sqref="AB73">
    <cfRule type="cellIs" dxfId="2031" priority="2278" operator="equal">
      <formula>"Muy Alta"</formula>
    </cfRule>
    <cfRule type="cellIs" dxfId="2030" priority="2279" operator="equal">
      <formula>"Alta"</formula>
    </cfRule>
    <cfRule type="cellIs" dxfId="2029" priority="2280" operator="equal">
      <formula>"Media"</formula>
    </cfRule>
    <cfRule type="cellIs" dxfId="2028" priority="2281" operator="equal">
      <formula>"Baja"</formula>
    </cfRule>
    <cfRule type="cellIs" dxfId="2027" priority="2282" operator="equal">
      <formula>"Muy Baja"</formula>
    </cfRule>
  </conditionalFormatting>
  <conditionalFormatting sqref="AD73">
    <cfRule type="cellIs" dxfId="2026" priority="2273" operator="equal">
      <formula>"Catastrófico"</formula>
    </cfRule>
    <cfRule type="cellIs" dxfId="2025" priority="2274" operator="equal">
      <formula>"Mayor"</formula>
    </cfRule>
    <cfRule type="cellIs" dxfId="2024" priority="2275" operator="equal">
      <formula>"Moderado"</formula>
    </cfRule>
    <cfRule type="cellIs" dxfId="2023" priority="2276" operator="equal">
      <formula>"Menor"</formula>
    </cfRule>
    <cfRule type="cellIs" dxfId="2022" priority="2277" operator="equal">
      <formula>"Leve"</formula>
    </cfRule>
  </conditionalFormatting>
  <conditionalFormatting sqref="AF73">
    <cfRule type="cellIs" dxfId="2021" priority="2269" operator="equal">
      <formula>"Extremo"</formula>
    </cfRule>
    <cfRule type="cellIs" dxfId="2020" priority="2270" operator="equal">
      <formula>"Alto"</formula>
    </cfRule>
    <cfRule type="cellIs" dxfId="2019" priority="2271" operator="equal">
      <formula>"Moderado"</formula>
    </cfRule>
    <cfRule type="cellIs" dxfId="2018" priority="2272" operator="equal">
      <formula>"Bajo"</formula>
    </cfRule>
  </conditionalFormatting>
  <conditionalFormatting sqref="AB74">
    <cfRule type="cellIs" dxfId="2017" priority="2264" operator="equal">
      <formula>"Muy Alta"</formula>
    </cfRule>
    <cfRule type="cellIs" dxfId="2016" priority="2265" operator="equal">
      <formula>"Alta"</formula>
    </cfRule>
    <cfRule type="cellIs" dxfId="2015" priority="2266" operator="equal">
      <formula>"Media"</formula>
    </cfRule>
    <cfRule type="cellIs" dxfId="2014" priority="2267" operator="equal">
      <formula>"Baja"</formula>
    </cfRule>
    <cfRule type="cellIs" dxfId="2013" priority="2268" operator="equal">
      <formula>"Muy Baja"</formula>
    </cfRule>
  </conditionalFormatting>
  <conditionalFormatting sqref="AD74">
    <cfRule type="cellIs" dxfId="2012" priority="2259" operator="equal">
      <formula>"Catastrófico"</formula>
    </cfRule>
    <cfRule type="cellIs" dxfId="2011" priority="2260" operator="equal">
      <formula>"Mayor"</formula>
    </cfRule>
    <cfRule type="cellIs" dxfId="2010" priority="2261" operator="equal">
      <formula>"Moderado"</formula>
    </cfRule>
    <cfRule type="cellIs" dxfId="2009" priority="2262" operator="equal">
      <formula>"Menor"</formula>
    </cfRule>
    <cfRule type="cellIs" dxfId="2008" priority="2263" operator="equal">
      <formula>"Leve"</formula>
    </cfRule>
  </conditionalFormatting>
  <conditionalFormatting sqref="AF74">
    <cfRule type="cellIs" dxfId="2007" priority="2255" operator="equal">
      <formula>"Extremo"</formula>
    </cfRule>
    <cfRule type="cellIs" dxfId="2006" priority="2256" operator="equal">
      <formula>"Alto"</formula>
    </cfRule>
    <cfRule type="cellIs" dxfId="2005" priority="2257" operator="equal">
      <formula>"Moderado"</formula>
    </cfRule>
    <cfRule type="cellIs" dxfId="2004" priority="2258" operator="equal">
      <formula>"Bajo"</formula>
    </cfRule>
  </conditionalFormatting>
  <conditionalFormatting sqref="AB75">
    <cfRule type="cellIs" dxfId="2003" priority="2250" operator="equal">
      <formula>"Muy Alta"</formula>
    </cfRule>
    <cfRule type="cellIs" dxfId="2002" priority="2251" operator="equal">
      <formula>"Alta"</formula>
    </cfRule>
    <cfRule type="cellIs" dxfId="2001" priority="2252" operator="equal">
      <formula>"Media"</formula>
    </cfRule>
    <cfRule type="cellIs" dxfId="2000" priority="2253" operator="equal">
      <formula>"Baja"</formula>
    </cfRule>
    <cfRule type="cellIs" dxfId="1999" priority="2254" operator="equal">
      <formula>"Muy Baja"</formula>
    </cfRule>
  </conditionalFormatting>
  <conditionalFormatting sqref="AD75">
    <cfRule type="cellIs" dxfId="1998" priority="2245" operator="equal">
      <formula>"Catastrófico"</formula>
    </cfRule>
    <cfRule type="cellIs" dxfId="1997" priority="2246" operator="equal">
      <formula>"Mayor"</formula>
    </cfRule>
    <cfRule type="cellIs" dxfId="1996" priority="2247" operator="equal">
      <formula>"Moderado"</formula>
    </cfRule>
    <cfRule type="cellIs" dxfId="1995" priority="2248" operator="equal">
      <formula>"Menor"</formula>
    </cfRule>
    <cfRule type="cellIs" dxfId="1994" priority="2249" operator="equal">
      <formula>"Leve"</formula>
    </cfRule>
  </conditionalFormatting>
  <conditionalFormatting sqref="AF75">
    <cfRule type="cellIs" dxfId="1993" priority="2241" operator="equal">
      <formula>"Extremo"</formula>
    </cfRule>
    <cfRule type="cellIs" dxfId="1992" priority="2242" operator="equal">
      <formula>"Alto"</formula>
    </cfRule>
    <cfRule type="cellIs" dxfId="1991" priority="2243" operator="equal">
      <formula>"Moderado"</formula>
    </cfRule>
    <cfRule type="cellIs" dxfId="1990" priority="2244" operator="equal">
      <formula>"Bajo"</formula>
    </cfRule>
  </conditionalFormatting>
  <conditionalFormatting sqref="AB77">
    <cfRule type="cellIs" dxfId="1989" priority="2236" operator="equal">
      <formula>"Muy Alta"</formula>
    </cfRule>
    <cfRule type="cellIs" dxfId="1988" priority="2237" operator="equal">
      <formula>"Alta"</formula>
    </cfRule>
    <cfRule type="cellIs" dxfId="1987" priority="2238" operator="equal">
      <formula>"Media"</formula>
    </cfRule>
    <cfRule type="cellIs" dxfId="1986" priority="2239" operator="equal">
      <formula>"Baja"</formula>
    </cfRule>
    <cfRule type="cellIs" dxfId="1985" priority="2240" operator="equal">
      <formula>"Muy Baja"</formula>
    </cfRule>
  </conditionalFormatting>
  <conditionalFormatting sqref="AD77">
    <cfRule type="cellIs" dxfId="1984" priority="2231" operator="equal">
      <formula>"Catastrófico"</formula>
    </cfRule>
    <cfRule type="cellIs" dxfId="1983" priority="2232" operator="equal">
      <formula>"Mayor"</formula>
    </cfRule>
    <cfRule type="cellIs" dxfId="1982" priority="2233" operator="equal">
      <formula>"Moderado"</formula>
    </cfRule>
    <cfRule type="cellIs" dxfId="1981" priority="2234" operator="equal">
      <formula>"Menor"</formula>
    </cfRule>
    <cfRule type="cellIs" dxfId="1980" priority="2235" operator="equal">
      <formula>"Leve"</formula>
    </cfRule>
  </conditionalFormatting>
  <conditionalFormatting sqref="AF77">
    <cfRule type="cellIs" dxfId="1979" priority="2227" operator="equal">
      <formula>"Extremo"</formula>
    </cfRule>
    <cfRule type="cellIs" dxfId="1978" priority="2228" operator="equal">
      <formula>"Alto"</formula>
    </cfRule>
    <cfRule type="cellIs" dxfId="1977" priority="2229" operator="equal">
      <formula>"Moderado"</formula>
    </cfRule>
    <cfRule type="cellIs" dxfId="1976" priority="2230" operator="equal">
      <formula>"Bajo"</formula>
    </cfRule>
  </conditionalFormatting>
  <conditionalFormatting sqref="AB76">
    <cfRule type="cellIs" dxfId="1975" priority="2222" operator="equal">
      <formula>"Muy Alta"</formula>
    </cfRule>
    <cfRule type="cellIs" dxfId="1974" priority="2223" operator="equal">
      <formula>"Alta"</formula>
    </cfRule>
    <cfRule type="cellIs" dxfId="1973" priority="2224" operator="equal">
      <formula>"Media"</formula>
    </cfRule>
    <cfRule type="cellIs" dxfId="1972" priority="2225" operator="equal">
      <formula>"Baja"</formula>
    </cfRule>
    <cfRule type="cellIs" dxfId="1971" priority="2226" operator="equal">
      <formula>"Muy Baja"</formula>
    </cfRule>
  </conditionalFormatting>
  <conditionalFormatting sqref="AD76">
    <cfRule type="cellIs" dxfId="1970" priority="2217" operator="equal">
      <formula>"Catastrófico"</formula>
    </cfRule>
    <cfRule type="cellIs" dxfId="1969" priority="2218" operator="equal">
      <formula>"Mayor"</formula>
    </cfRule>
    <cfRule type="cellIs" dxfId="1968" priority="2219" operator="equal">
      <formula>"Moderado"</formula>
    </cfRule>
    <cfRule type="cellIs" dxfId="1967" priority="2220" operator="equal">
      <formula>"Menor"</formula>
    </cfRule>
    <cfRule type="cellIs" dxfId="1966" priority="2221" operator="equal">
      <formula>"Leve"</formula>
    </cfRule>
  </conditionalFormatting>
  <conditionalFormatting sqref="AF76">
    <cfRule type="cellIs" dxfId="1965" priority="2213" operator="equal">
      <formula>"Extremo"</formula>
    </cfRule>
    <cfRule type="cellIs" dxfId="1964" priority="2214" operator="equal">
      <formula>"Alto"</formula>
    </cfRule>
    <cfRule type="cellIs" dxfId="1963" priority="2215" operator="equal">
      <formula>"Moderado"</formula>
    </cfRule>
    <cfRule type="cellIs" dxfId="1962" priority="2216" operator="equal">
      <formula>"Bajo"</formula>
    </cfRule>
  </conditionalFormatting>
  <conditionalFormatting sqref="AB78">
    <cfRule type="cellIs" dxfId="1961" priority="2208" operator="equal">
      <formula>"Muy Alta"</formula>
    </cfRule>
    <cfRule type="cellIs" dxfId="1960" priority="2209" operator="equal">
      <formula>"Alta"</formula>
    </cfRule>
    <cfRule type="cellIs" dxfId="1959" priority="2210" operator="equal">
      <formula>"Media"</formula>
    </cfRule>
    <cfRule type="cellIs" dxfId="1958" priority="2211" operator="equal">
      <formula>"Baja"</formula>
    </cfRule>
    <cfRule type="cellIs" dxfId="1957" priority="2212" operator="equal">
      <formula>"Muy Baja"</formula>
    </cfRule>
  </conditionalFormatting>
  <conditionalFormatting sqref="AD78">
    <cfRule type="cellIs" dxfId="1956" priority="2203" operator="equal">
      <formula>"Catastrófico"</formula>
    </cfRule>
    <cfRule type="cellIs" dxfId="1955" priority="2204" operator="equal">
      <formula>"Mayor"</formula>
    </cfRule>
    <cfRule type="cellIs" dxfId="1954" priority="2205" operator="equal">
      <formula>"Moderado"</formula>
    </cfRule>
    <cfRule type="cellIs" dxfId="1953" priority="2206" operator="equal">
      <formula>"Menor"</formula>
    </cfRule>
    <cfRule type="cellIs" dxfId="1952" priority="2207" operator="equal">
      <formula>"Leve"</formula>
    </cfRule>
  </conditionalFormatting>
  <conditionalFormatting sqref="AF78">
    <cfRule type="cellIs" dxfId="1951" priority="2199" operator="equal">
      <formula>"Extremo"</formula>
    </cfRule>
    <cfRule type="cellIs" dxfId="1950" priority="2200" operator="equal">
      <formula>"Alto"</formula>
    </cfRule>
    <cfRule type="cellIs" dxfId="1949" priority="2201" operator="equal">
      <formula>"Moderado"</formula>
    </cfRule>
    <cfRule type="cellIs" dxfId="1948" priority="2202" operator="equal">
      <formula>"Bajo"</formula>
    </cfRule>
  </conditionalFormatting>
  <conditionalFormatting sqref="AB80">
    <cfRule type="cellIs" dxfId="1947" priority="2194" operator="equal">
      <formula>"Muy Alta"</formula>
    </cfRule>
    <cfRule type="cellIs" dxfId="1946" priority="2195" operator="equal">
      <formula>"Alta"</formula>
    </cfRule>
    <cfRule type="cellIs" dxfId="1945" priority="2196" operator="equal">
      <formula>"Media"</formula>
    </cfRule>
    <cfRule type="cellIs" dxfId="1944" priority="2197" operator="equal">
      <formula>"Baja"</formula>
    </cfRule>
    <cfRule type="cellIs" dxfId="1943" priority="2198" operator="equal">
      <formula>"Muy Baja"</formula>
    </cfRule>
  </conditionalFormatting>
  <conditionalFormatting sqref="AD80">
    <cfRule type="cellIs" dxfId="1942" priority="2189" operator="equal">
      <formula>"Catastrófico"</formula>
    </cfRule>
    <cfRule type="cellIs" dxfId="1941" priority="2190" operator="equal">
      <formula>"Mayor"</formula>
    </cfRule>
    <cfRule type="cellIs" dxfId="1940" priority="2191" operator="equal">
      <formula>"Moderado"</formula>
    </cfRule>
    <cfRule type="cellIs" dxfId="1939" priority="2192" operator="equal">
      <formula>"Menor"</formula>
    </cfRule>
    <cfRule type="cellIs" dxfId="1938" priority="2193" operator="equal">
      <formula>"Leve"</formula>
    </cfRule>
  </conditionalFormatting>
  <conditionalFormatting sqref="AF80">
    <cfRule type="cellIs" dxfId="1937" priority="2185" operator="equal">
      <formula>"Extremo"</formula>
    </cfRule>
    <cfRule type="cellIs" dxfId="1936" priority="2186" operator="equal">
      <formula>"Alto"</formula>
    </cfRule>
    <cfRule type="cellIs" dxfId="1935" priority="2187" operator="equal">
      <formula>"Moderado"</formula>
    </cfRule>
    <cfRule type="cellIs" dxfId="1934" priority="2188" operator="equal">
      <formula>"Bajo"</formula>
    </cfRule>
  </conditionalFormatting>
  <conditionalFormatting sqref="AB81">
    <cfRule type="cellIs" dxfId="1933" priority="2180" operator="equal">
      <formula>"Muy Alta"</formula>
    </cfRule>
    <cfRule type="cellIs" dxfId="1932" priority="2181" operator="equal">
      <formula>"Alta"</formula>
    </cfRule>
    <cfRule type="cellIs" dxfId="1931" priority="2182" operator="equal">
      <formula>"Media"</formula>
    </cfRule>
    <cfRule type="cellIs" dxfId="1930" priority="2183" operator="equal">
      <formula>"Baja"</formula>
    </cfRule>
    <cfRule type="cellIs" dxfId="1929" priority="2184" operator="equal">
      <formula>"Muy Baja"</formula>
    </cfRule>
  </conditionalFormatting>
  <conditionalFormatting sqref="AD81">
    <cfRule type="cellIs" dxfId="1928" priority="2175" operator="equal">
      <formula>"Catastrófico"</formula>
    </cfRule>
    <cfRule type="cellIs" dxfId="1927" priority="2176" operator="equal">
      <formula>"Mayor"</formula>
    </cfRule>
    <cfRule type="cellIs" dxfId="1926" priority="2177" operator="equal">
      <formula>"Moderado"</formula>
    </cfRule>
    <cfRule type="cellIs" dxfId="1925" priority="2178" operator="equal">
      <formula>"Menor"</formula>
    </cfRule>
    <cfRule type="cellIs" dxfId="1924" priority="2179" operator="equal">
      <formula>"Leve"</formula>
    </cfRule>
  </conditionalFormatting>
  <conditionalFormatting sqref="AF81">
    <cfRule type="cellIs" dxfId="1923" priority="2171" operator="equal">
      <formula>"Extremo"</formula>
    </cfRule>
    <cfRule type="cellIs" dxfId="1922" priority="2172" operator="equal">
      <formula>"Alto"</formula>
    </cfRule>
    <cfRule type="cellIs" dxfId="1921" priority="2173" operator="equal">
      <formula>"Moderado"</formula>
    </cfRule>
    <cfRule type="cellIs" dxfId="1920" priority="2174" operator="equal">
      <formula>"Bajo"</formula>
    </cfRule>
  </conditionalFormatting>
  <conditionalFormatting sqref="AB83">
    <cfRule type="cellIs" dxfId="1919" priority="2166" operator="equal">
      <formula>"Muy Alta"</formula>
    </cfRule>
    <cfRule type="cellIs" dxfId="1918" priority="2167" operator="equal">
      <formula>"Alta"</formula>
    </cfRule>
    <cfRule type="cellIs" dxfId="1917" priority="2168" operator="equal">
      <formula>"Media"</formula>
    </cfRule>
    <cfRule type="cellIs" dxfId="1916" priority="2169" operator="equal">
      <formula>"Baja"</formula>
    </cfRule>
    <cfRule type="cellIs" dxfId="1915" priority="2170" operator="equal">
      <formula>"Muy Baja"</formula>
    </cfRule>
  </conditionalFormatting>
  <conditionalFormatting sqref="AD83">
    <cfRule type="cellIs" dxfId="1914" priority="2161" operator="equal">
      <formula>"Catastrófico"</formula>
    </cfRule>
    <cfRule type="cellIs" dxfId="1913" priority="2162" operator="equal">
      <formula>"Mayor"</formula>
    </cfRule>
    <cfRule type="cellIs" dxfId="1912" priority="2163" operator="equal">
      <formula>"Moderado"</formula>
    </cfRule>
    <cfRule type="cellIs" dxfId="1911" priority="2164" operator="equal">
      <formula>"Menor"</formula>
    </cfRule>
    <cfRule type="cellIs" dxfId="1910" priority="2165" operator="equal">
      <formula>"Leve"</formula>
    </cfRule>
  </conditionalFormatting>
  <conditionalFormatting sqref="AF83">
    <cfRule type="cellIs" dxfId="1909" priority="2157" operator="equal">
      <formula>"Extremo"</formula>
    </cfRule>
    <cfRule type="cellIs" dxfId="1908" priority="2158" operator="equal">
      <formula>"Alto"</formula>
    </cfRule>
    <cfRule type="cellIs" dxfId="1907" priority="2159" operator="equal">
      <formula>"Moderado"</formula>
    </cfRule>
    <cfRule type="cellIs" dxfId="1906" priority="2160" operator="equal">
      <formula>"Bajo"</formula>
    </cfRule>
  </conditionalFormatting>
  <conditionalFormatting sqref="AB84">
    <cfRule type="cellIs" dxfId="1905" priority="2152" operator="equal">
      <formula>"Muy Alta"</formula>
    </cfRule>
    <cfRule type="cellIs" dxfId="1904" priority="2153" operator="equal">
      <formula>"Alta"</formula>
    </cfRule>
    <cfRule type="cellIs" dxfId="1903" priority="2154" operator="equal">
      <formula>"Media"</formula>
    </cfRule>
    <cfRule type="cellIs" dxfId="1902" priority="2155" operator="equal">
      <formula>"Baja"</formula>
    </cfRule>
    <cfRule type="cellIs" dxfId="1901" priority="2156" operator="equal">
      <formula>"Muy Baja"</formula>
    </cfRule>
  </conditionalFormatting>
  <conditionalFormatting sqref="AD84">
    <cfRule type="cellIs" dxfId="1900" priority="2147" operator="equal">
      <formula>"Catastrófico"</formula>
    </cfRule>
    <cfRule type="cellIs" dxfId="1899" priority="2148" operator="equal">
      <formula>"Mayor"</formula>
    </cfRule>
    <cfRule type="cellIs" dxfId="1898" priority="2149" operator="equal">
      <formula>"Moderado"</formula>
    </cfRule>
    <cfRule type="cellIs" dxfId="1897" priority="2150" operator="equal">
      <formula>"Menor"</formula>
    </cfRule>
    <cfRule type="cellIs" dxfId="1896" priority="2151" operator="equal">
      <formula>"Leve"</formula>
    </cfRule>
  </conditionalFormatting>
  <conditionalFormatting sqref="AF84">
    <cfRule type="cellIs" dxfId="1895" priority="2143" operator="equal">
      <formula>"Extremo"</formula>
    </cfRule>
    <cfRule type="cellIs" dxfId="1894" priority="2144" operator="equal">
      <formula>"Alto"</formula>
    </cfRule>
    <cfRule type="cellIs" dxfId="1893" priority="2145" operator="equal">
      <formula>"Moderado"</formula>
    </cfRule>
    <cfRule type="cellIs" dxfId="1892" priority="2146" operator="equal">
      <formula>"Bajo"</formula>
    </cfRule>
  </conditionalFormatting>
  <conditionalFormatting sqref="AB89">
    <cfRule type="cellIs" dxfId="1891" priority="2138" operator="equal">
      <formula>"Muy Alta"</formula>
    </cfRule>
    <cfRule type="cellIs" dxfId="1890" priority="2139" operator="equal">
      <formula>"Alta"</formula>
    </cfRule>
    <cfRule type="cellIs" dxfId="1889" priority="2140" operator="equal">
      <formula>"Media"</formula>
    </cfRule>
    <cfRule type="cellIs" dxfId="1888" priority="2141" operator="equal">
      <formula>"Baja"</formula>
    </cfRule>
    <cfRule type="cellIs" dxfId="1887" priority="2142" operator="equal">
      <formula>"Muy Baja"</formula>
    </cfRule>
  </conditionalFormatting>
  <conditionalFormatting sqref="AD89">
    <cfRule type="cellIs" dxfId="1886" priority="2133" operator="equal">
      <formula>"Catastrófico"</formula>
    </cfRule>
    <cfRule type="cellIs" dxfId="1885" priority="2134" operator="equal">
      <formula>"Mayor"</formula>
    </cfRule>
    <cfRule type="cellIs" dxfId="1884" priority="2135" operator="equal">
      <formula>"Moderado"</formula>
    </cfRule>
    <cfRule type="cellIs" dxfId="1883" priority="2136" operator="equal">
      <formula>"Menor"</formula>
    </cfRule>
    <cfRule type="cellIs" dxfId="1882" priority="2137" operator="equal">
      <formula>"Leve"</formula>
    </cfRule>
  </conditionalFormatting>
  <conditionalFormatting sqref="AF89">
    <cfRule type="cellIs" dxfId="1881" priority="2129" operator="equal">
      <formula>"Extremo"</formula>
    </cfRule>
    <cfRule type="cellIs" dxfId="1880" priority="2130" operator="equal">
      <formula>"Alto"</formula>
    </cfRule>
    <cfRule type="cellIs" dxfId="1879" priority="2131" operator="equal">
      <formula>"Moderado"</formula>
    </cfRule>
    <cfRule type="cellIs" dxfId="1878" priority="2132" operator="equal">
      <formula>"Bajo"</formula>
    </cfRule>
  </conditionalFormatting>
  <conditionalFormatting sqref="AB90">
    <cfRule type="cellIs" dxfId="1877" priority="2124" operator="equal">
      <formula>"Muy Alta"</formula>
    </cfRule>
    <cfRule type="cellIs" dxfId="1876" priority="2125" operator="equal">
      <formula>"Alta"</formula>
    </cfRule>
    <cfRule type="cellIs" dxfId="1875" priority="2126" operator="equal">
      <formula>"Media"</formula>
    </cfRule>
    <cfRule type="cellIs" dxfId="1874" priority="2127" operator="equal">
      <formula>"Baja"</formula>
    </cfRule>
    <cfRule type="cellIs" dxfId="1873" priority="2128" operator="equal">
      <formula>"Muy Baja"</formula>
    </cfRule>
  </conditionalFormatting>
  <conditionalFormatting sqref="AD90">
    <cfRule type="cellIs" dxfId="1872" priority="2119" operator="equal">
      <formula>"Catastrófico"</formula>
    </cfRule>
    <cfRule type="cellIs" dxfId="1871" priority="2120" operator="equal">
      <formula>"Mayor"</formula>
    </cfRule>
    <cfRule type="cellIs" dxfId="1870" priority="2121" operator="equal">
      <formula>"Moderado"</formula>
    </cfRule>
    <cfRule type="cellIs" dxfId="1869" priority="2122" operator="equal">
      <formula>"Menor"</formula>
    </cfRule>
    <cfRule type="cellIs" dxfId="1868" priority="2123" operator="equal">
      <formula>"Leve"</formula>
    </cfRule>
  </conditionalFormatting>
  <conditionalFormatting sqref="AF90">
    <cfRule type="cellIs" dxfId="1867" priority="2115" operator="equal">
      <formula>"Extremo"</formula>
    </cfRule>
    <cfRule type="cellIs" dxfId="1866" priority="2116" operator="equal">
      <formula>"Alto"</formula>
    </cfRule>
    <cfRule type="cellIs" dxfId="1865" priority="2117" operator="equal">
      <formula>"Moderado"</formula>
    </cfRule>
    <cfRule type="cellIs" dxfId="1864" priority="2118" operator="equal">
      <formula>"Bajo"</formula>
    </cfRule>
  </conditionalFormatting>
  <conditionalFormatting sqref="AB92">
    <cfRule type="cellIs" dxfId="1863" priority="2110" operator="equal">
      <formula>"Muy Alta"</formula>
    </cfRule>
    <cfRule type="cellIs" dxfId="1862" priority="2111" operator="equal">
      <formula>"Alta"</formula>
    </cfRule>
    <cfRule type="cellIs" dxfId="1861" priority="2112" operator="equal">
      <formula>"Media"</formula>
    </cfRule>
    <cfRule type="cellIs" dxfId="1860" priority="2113" operator="equal">
      <formula>"Baja"</formula>
    </cfRule>
    <cfRule type="cellIs" dxfId="1859" priority="2114" operator="equal">
      <formula>"Muy Baja"</formula>
    </cfRule>
  </conditionalFormatting>
  <conditionalFormatting sqref="AD92">
    <cfRule type="cellIs" dxfId="1858" priority="2105" operator="equal">
      <formula>"Catastrófico"</formula>
    </cfRule>
    <cfRule type="cellIs" dxfId="1857" priority="2106" operator="equal">
      <formula>"Mayor"</formula>
    </cfRule>
    <cfRule type="cellIs" dxfId="1856" priority="2107" operator="equal">
      <formula>"Moderado"</formula>
    </cfRule>
    <cfRule type="cellIs" dxfId="1855" priority="2108" operator="equal">
      <formula>"Menor"</formula>
    </cfRule>
    <cfRule type="cellIs" dxfId="1854" priority="2109" operator="equal">
      <formula>"Leve"</formula>
    </cfRule>
  </conditionalFormatting>
  <conditionalFormatting sqref="AF92">
    <cfRule type="cellIs" dxfId="1853" priority="2101" operator="equal">
      <formula>"Extremo"</formula>
    </cfRule>
    <cfRule type="cellIs" dxfId="1852" priority="2102" operator="equal">
      <formula>"Alto"</formula>
    </cfRule>
    <cfRule type="cellIs" dxfId="1851" priority="2103" operator="equal">
      <formula>"Moderado"</formula>
    </cfRule>
    <cfRule type="cellIs" dxfId="1850" priority="2104" operator="equal">
      <formula>"Bajo"</formula>
    </cfRule>
  </conditionalFormatting>
  <conditionalFormatting sqref="AB94">
    <cfRule type="cellIs" dxfId="1849" priority="2096" operator="equal">
      <formula>"Muy Alta"</formula>
    </cfRule>
    <cfRule type="cellIs" dxfId="1848" priority="2097" operator="equal">
      <formula>"Alta"</formula>
    </cfRule>
    <cfRule type="cellIs" dxfId="1847" priority="2098" operator="equal">
      <formula>"Media"</formula>
    </cfRule>
    <cfRule type="cellIs" dxfId="1846" priority="2099" operator="equal">
      <formula>"Baja"</formula>
    </cfRule>
    <cfRule type="cellIs" dxfId="1845" priority="2100" operator="equal">
      <formula>"Muy Baja"</formula>
    </cfRule>
  </conditionalFormatting>
  <conditionalFormatting sqref="AD94">
    <cfRule type="cellIs" dxfId="1844" priority="2091" operator="equal">
      <formula>"Catastrófico"</formula>
    </cfRule>
    <cfRule type="cellIs" dxfId="1843" priority="2092" operator="equal">
      <formula>"Mayor"</formula>
    </cfRule>
    <cfRule type="cellIs" dxfId="1842" priority="2093" operator="equal">
      <formula>"Moderado"</formula>
    </cfRule>
    <cfRule type="cellIs" dxfId="1841" priority="2094" operator="equal">
      <formula>"Menor"</formula>
    </cfRule>
    <cfRule type="cellIs" dxfId="1840" priority="2095" operator="equal">
      <formula>"Leve"</formula>
    </cfRule>
  </conditionalFormatting>
  <conditionalFormatting sqref="AF94">
    <cfRule type="cellIs" dxfId="1839" priority="2087" operator="equal">
      <formula>"Extremo"</formula>
    </cfRule>
    <cfRule type="cellIs" dxfId="1838" priority="2088" operator="equal">
      <formula>"Alto"</formula>
    </cfRule>
    <cfRule type="cellIs" dxfId="1837" priority="2089" operator="equal">
      <formula>"Moderado"</formula>
    </cfRule>
    <cfRule type="cellIs" dxfId="1836" priority="2090" operator="equal">
      <formula>"Bajo"</formula>
    </cfRule>
  </conditionalFormatting>
  <conditionalFormatting sqref="AB93">
    <cfRule type="cellIs" dxfId="1835" priority="2082" operator="equal">
      <formula>"Muy Alta"</formula>
    </cfRule>
    <cfRule type="cellIs" dxfId="1834" priority="2083" operator="equal">
      <formula>"Alta"</formula>
    </cfRule>
    <cfRule type="cellIs" dxfId="1833" priority="2084" operator="equal">
      <formula>"Media"</formula>
    </cfRule>
    <cfRule type="cellIs" dxfId="1832" priority="2085" operator="equal">
      <formula>"Baja"</formula>
    </cfRule>
    <cfRule type="cellIs" dxfId="1831" priority="2086" operator="equal">
      <formula>"Muy Baja"</formula>
    </cfRule>
  </conditionalFormatting>
  <conditionalFormatting sqref="AD93">
    <cfRule type="cellIs" dxfId="1830" priority="2077" operator="equal">
      <formula>"Catastrófico"</formula>
    </cfRule>
    <cfRule type="cellIs" dxfId="1829" priority="2078" operator="equal">
      <formula>"Mayor"</formula>
    </cfRule>
    <cfRule type="cellIs" dxfId="1828" priority="2079" operator="equal">
      <formula>"Moderado"</formula>
    </cfRule>
    <cfRule type="cellIs" dxfId="1827" priority="2080" operator="equal">
      <formula>"Menor"</formula>
    </cfRule>
    <cfRule type="cellIs" dxfId="1826" priority="2081" operator="equal">
      <formula>"Leve"</formula>
    </cfRule>
  </conditionalFormatting>
  <conditionalFormatting sqref="AF93">
    <cfRule type="cellIs" dxfId="1825" priority="2073" operator="equal">
      <formula>"Extremo"</formula>
    </cfRule>
    <cfRule type="cellIs" dxfId="1824" priority="2074" operator="equal">
      <formula>"Alto"</formula>
    </cfRule>
    <cfRule type="cellIs" dxfId="1823" priority="2075" operator="equal">
      <formula>"Moderado"</formula>
    </cfRule>
    <cfRule type="cellIs" dxfId="1822" priority="2076" operator="equal">
      <formula>"Bajo"</formula>
    </cfRule>
  </conditionalFormatting>
  <conditionalFormatting sqref="AB95">
    <cfRule type="cellIs" dxfId="1821" priority="2068" operator="equal">
      <formula>"Muy Alta"</formula>
    </cfRule>
    <cfRule type="cellIs" dxfId="1820" priority="2069" operator="equal">
      <formula>"Alta"</formula>
    </cfRule>
    <cfRule type="cellIs" dxfId="1819" priority="2070" operator="equal">
      <formula>"Media"</formula>
    </cfRule>
    <cfRule type="cellIs" dxfId="1818" priority="2071" operator="equal">
      <formula>"Baja"</formula>
    </cfRule>
    <cfRule type="cellIs" dxfId="1817" priority="2072" operator="equal">
      <formula>"Muy Baja"</formula>
    </cfRule>
  </conditionalFormatting>
  <conditionalFormatting sqref="AD95">
    <cfRule type="cellIs" dxfId="1816" priority="2063" operator="equal">
      <formula>"Catastrófico"</formula>
    </cfRule>
    <cfRule type="cellIs" dxfId="1815" priority="2064" operator="equal">
      <formula>"Mayor"</formula>
    </cfRule>
    <cfRule type="cellIs" dxfId="1814" priority="2065" operator="equal">
      <formula>"Moderado"</formula>
    </cfRule>
    <cfRule type="cellIs" dxfId="1813" priority="2066" operator="equal">
      <formula>"Menor"</formula>
    </cfRule>
    <cfRule type="cellIs" dxfId="1812" priority="2067" operator="equal">
      <formula>"Leve"</formula>
    </cfRule>
  </conditionalFormatting>
  <conditionalFormatting sqref="AF95">
    <cfRule type="cellIs" dxfId="1811" priority="2059" operator="equal">
      <formula>"Extremo"</formula>
    </cfRule>
    <cfRule type="cellIs" dxfId="1810" priority="2060" operator="equal">
      <formula>"Alto"</formula>
    </cfRule>
    <cfRule type="cellIs" dxfId="1809" priority="2061" operator="equal">
      <formula>"Moderado"</formula>
    </cfRule>
    <cfRule type="cellIs" dxfId="1808" priority="2062" operator="equal">
      <formula>"Bajo"</formula>
    </cfRule>
  </conditionalFormatting>
  <conditionalFormatting sqref="AB96">
    <cfRule type="cellIs" dxfId="1807" priority="2054" operator="equal">
      <formula>"Muy Alta"</formula>
    </cfRule>
    <cfRule type="cellIs" dxfId="1806" priority="2055" operator="equal">
      <formula>"Alta"</formula>
    </cfRule>
    <cfRule type="cellIs" dxfId="1805" priority="2056" operator="equal">
      <formula>"Media"</formula>
    </cfRule>
    <cfRule type="cellIs" dxfId="1804" priority="2057" operator="equal">
      <formula>"Baja"</formula>
    </cfRule>
    <cfRule type="cellIs" dxfId="1803" priority="2058" operator="equal">
      <formula>"Muy Baja"</formula>
    </cfRule>
  </conditionalFormatting>
  <conditionalFormatting sqref="AD96">
    <cfRule type="cellIs" dxfId="1802" priority="2049" operator="equal">
      <formula>"Catastrófico"</formula>
    </cfRule>
    <cfRule type="cellIs" dxfId="1801" priority="2050" operator="equal">
      <formula>"Mayor"</formula>
    </cfRule>
    <cfRule type="cellIs" dxfId="1800" priority="2051" operator="equal">
      <formula>"Moderado"</formula>
    </cfRule>
    <cfRule type="cellIs" dxfId="1799" priority="2052" operator="equal">
      <formula>"Menor"</formula>
    </cfRule>
    <cfRule type="cellIs" dxfId="1798" priority="2053" operator="equal">
      <formula>"Leve"</formula>
    </cfRule>
  </conditionalFormatting>
  <conditionalFormatting sqref="AF96">
    <cfRule type="cellIs" dxfId="1797" priority="2045" operator="equal">
      <formula>"Extremo"</formula>
    </cfRule>
    <cfRule type="cellIs" dxfId="1796" priority="2046" operator="equal">
      <formula>"Alto"</formula>
    </cfRule>
    <cfRule type="cellIs" dxfId="1795" priority="2047" operator="equal">
      <formula>"Moderado"</formula>
    </cfRule>
    <cfRule type="cellIs" dxfId="1794" priority="2048" operator="equal">
      <formula>"Bajo"</formula>
    </cfRule>
  </conditionalFormatting>
  <conditionalFormatting sqref="AB98">
    <cfRule type="cellIs" dxfId="1793" priority="2040" operator="equal">
      <formula>"Muy Alta"</formula>
    </cfRule>
    <cfRule type="cellIs" dxfId="1792" priority="2041" operator="equal">
      <formula>"Alta"</formula>
    </cfRule>
    <cfRule type="cellIs" dxfId="1791" priority="2042" operator="equal">
      <formula>"Media"</formula>
    </cfRule>
    <cfRule type="cellIs" dxfId="1790" priority="2043" operator="equal">
      <formula>"Baja"</formula>
    </cfRule>
    <cfRule type="cellIs" dxfId="1789" priority="2044" operator="equal">
      <formula>"Muy Baja"</formula>
    </cfRule>
  </conditionalFormatting>
  <conditionalFormatting sqref="AD98">
    <cfRule type="cellIs" dxfId="1788" priority="2035" operator="equal">
      <formula>"Catastrófico"</formula>
    </cfRule>
    <cfRule type="cellIs" dxfId="1787" priority="2036" operator="equal">
      <formula>"Mayor"</formula>
    </cfRule>
    <cfRule type="cellIs" dxfId="1786" priority="2037" operator="equal">
      <formula>"Moderado"</formula>
    </cfRule>
    <cfRule type="cellIs" dxfId="1785" priority="2038" operator="equal">
      <formula>"Menor"</formula>
    </cfRule>
    <cfRule type="cellIs" dxfId="1784" priority="2039" operator="equal">
      <formula>"Leve"</formula>
    </cfRule>
  </conditionalFormatting>
  <conditionalFormatting sqref="AF98">
    <cfRule type="cellIs" dxfId="1783" priority="2031" operator="equal">
      <formula>"Extremo"</formula>
    </cfRule>
    <cfRule type="cellIs" dxfId="1782" priority="2032" operator="equal">
      <formula>"Alto"</formula>
    </cfRule>
    <cfRule type="cellIs" dxfId="1781" priority="2033" operator="equal">
      <formula>"Moderado"</formula>
    </cfRule>
    <cfRule type="cellIs" dxfId="1780" priority="2034" operator="equal">
      <formula>"Bajo"</formula>
    </cfRule>
  </conditionalFormatting>
  <conditionalFormatting sqref="AB100">
    <cfRule type="cellIs" dxfId="1779" priority="2012" operator="equal">
      <formula>"Muy Alta"</formula>
    </cfRule>
    <cfRule type="cellIs" dxfId="1778" priority="2013" operator="equal">
      <formula>"Alta"</formula>
    </cfRule>
    <cfRule type="cellIs" dxfId="1777" priority="2014" operator="equal">
      <formula>"Media"</formula>
    </cfRule>
    <cfRule type="cellIs" dxfId="1776" priority="2015" operator="equal">
      <formula>"Baja"</formula>
    </cfRule>
    <cfRule type="cellIs" dxfId="1775" priority="2016" operator="equal">
      <formula>"Muy Baja"</formula>
    </cfRule>
  </conditionalFormatting>
  <conditionalFormatting sqref="AD100">
    <cfRule type="cellIs" dxfId="1774" priority="2007" operator="equal">
      <formula>"Catastrófico"</formula>
    </cfRule>
    <cfRule type="cellIs" dxfId="1773" priority="2008" operator="equal">
      <formula>"Mayor"</formula>
    </cfRule>
    <cfRule type="cellIs" dxfId="1772" priority="2009" operator="equal">
      <formula>"Moderado"</formula>
    </cfRule>
    <cfRule type="cellIs" dxfId="1771" priority="2010" operator="equal">
      <formula>"Menor"</formula>
    </cfRule>
    <cfRule type="cellIs" dxfId="1770" priority="2011" operator="equal">
      <formula>"Leve"</formula>
    </cfRule>
  </conditionalFormatting>
  <conditionalFormatting sqref="AF100">
    <cfRule type="cellIs" dxfId="1769" priority="2003" operator="equal">
      <formula>"Extremo"</formula>
    </cfRule>
    <cfRule type="cellIs" dxfId="1768" priority="2004" operator="equal">
      <formula>"Alto"</formula>
    </cfRule>
    <cfRule type="cellIs" dxfId="1767" priority="2005" operator="equal">
      <formula>"Moderado"</formula>
    </cfRule>
    <cfRule type="cellIs" dxfId="1766" priority="2006" operator="equal">
      <formula>"Bajo"</formula>
    </cfRule>
  </conditionalFormatting>
  <conditionalFormatting sqref="AB106">
    <cfRule type="cellIs" dxfId="1765" priority="1998" operator="equal">
      <formula>"Muy Alta"</formula>
    </cfRule>
    <cfRule type="cellIs" dxfId="1764" priority="1999" operator="equal">
      <formula>"Alta"</formula>
    </cfRule>
    <cfRule type="cellIs" dxfId="1763" priority="2000" operator="equal">
      <formula>"Media"</formula>
    </cfRule>
    <cfRule type="cellIs" dxfId="1762" priority="2001" operator="equal">
      <formula>"Baja"</formula>
    </cfRule>
    <cfRule type="cellIs" dxfId="1761" priority="2002" operator="equal">
      <formula>"Muy Baja"</formula>
    </cfRule>
  </conditionalFormatting>
  <conditionalFormatting sqref="AD106">
    <cfRule type="cellIs" dxfId="1760" priority="1993" operator="equal">
      <formula>"Catastrófico"</formula>
    </cfRule>
    <cfRule type="cellIs" dxfId="1759" priority="1994" operator="equal">
      <formula>"Mayor"</formula>
    </cfRule>
    <cfRule type="cellIs" dxfId="1758" priority="1995" operator="equal">
      <formula>"Moderado"</formula>
    </cfRule>
    <cfRule type="cellIs" dxfId="1757" priority="1996" operator="equal">
      <formula>"Menor"</formula>
    </cfRule>
    <cfRule type="cellIs" dxfId="1756" priority="1997" operator="equal">
      <formula>"Leve"</formula>
    </cfRule>
  </conditionalFormatting>
  <conditionalFormatting sqref="AF106">
    <cfRule type="cellIs" dxfId="1755" priority="1989" operator="equal">
      <formula>"Extremo"</formula>
    </cfRule>
    <cfRule type="cellIs" dxfId="1754" priority="1990" operator="equal">
      <formula>"Alto"</formula>
    </cfRule>
    <cfRule type="cellIs" dxfId="1753" priority="1991" operator="equal">
      <formula>"Moderado"</formula>
    </cfRule>
    <cfRule type="cellIs" dxfId="1752" priority="1992" operator="equal">
      <formula>"Bajo"</formula>
    </cfRule>
  </conditionalFormatting>
  <conditionalFormatting sqref="AB107">
    <cfRule type="cellIs" dxfId="1751" priority="1956" operator="equal">
      <formula>"Muy Alta"</formula>
    </cfRule>
    <cfRule type="cellIs" dxfId="1750" priority="1957" operator="equal">
      <formula>"Alta"</formula>
    </cfRule>
    <cfRule type="cellIs" dxfId="1749" priority="1958" operator="equal">
      <formula>"Media"</formula>
    </cfRule>
    <cfRule type="cellIs" dxfId="1748" priority="1959" operator="equal">
      <formula>"Baja"</formula>
    </cfRule>
    <cfRule type="cellIs" dxfId="1747" priority="1960" operator="equal">
      <formula>"Muy Baja"</formula>
    </cfRule>
  </conditionalFormatting>
  <conditionalFormatting sqref="AD107">
    <cfRule type="cellIs" dxfId="1746" priority="1951" operator="equal">
      <formula>"Catastrófico"</formula>
    </cfRule>
    <cfRule type="cellIs" dxfId="1745" priority="1952" operator="equal">
      <formula>"Mayor"</formula>
    </cfRule>
    <cfRule type="cellIs" dxfId="1744" priority="1953" operator="equal">
      <formula>"Moderado"</formula>
    </cfRule>
    <cfRule type="cellIs" dxfId="1743" priority="1954" operator="equal">
      <formula>"Menor"</formula>
    </cfRule>
    <cfRule type="cellIs" dxfId="1742" priority="1955" operator="equal">
      <formula>"Leve"</formula>
    </cfRule>
  </conditionalFormatting>
  <conditionalFormatting sqref="AF107">
    <cfRule type="cellIs" dxfId="1741" priority="1947" operator="equal">
      <formula>"Extremo"</formula>
    </cfRule>
    <cfRule type="cellIs" dxfId="1740" priority="1948" operator="equal">
      <formula>"Alto"</formula>
    </cfRule>
    <cfRule type="cellIs" dxfId="1739" priority="1949" operator="equal">
      <formula>"Moderado"</formula>
    </cfRule>
    <cfRule type="cellIs" dxfId="1738" priority="1950" operator="equal">
      <formula>"Bajo"</formula>
    </cfRule>
  </conditionalFormatting>
  <conditionalFormatting sqref="AB108">
    <cfRule type="cellIs" dxfId="1737" priority="1942" operator="equal">
      <formula>"Muy Alta"</formula>
    </cfRule>
    <cfRule type="cellIs" dxfId="1736" priority="1943" operator="equal">
      <formula>"Alta"</formula>
    </cfRule>
    <cfRule type="cellIs" dxfId="1735" priority="1944" operator="equal">
      <formula>"Media"</formula>
    </cfRule>
    <cfRule type="cellIs" dxfId="1734" priority="1945" operator="equal">
      <formula>"Baja"</formula>
    </cfRule>
    <cfRule type="cellIs" dxfId="1733" priority="1946" operator="equal">
      <formula>"Muy Baja"</formula>
    </cfRule>
  </conditionalFormatting>
  <conditionalFormatting sqref="AD108">
    <cfRule type="cellIs" dxfId="1732" priority="1937" operator="equal">
      <formula>"Catastrófico"</formula>
    </cfRule>
    <cfRule type="cellIs" dxfId="1731" priority="1938" operator="equal">
      <formula>"Mayor"</formula>
    </cfRule>
    <cfRule type="cellIs" dxfId="1730" priority="1939" operator="equal">
      <formula>"Moderado"</formula>
    </cfRule>
    <cfRule type="cellIs" dxfId="1729" priority="1940" operator="equal">
      <formula>"Menor"</formula>
    </cfRule>
    <cfRule type="cellIs" dxfId="1728" priority="1941" operator="equal">
      <formula>"Leve"</formula>
    </cfRule>
  </conditionalFormatting>
  <conditionalFormatting sqref="AF108">
    <cfRule type="cellIs" dxfId="1727" priority="1933" operator="equal">
      <formula>"Extremo"</formula>
    </cfRule>
    <cfRule type="cellIs" dxfId="1726" priority="1934" operator="equal">
      <formula>"Alto"</formula>
    </cfRule>
    <cfRule type="cellIs" dxfId="1725" priority="1935" operator="equal">
      <formula>"Moderado"</formula>
    </cfRule>
    <cfRule type="cellIs" dxfId="1724" priority="1936" operator="equal">
      <formula>"Bajo"</formula>
    </cfRule>
  </conditionalFormatting>
  <conditionalFormatting sqref="AB110">
    <cfRule type="cellIs" dxfId="1723" priority="1928" operator="equal">
      <formula>"Muy Alta"</formula>
    </cfRule>
    <cfRule type="cellIs" dxfId="1722" priority="1929" operator="equal">
      <formula>"Alta"</formula>
    </cfRule>
    <cfRule type="cellIs" dxfId="1721" priority="1930" operator="equal">
      <formula>"Media"</formula>
    </cfRule>
    <cfRule type="cellIs" dxfId="1720" priority="1931" operator="equal">
      <formula>"Baja"</formula>
    </cfRule>
    <cfRule type="cellIs" dxfId="1719" priority="1932" operator="equal">
      <formula>"Muy Baja"</formula>
    </cfRule>
  </conditionalFormatting>
  <conditionalFormatting sqref="AD110">
    <cfRule type="cellIs" dxfId="1718" priority="1923" operator="equal">
      <formula>"Catastrófico"</formula>
    </cfRule>
    <cfRule type="cellIs" dxfId="1717" priority="1924" operator="equal">
      <formula>"Mayor"</formula>
    </cfRule>
    <cfRule type="cellIs" dxfId="1716" priority="1925" operator="equal">
      <formula>"Moderado"</formula>
    </cfRule>
    <cfRule type="cellIs" dxfId="1715" priority="1926" operator="equal">
      <formula>"Menor"</formula>
    </cfRule>
    <cfRule type="cellIs" dxfId="1714" priority="1927" operator="equal">
      <formula>"Leve"</formula>
    </cfRule>
  </conditionalFormatting>
  <conditionalFormatting sqref="AF110">
    <cfRule type="cellIs" dxfId="1713" priority="1919" operator="equal">
      <formula>"Extremo"</formula>
    </cfRule>
    <cfRule type="cellIs" dxfId="1712" priority="1920" operator="equal">
      <formula>"Alto"</formula>
    </cfRule>
    <cfRule type="cellIs" dxfId="1711" priority="1921" operator="equal">
      <formula>"Moderado"</formula>
    </cfRule>
    <cfRule type="cellIs" dxfId="1710" priority="1922" operator="equal">
      <formula>"Bajo"</formula>
    </cfRule>
  </conditionalFormatting>
  <conditionalFormatting sqref="AB111">
    <cfRule type="cellIs" dxfId="1709" priority="1914" operator="equal">
      <formula>"Muy Alta"</formula>
    </cfRule>
    <cfRule type="cellIs" dxfId="1708" priority="1915" operator="equal">
      <formula>"Alta"</formula>
    </cfRule>
    <cfRule type="cellIs" dxfId="1707" priority="1916" operator="equal">
      <formula>"Media"</formula>
    </cfRule>
    <cfRule type="cellIs" dxfId="1706" priority="1917" operator="equal">
      <formula>"Baja"</formula>
    </cfRule>
    <cfRule type="cellIs" dxfId="1705" priority="1918" operator="equal">
      <formula>"Muy Baja"</formula>
    </cfRule>
  </conditionalFormatting>
  <conditionalFormatting sqref="AD111">
    <cfRule type="cellIs" dxfId="1704" priority="1909" operator="equal">
      <formula>"Catastrófico"</formula>
    </cfRule>
    <cfRule type="cellIs" dxfId="1703" priority="1910" operator="equal">
      <formula>"Mayor"</formula>
    </cfRule>
    <cfRule type="cellIs" dxfId="1702" priority="1911" operator="equal">
      <formula>"Moderado"</formula>
    </cfRule>
    <cfRule type="cellIs" dxfId="1701" priority="1912" operator="equal">
      <formula>"Menor"</formula>
    </cfRule>
    <cfRule type="cellIs" dxfId="1700" priority="1913" operator="equal">
      <formula>"Leve"</formula>
    </cfRule>
  </conditionalFormatting>
  <conditionalFormatting sqref="AF111">
    <cfRule type="cellIs" dxfId="1699" priority="1905" operator="equal">
      <formula>"Extremo"</formula>
    </cfRule>
    <cfRule type="cellIs" dxfId="1698" priority="1906" operator="equal">
      <formula>"Alto"</formula>
    </cfRule>
    <cfRule type="cellIs" dxfId="1697" priority="1907" operator="equal">
      <formula>"Moderado"</formula>
    </cfRule>
    <cfRule type="cellIs" dxfId="1696" priority="1908" operator="equal">
      <formula>"Bajo"</formula>
    </cfRule>
  </conditionalFormatting>
  <conditionalFormatting sqref="AB127">
    <cfRule type="cellIs" dxfId="1695" priority="1900" operator="equal">
      <formula>"Muy Alta"</formula>
    </cfRule>
    <cfRule type="cellIs" dxfId="1694" priority="1901" operator="equal">
      <formula>"Alta"</formula>
    </cfRule>
    <cfRule type="cellIs" dxfId="1693" priority="1902" operator="equal">
      <formula>"Media"</formula>
    </cfRule>
    <cfRule type="cellIs" dxfId="1692" priority="1903" operator="equal">
      <formula>"Baja"</formula>
    </cfRule>
    <cfRule type="cellIs" dxfId="1691" priority="1904" operator="equal">
      <formula>"Muy Baja"</formula>
    </cfRule>
  </conditionalFormatting>
  <conditionalFormatting sqref="AD127">
    <cfRule type="cellIs" dxfId="1690" priority="1895" operator="equal">
      <formula>"Catastrófico"</formula>
    </cfRule>
    <cfRule type="cellIs" dxfId="1689" priority="1896" operator="equal">
      <formula>"Mayor"</formula>
    </cfRule>
    <cfRule type="cellIs" dxfId="1688" priority="1897" operator="equal">
      <formula>"Moderado"</formula>
    </cfRule>
    <cfRule type="cellIs" dxfId="1687" priority="1898" operator="equal">
      <formula>"Menor"</formula>
    </cfRule>
    <cfRule type="cellIs" dxfId="1686" priority="1899" operator="equal">
      <formula>"Leve"</formula>
    </cfRule>
  </conditionalFormatting>
  <conditionalFormatting sqref="AF127">
    <cfRule type="cellIs" dxfId="1685" priority="1891" operator="equal">
      <formula>"Extremo"</formula>
    </cfRule>
    <cfRule type="cellIs" dxfId="1684" priority="1892" operator="equal">
      <formula>"Alto"</formula>
    </cfRule>
    <cfRule type="cellIs" dxfId="1683" priority="1893" operator="equal">
      <formula>"Moderado"</formula>
    </cfRule>
    <cfRule type="cellIs" dxfId="1682" priority="1894" operator="equal">
      <formula>"Bajo"</formula>
    </cfRule>
  </conditionalFormatting>
  <conditionalFormatting sqref="AB128">
    <cfRule type="cellIs" dxfId="1681" priority="1886" operator="equal">
      <formula>"Muy Alta"</formula>
    </cfRule>
    <cfRule type="cellIs" dxfId="1680" priority="1887" operator="equal">
      <formula>"Alta"</formula>
    </cfRule>
    <cfRule type="cellIs" dxfId="1679" priority="1888" operator="equal">
      <formula>"Media"</formula>
    </cfRule>
    <cfRule type="cellIs" dxfId="1678" priority="1889" operator="equal">
      <formula>"Baja"</formula>
    </cfRule>
    <cfRule type="cellIs" dxfId="1677" priority="1890" operator="equal">
      <formula>"Muy Baja"</formula>
    </cfRule>
  </conditionalFormatting>
  <conditionalFormatting sqref="AD128">
    <cfRule type="cellIs" dxfId="1676" priority="1881" operator="equal">
      <formula>"Catastrófico"</formula>
    </cfRule>
    <cfRule type="cellIs" dxfId="1675" priority="1882" operator="equal">
      <formula>"Mayor"</formula>
    </cfRule>
    <cfRule type="cellIs" dxfId="1674" priority="1883" operator="equal">
      <formula>"Moderado"</formula>
    </cfRule>
    <cfRule type="cellIs" dxfId="1673" priority="1884" operator="equal">
      <formula>"Menor"</formula>
    </cfRule>
    <cfRule type="cellIs" dxfId="1672" priority="1885" operator="equal">
      <formula>"Leve"</formula>
    </cfRule>
  </conditionalFormatting>
  <conditionalFormatting sqref="AF128">
    <cfRule type="cellIs" dxfId="1671" priority="1877" operator="equal">
      <formula>"Extremo"</formula>
    </cfRule>
    <cfRule type="cellIs" dxfId="1670" priority="1878" operator="equal">
      <formula>"Alto"</formula>
    </cfRule>
    <cfRule type="cellIs" dxfId="1669" priority="1879" operator="equal">
      <formula>"Moderado"</formula>
    </cfRule>
    <cfRule type="cellIs" dxfId="1668" priority="1880" operator="equal">
      <formula>"Bajo"</formula>
    </cfRule>
  </conditionalFormatting>
  <conditionalFormatting sqref="AB129">
    <cfRule type="cellIs" dxfId="1667" priority="1872" operator="equal">
      <formula>"Muy Alta"</formula>
    </cfRule>
    <cfRule type="cellIs" dxfId="1666" priority="1873" operator="equal">
      <formula>"Alta"</formula>
    </cfRule>
    <cfRule type="cellIs" dxfId="1665" priority="1874" operator="equal">
      <formula>"Media"</formula>
    </cfRule>
    <cfRule type="cellIs" dxfId="1664" priority="1875" operator="equal">
      <formula>"Baja"</formula>
    </cfRule>
    <cfRule type="cellIs" dxfId="1663" priority="1876" operator="equal">
      <formula>"Muy Baja"</formula>
    </cfRule>
  </conditionalFormatting>
  <conditionalFormatting sqref="AD129">
    <cfRule type="cellIs" dxfId="1662" priority="1867" operator="equal">
      <formula>"Catastrófico"</formula>
    </cfRule>
    <cfRule type="cellIs" dxfId="1661" priority="1868" operator="equal">
      <formula>"Mayor"</formula>
    </cfRule>
    <cfRule type="cellIs" dxfId="1660" priority="1869" operator="equal">
      <formula>"Moderado"</formula>
    </cfRule>
    <cfRule type="cellIs" dxfId="1659" priority="1870" operator="equal">
      <formula>"Menor"</formula>
    </cfRule>
    <cfRule type="cellIs" dxfId="1658" priority="1871" operator="equal">
      <formula>"Leve"</formula>
    </cfRule>
  </conditionalFormatting>
  <conditionalFormatting sqref="AF129">
    <cfRule type="cellIs" dxfId="1657" priority="1863" operator="equal">
      <formula>"Extremo"</formula>
    </cfRule>
    <cfRule type="cellIs" dxfId="1656" priority="1864" operator="equal">
      <formula>"Alto"</formula>
    </cfRule>
    <cfRule type="cellIs" dxfId="1655" priority="1865" operator="equal">
      <formula>"Moderado"</formula>
    </cfRule>
    <cfRule type="cellIs" dxfId="1654" priority="1866" operator="equal">
      <formula>"Bajo"</formula>
    </cfRule>
  </conditionalFormatting>
  <conditionalFormatting sqref="K10">
    <cfRule type="cellIs" dxfId="1653" priority="1858" operator="equal">
      <formula>"Muy Alta"</formula>
    </cfRule>
    <cfRule type="cellIs" dxfId="1652" priority="1859" operator="equal">
      <formula>"Alta"</formula>
    </cfRule>
    <cfRule type="cellIs" dxfId="1651" priority="1860" operator="equal">
      <formula>"Media"</formula>
    </cfRule>
    <cfRule type="cellIs" dxfId="1650" priority="1861" operator="equal">
      <formula>"Baja"</formula>
    </cfRule>
    <cfRule type="cellIs" dxfId="1649" priority="1862" operator="equal">
      <formula>"Muy Baja"</formula>
    </cfRule>
  </conditionalFormatting>
  <conditionalFormatting sqref="O10">
    <cfRule type="cellIs" dxfId="1648" priority="1853" operator="equal">
      <formula>"Catastrófico"</formula>
    </cfRule>
    <cfRule type="cellIs" dxfId="1647" priority="1854" operator="equal">
      <formula>"Mayor"</formula>
    </cfRule>
    <cfRule type="cellIs" dxfId="1646" priority="1855" operator="equal">
      <formula>"Moderado"</formula>
    </cfRule>
    <cfRule type="cellIs" dxfId="1645" priority="1856" operator="equal">
      <formula>"Menor"</formula>
    </cfRule>
    <cfRule type="cellIs" dxfId="1644" priority="1857" operator="equal">
      <formula>"Leve"</formula>
    </cfRule>
  </conditionalFormatting>
  <conditionalFormatting sqref="Q10">
    <cfRule type="cellIs" dxfId="1643" priority="1849" operator="equal">
      <formula>"Extremo"</formula>
    </cfRule>
    <cfRule type="cellIs" dxfId="1642" priority="1850" operator="equal">
      <formula>"Alto"</formula>
    </cfRule>
    <cfRule type="cellIs" dxfId="1641" priority="1851" operator="equal">
      <formula>"Moderado"</formula>
    </cfRule>
    <cfRule type="cellIs" dxfId="1640" priority="1852" operator="equal">
      <formula>"Bajo"</formula>
    </cfRule>
  </conditionalFormatting>
  <conditionalFormatting sqref="N10:N12">
    <cfRule type="containsText" dxfId="1639" priority="1848" operator="containsText" text="❌">
      <formula>NOT(ISERROR(SEARCH("❌",N10)))</formula>
    </cfRule>
  </conditionalFormatting>
  <conditionalFormatting sqref="K13">
    <cfRule type="cellIs" dxfId="1638" priority="1843" operator="equal">
      <formula>"Muy Alta"</formula>
    </cfRule>
    <cfRule type="cellIs" dxfId="1637" priority="1844" operator="equal">
      <formula>"Alta"</formula>
    </cfRule>
    <cfRule type="cellIs" dxfId="1636" priority="1845" operator="equal">
      <formula>"Media"</formula>
    </cfRule>
    <cfRule type="cellIs" dxfId="1635" priority="1846" operator="equal">
      <formula>"Baja"</formula>
    </cfRule>
    <cfRule type="cellIs" dxfId="1634" priority="1847" operator="equal">
      <formula>"Muy Baja"</formula>
    </cfRule>
  </conditionalFormatting>
  <conditionalFormatting sqref="O13">
    <cfRule type="cellIs" dxfId="1633" priority="1838" operator="equal">
      <formula>"Catastrófico"</formula>
    </cfRule>
    <cfRule type="cellIs" dxfId="1632" priority="1839" operator="equal">
      <formula>"Mayor"</formula>
    </cfRule>
    <cfRule type="cellIs" dxfId="1631" priority="1840" operator="equal">
      <formula>"Moderado"</formula>
    </cfRule>
    <cfRule type="cellIs" dxfId="1630" priority="1841" operator="equal">
      <formula>"Menor"</formula>
    </cfRule>
    <cfRule type="cellIs" dxfId="1629" priority="1842" operator="equal">
      <formula>"Leve"</formula>
    </cfRule>
  </conditionalFormatting>
  <conditionalFormatting sqref="Q13">
    <cfRule type="cellIs" dxfId="1628" priority="1834" operator="equal">
      <formula>"Extremo"</formula>
    </cfRule>
    <cfRule type="cellIs" dxfId="1627" priority="1835" operator="equal">
      <formula>"Alto"</formula>
    </cfRule>
    <cfRule type="cellIs" dxfId="1626" priority="1836" operator="equal">
      <formula>"Moderado"</formula>
    </cfRule>
    <cfRule type="cellIs" dxfId="1625" priority="1837" operator="equal">
      <formula>"Bajo"</formula>
    </cfRule>
  </conditionalFormatting>
  <conditionalFormatting sqref="N13:N15">
    <cfRule type="containsText" dxfId="1624" priority="1833" operator="containsText" text="❌">
      <formula>NOT(ISERROR(SEARCH("❌",N13)))</formula>
    </cfRule>
  </conditionalFormatting>
  <conditionalFormatting sqref="K16">
    <cfRule type="cellIs" dxfId="1623" priority="1813" operator="equal">
      <formula>"Muy Alta"</formula>
    </cfRule>
    <cfRule type="cellIs" dxfId="1622" priority="1814" operator="equal">
      <formula>"Alta"</formula>
    </cfRule>
    <cfRule type="cellIs" dxfId="1621" priority="1815" operator="equal">
      <formula>"Media"</formula>
    </cfRule>
    <cfRule type="cellIs" dxfId="1620" priority="1816" operator="equal">
      <formula>"Baja"</formula>
    </cfRule>
    <cfRule type="cellIs" dxfId="1619" priority="1817" operator="equal">
      <formula>"Muy Baja"</formula>
    </cfRule>
  </conditionalFormatting>
  <conditionalFormatting sqref="O16">
    <cfRule type="cellIs" dxfId="1618" priority="1808" operator="equal">
      <formula>"Catastrófico"</formula>
    </cfRule>
    <cfRule type="cellIs" dxfId="1617" priority="1809" operator="equal">
      <formula>"Mayor"</formula>
    </cfRule>
    <cfRule type="cellIs" dxfId="1616" priority="1810" operator="equal">
      <formula>"Moderado"</formula>
    </cfRule>
    <cfRule type="cellIs" dxfId="1615" priority="1811" operator="equal">
      <formula>"Menor"</formula>
    </cfRule>
    <cfRule type="cellIs" dxfId="1614" priority="1812" operator="equal">
      <formula>"Leve"</formula>
    </cfRule>
  </conditionalFormatting>
  <conditionalFormatting sqref="Q16">
    <cfRule type="cellIs" dxfId="1613" priority="1804" operator="equal">
      <formula>"Extremo"</formula>
    </cfRule>
    <cfRule type="cellIs" dxfId="1612" priority="1805" operator="equal">
      <formula>"Alto"</formula>
    </cfRule>
    <cfRule type="cellIs" dxfId="1611" priority="1806" operator="equal">
      <formula>"Moderado"</formula>
    </cfRule>
    <cfRule type="cellIs" dxfId="1610" priority="1807" operator="equal">
      <formula>"Bajo"</formula>
    </cfRule>
  </conditionalFormatting>
  <conditionalFormatting sqref="N16:N18">
    <cfRule type="containsText" dxfId="1609" priority="1803" operator="containsText" text="❌">
      <formula>NOT(ISERROR(SEARCH("❌",N16)))</formula>
    </cfRule>
  </conditionalFormatting>
  <conditionalFormatting sqref="K19">
    <cfRule type="cellIs" dxfId="1608" priority="1798" operator="equal">
      <formula>"Muy Alta"</formula>
    </cfRule>
    <cfRule type="cellIs" dxfId="1607" priority="1799" operator="equal">
      <formula>"Alta"</formula>
    </cfRule>
    <cfRule type="cellIs" dxfId="1606" priority="1800" operator="equal">
      <formula>"Media"</formula>
    </cfRule>
    <cfRule type="cellIs" dxfId="1605" priority="1801" operator="equal">
      <formula>"Baja"</formula>
    </cfRule>
    <cfRule type="cellIs" dxfId="1604" priority="1802" operator="equal">
      <formula>"Muy Baja"</formula>
    </cfRule>
  </conditionalFormatting>
  <conditionalFormatting sqref="O19">
    <cfRule type="cellIs" dxfId="1603" priority="1793" operator="equal">
      <formula>"Catastrófico"</formula>
    </cfRule>
    <cfRule type="cellIs" dxfId="1602" priority="1794" operator="equal">
      <formula>"Mayor"</formula>
    </cfRule>
    <cfRule type="cellIs" dxfId="1601" priority="1795" operator="equal">
      <formula>"Moderado"</formula>
    </cfRule>
    <cfRule type="cellIs" dxfId="1600" priority="1796" operator="equal">
      <formula>"Menor"</formula>
    </cfRule>
    <cfRule type="cellIs" dxfId="1599" priority="1797" operator="equal">
      <formula>"Leve"</formula>
    </cfRule>
  </conditionalFormatting>
  <conditionalFormatting sqref="Q19">
    <cfRule type="cellIs" dxfId="1598" priority="1789" operator="equal">
      <formula>"Extremo"</formula>
    </cfRule>
    <cfRule type="cellIs" dxfId="1597" priority="1790" operator="equal">
      <formula>"Alto"</formula>
    </cfRule>
    <cfRule type="cellIs" dxfId="1596" priority="1791" operator="equal">
      <formula>"Moderado"</formula>
    </cfRule>
    <cfRule type="cellIs" dxfId="1595" priority="1792" operator="equal">
      <formula>"Bajo"</formula>
    </cfRule>
  </conditionalFormatting>
  <conditionalFormatting sqref="N19:N21">
    <cfRule type="containsText" dxfId="1594" priority="1788" operator="containsText" text="❌">
      <formula>NOT(ISERROR(SEARCH("❌",N19)))</formula>
    </cfRule>
  </conditionalFormatting>
  <conditionalFormatting sqref="K22">
    <cfRule type="cellIs" dxfId="1593" priority="1783" operator="equal">
      <formula>"Muy Alta"</formula>
    </cfRule>
    <cfRule type="cellIs" dxfId="1592" priority="1784" operator="equal">
      <formula>"Alta"</formula>
    </cfRule>
    <cfRule type="cellIs" dxfId="1591" priority="1785" operator="equal">
      <formula>"Media"</formula>
    </cfRule>
    <cfRule type="cellIs" dxfId="1590" priority="1786" operator="equal">
      <formula>"Baja"</formula>
    </cfRule>
    <cfRule type="cellIs" dxfId="1589" priority="1787" operator="equal">
      <formula>"Muy Baja"</formula>
    </cfRule>
  </conditionalFormatting>
  <conditionalFormatting sqref="O22">
    <cfRule type="cellIs" dxfId="1588" priority="1778" operator="equal">
      <formula>"Catastrófico"</formula>
    </cfRule>
    <cfRule type="cellIs" dxfId="1587" priority="1779" operator="equal">
      <formula>"Mayor"</formula>
    </cfRule>
    <cfRule type="cellIs" dxfId="1586" priority="1780" operator="equal">
      <formula>"Moderado"</formula>
    </cfRule>
    <cfRule type="cellIs" dxfId="1585" priority="1781" operator="equal">
      <formula>"Menor"</formula>
    </cfRule>
    <cfRule type="cellIs" dxfId="1584" priority="1782" operator="equal">
      <formula>"Leve"</formula>
    </cfRule>
  </conditionalFormatting>
  <conditionalFormatting sqref="Q22">
    <cfRule type="cellIs" dxfId="1583" priority="1774" operator="equal">
      <formula>"Extremo"</formula>
    </cfRule>
    <cfRule type="cellIs" dxfId="1582" priority="1775" operator="equal">
      <formula>"Alto"</formula>
    </cfRule>
    <cfRule type="cellIs" dxfId="1581" priority="1776" operator="equal">
      <formula>"Moderado"</formula>
    </cfRule>
    <cfRule type="cellIs" dxfId="1580" priority="1777" operator="equal">
      <formula>"Bajo"</formula>
    </cfRule>
  </conditionalFormatting>
  <conditionalFormatting sqref="N22:N24">
    <cfRule type="containsText" dxfId="1579" priority="1773" operator="containsText" text="❌">
      <formula>NOT(ISERROR(SEARCH("❌",N22)))</formula>
    </cfRule>
  </conditionalFormatting>
  <conditionalFormatting sqref="K25">
    <cfRule type="cellIs" dxfId="1578" priority="1768" operator="equal">
      <formula>"Muy Alta"</formula>
    </cfRule>
    <cfRule type="cellIs" dxfId="1577" priority="1769" operator="equal">
      <formula>"Alta"</formula>
    </cfRule>
    <cfRule type="cellIs" dxfId="1576" priority="1770" operator="equal">
      <formula>"Media"</formula>
    </cfRule>
    <cfRule type="cellIs" dxfId="1575" priority="1771" operator="equal">
      <formula>"Baja"</formula>
    </cfRule>
    <cfRule type="cellIs" dxfId="1574" priority="1772" operator="equal">
      <formula>"Muy Baja"</formula>
    </cfRule>
  </conditionalFormatting>
  <conditionalFormatting sqref="O25">
    <cfRule type="cellIs" dxfId="1573" priority="1763" operator="equal">
      <formula>"Catastrófico"</formula>
    </cfRule>
    <cfRule type="cellIs" dxfId="1572" priority="1764" operator="equal">
      <formula>"Mayor"</formula>
    </cfRule>
    <cfRule type="cellIs" dxfId="1571" priority="1765" operator="equal">
      <formula>"Moderado"</formula>
    </cfRule>
    <cfRule type="cellIs" dxfId="1570" priority="1766" operator="equal">
      <formula>"Menor"</formula>
    </cfRule>
    <cfRule type="cellIs" dxfId="1569" priority="1767" operator="equal">
      <formula>"Leve"</formula>
    </cfRule>
  </conditionalFormatting>
  <conditionalFormatting sqref="Q25">
    <cfRule type="cellIs" dxfId="1568" priority="1759" operator="equal">
      <formula>"Extremo"</formula>
    </cfRule>
    <cfRule type="cellIs" dxfId="1567" priority="1760" operator="equal">
      <formula>"Alto"</formula>
    </cfRule>
    <cfRule type="cellIs" dxfId="1566" priority="1761" operator="equal">
      <formula>"Moderado"</formula>
    </cfRule>
    <cfRule type="cellIs" dxfId="1565" priority="1762" operator="equal">
      <formula>"Bajo"</formula>
    </cfRule>
  </conditionalFormatting>
  <conditionalFormatting sqref="N25:N27">
    <cfRule type="containsText" dxfId="1564" priority="1758" operator="containsText" text="❌">
      <formula>NOT(ISERROR(SEARCH("❌",N25)))</formula>
    </cfRule>
  </conditionalFormatting>
  <conditionalFormatting sqref="K28">
    <cfRule type="cellIs" dxfId="1563" priority="1753" operator="equal">
      <formula>"Muy Alta"</formula>
    </cfRule>
    <cfRule type="cellIs" dxfId="1562" priority="1754" operator="equal">
      <formula>"Alta"</formula>
    </cfRule>
    <cfRule type="cellIs" dxfId="1561" priority="1755" operator="equal">
      <formula>"Media"</formula>
    </cfRule>
    <cfRule type="cellIs" dxfId="1560" priority="1756" operator="equal">
      <formula>"Baja"</formula>
    </cfRule>
    <cfRule type="cellIs" dxfId="1559" priority="1757" operator="equal">
      <formula>"Muy Baja"</formula>
    </cfRule>
  </conditionalFormatting>
  <conditionalFormatting sqref="O28">
    <cfRule type="cellIs" dxfId="1558" priority="1748" operator="equal">
      <formula>"Catastrófico"</formula>
    </cfRule>
    <cfRule type="cellIs" dxfId="1557" priority="1749" operator="equal">
      <formula>"Mayor"</formula>
    </cfRule>
    <cfRule type="cellIs" dxfId="1556" priority="1750" operator="equal">
      <formula>"Moderado"</formula>
    </cfRule>
    <cfRule type="cellIs" dxfId="1555" priority="1751" operator="equal">
      <formula>"Menor"</formula>
    </cfRule>
    <cfRule type="cellIs" dxfId="1554" priority="1752" operator="equal">
      <formula>"Leve"</formula>
    </cfRule>
  </conditionalFormatting>
  <conditionalFormatting sqref="Q28">
    <cfRule type="cellIs" dxfId="1553" priority="1744" operator="equal">
      <formula>"Extremo"</formula>
    </cfRule>
    <cfRule type="cellIs" dxfId="1552" priority="1745" operator="equal">
      <formula>"Alto"</formula>
    </cfRule>
    <cfRule type="cellIs" dxfId="1551" priority="1746" operator="equal">
      <formula>"Moderado"</formula>
    </cfRule>
    <cfRule type="cellIs" dxfId="1550" priority="1747" operator="equal">
      <formula>"Bajo"</formula>
    </cfRule>
  </conditionalFormatting>
  <conditionalFormatting sqref="N28:N30">
    <cfRule type="containsText" dxfId="1549" priority="1743" operator="containsText" text="❌">
      <formula>NOT(ISERROR(SEARCH("❌",N28)))</formula>
    </cfRule>
  </conditionalFormatting>
  <conditionalFormatting sqref="K31">
    <cfRule type="cellIs" dxfId="1548" priority="1738" operator="equal">
      <formula>"Muy Alta"</formula>
    </cfRule>
    <cfRule type="cellIs" dxfId="1547" priority="1739" operator="equal">
      <formula>"Alta"</formula>
    </cfRule>
    <cfRule type="cellIs" dxfId="1546" priority="1740" operator="equal">
      <formula>"Media"</formula>
    </cfRule>
    <cfRule type="cellIs" dxfId="1545" priority="1741" operator="equal">
      <formula>"Baja"</formula>
    </cfRule>
    <cfRule type="cellIs" dxfId="1544" priority="1742" operator="equal">
      <formula>"Muy Baja"</formula>
    </cfRule>
  </conditionalFormatting>
  <conditionalFormatting sqref="O31">
    <cfRule type="cellIs" dxfId="1543" priority="1733" operator="equal">
      <formula>"Catastrófico"</formula>
    </cfRule>
    <cfRule type="cellIs" dxfId="1542" priority="1734" operator="equal">
      <formula>"Mayor"</formula>
    </cfRule>
    <cfRule type="cellIs" dxfId="1541" priority="1735" operator="equal">
      <formula>"Moderado"</formula>
    </cfRule>
    <cfRule type="cellIs" dxfId="1540" priority="1736" operator="equal">
      <formula>"Menor"</formula>
    </cfRule>
    <cfRule type="cellIs" dxfId="1539" priority="1737" operator="equal">
      <formula>"Leve"</formula>
    </cfRule>
  </conditionalFormatting>
  <conditionalFormatting sqref="Q31">
    <cfRule type="cellIs" dxfId="1538" priority="1729" operator="equal">
      <formula>"Extremo"</formula>
    </cfRule>
    <cfRule type="cellIs" dxfId="1537" priority="1730" operator="equal">
      <formula>"Alto"</formula>
    </cfRule>
    <cfRule type="cellIs" dxfId="1536" priority="1731" operator="equal">
      <formula>"Moderado"</formula>
    </cfRule>
    <cfRule type="cellIs" dxfId="1535" priority="1732" operator="equal">
      <formula>"Bajo"</formula>
    </cfRule>
  </conditionalFormatting>
  <conditionalFormatting sqref="N31:N33">
    <cfRule type="containsText" dxfId="1534" priority="1728" operator="containsText" text="❌">
      <formula>NOT(ISERROR(SEARCH("❌",N31)))</formula>
    </cfRule>
  </conditionalFormatting>
  <conditionalFormatting sqref="K34">
    <cfRule type="cellIs" dxfId="1533" priority="1723" operator="equal">
      <formula>"Muy Alta"</formula>
    </cfRule>
    <cfRule type="cellIs" dxfId="1532" priority="1724" operator="equal">
      <formula>"Alta"</formula>
    </cfRule>
    <cfRule type="cellIs" dxfId="1531" priority="1725" operator="equal">
      <formula>"Media"</formula>
    </cfRule>
    <cfRule type="cellIs" dxfId="1530" priority="1726" operator="equal">
      <formula>"Baja"</formula>
    </cfRule>
    <cfRule type="cellIs" dxfId="1529" priority="1727" operator="equal">
      <formula>"Muy Baja"</formula>
    </cfRule>
  </conditionalFormatting>
  <conditionalFormatting sqref="O34">
    <cfRule type="cellIs" dxfId="1528" priority="1718" operator="equal">
      <formula>"Catastrófico"</formula>
    </cfRule>
    <cfRule type="cellIs" dxfId="1527" priority="1719" operator="equal">
      <formula>"Mayor"</formula>
    </cfRule>
    <cfRule type="cellIs" dxfId="1526" priority="1720" operator="equal">
      <formula>"Moderado"</formula>
    </cfRule>
    <cfRule type="cellIs" dxfId="1525" priority="1721" operator="equal">
      <formula>"Menor"</formula>
    </cfRule>
    <cfRule type="cellIs" dxfId="1524" priority="1722" operator="equal">
      <formula>"Leve"</formula>
    </cfRule>
  </conditionalFormatting>
  <conditionalFormatting sqref="Q34">
    <cfRule type="cellIs" dxfId="1523" priority="1714" operator="equal">
      <formula>"Extremo"</formula>
    </cfRule>
    <cfRule type="cellIs" dxfId="1522" priority="1715" operator="equal">
      <formula>"Alto"</formula>
    </cfRule>
    <cfRule type="cellIs" dxfId="1521" priority="1716" operator="equal">
      <formula>"Moderado"</formula>
    </cfRule>
    <cfRule type="cellIs" dxfId="1520" priority="1717" operator="equal">
      <formula>"Bajo"</formula>
    </cfRule>
  </conditionalFormatting>
  <conditionalFormatting sqref="N34:N36">
    <cfRule type="containsText" dxfId="1519" priority="1713" operator="containsText" text="❌">
      <formula>NOT(ISERROR(SEARCH("❌",N34)))</formula>
    </cfRule>
  </conditionalFormatting>
  <conditionalFormatting sqref="K37">
    <cfRule type="cellIs" dxfId="1518" priority="1708" operator="equal">
      <formula>"Muy Alta"</formula>
    </cfRule>
    <cfRule type="cellIs" dxfId="1517" priority="1709" operator="equal">
      <formula>"Alta"</formula>
    </cfRule>
    <cfRule type="cellIs" dxfId="1516" priority="1710" operator="equal">
      <formula>"Media"</formula>
    </cfRule>
    <cfRule type="cellIs" dxfId="1515" priority="1711" operator="equal">
      <formula>"Baja"</formula>
    </cfRule>
    <cfRule type="cellIs" dxfId="1514" priority="1712" operator="equal">
      <formula>"Muy Baja"</formula>
    </cfRule>
  </conditionalFormatting>
  <conditionalFormatting sqref="O37">
    <cfRule type="cellIs" dxfId="1513" priority="1703" operator="equal">
      <formula>"Catastrófico"</formula>
    </cfRule>
    <cfRule type="cellIs" dxfId="1512" priority="1704" operator="equal">
      <formula>"Mayor"</formula>
    </cfRule>
    <cfRule type="cellIs" dxfId="1511" priority="1705" operator="equal">
      <formula>"Moderado"</formula>
    </cfRule>
    <cfRule type="cellIs" dxfId="1510" priority="1706" operator="equal">
      <formula>"Menor"</formula>
    </cfRule>
    <cfRule type="cellIs" dxfId="1509" priority="1707" operator="equal">
      <formula>"Leve"</formula>
    </cfRule>
  </conditionalFormatting>
  <conditionalFormatting sqref="Q37">
    <cfRule type="cellIs" dxfId="1508" priority="1699" operator="equal">
      <formula>"Extremo"</formula>
    </cfRule>
    <cfRule type="cellIs" dxfId="1507" priority="1700" operator="equal">
      <formula>"Alto"</formula>
    </cfRule>
    <cfRule type="cellIs" dxfId="1506" priority="1701" operator="equal">
      <formula>"Moderado"</formula>
    </cfRule>
    <cfRule type="cellIs" dxfId="1505" priority="1702" operator="equal">
      <formula>"Bajo"</formula>
    </cfRule>
  </conditionalFormatting>
  <conditionalFormatting sqref="N37:N39">
    <cfRule type="containsText" dxfId="1504" priority="1698" operator="containsText" text="❌">
      <formula>NOT(ISERROR(SEARCH("❌",N37)))</formula>
    </cfRule>
  </conditionalFormatting>
  <conditionalFormatting sqref="K40">
    <cfRule type="cellIs" dxfId="1503" priority="1693" operator="equal">
      <formula>"Muy Alta"</formula>
    </cfRule>
    <cfRule type="cellIs" dxfId="1502" priority="1694" operator="equal">
      <formula>"Alta"</formula>
    </cfRule>
    <cfRule type="cellIs" dxfId="1501" priority="1695" operator="equal">
      <formula>"Media"</formula>
    </cfRule>
    <cfRule type="cellIs" dxfId="1500" priority="1696" operator="equal">
      <formula>"Baja"</formula>
    </cfRule>
    <cfRule type="cellIs" dxfId="1499" priority="1697" operator="equal">
      <formula>"Muy Baja"</formula>
    </cfRule>
  </conditionalFormatting>
  <conditionalFormatting sqref="O40">
    <cfRule type="cellIs" dxfId="1498" priority="1688" operator="equal">
      <formula>"Catastrófico"</formula>
    </cfRule>
    <cfRule type="cellIs" dxfId="1497" priority="1689" operator="equal">
      <formula>"Mayor"</formula>
    </cfRule>
    <cfRule type="cellIs" dxfId="1496" priority="1690" operator="equal">
      <formula>"Moderado"</formula>
    </cfRule>
    <cfRule type="cellIs" dxfId="1495" priority="1691" operator="equal">
      <formula>"Menor"</formula>
    </cfRule>
    <cfRule type="cellIs" dxfId="1494" priority="1692" operator="equal">
      <formula>"Leve"</formula>
    </cfRule>
  </conditionalFormatting>
  <conditionalFormatting sqref="Q40">
    <cfRule type="cellIs" dxfId="1493" priority="1684" operator="equal">
      <formula>"Extremo"</formula>
    </cfRule>
    <cfRule type="cellIs" dxfId="1492" priority="1685" operator="equal">
      <formula>"Alto"</formula>
    </cfRule>
    <cfRule type="cellIs" dxfId="1491" priority="1686" operator="equal">
      <formula>"Moderado"</formula>
    </cfRule>
    <cfRule type="cellIs" dxfId="1490" priority="1687" operator="equal">
      <formula>"Bajo"</formula>
    </cfRule>
  </conditionalFormatting>
  <conditionalFormatting sqref="N40:N42">
    <cfRule type="containsText" dxfId="1489" priority="1683" operator="containsText" text="❌">
      <formula>NOT(ISERROR(SEARCH("❌",N40)))</formula>
    </cfRule>
  </conditionalFormatting>
  <conditionalFormatting sqref="K43">
    <cfRule type="cellIs" dxfId="1488" priority="1663" operator="equal">
      <formula>"Muy Alta"</formula>
    </cfRule>
    <cfRule type="cellIs" dxfId="1487" priority="1664" operator="equal">
      <formula>"Alta"</formula>
    </cfRule>
    <cfRule type="cellIs" dxfId="1486" priority="1665" operator="equal">
      <formula>"Media"</formula>
    </cfRule>
    <cfRule type="cellIs" dxfId="1485" priority="1666" operator="equal">
      <formula>"Baja"</formula>
    </cfRule>
    <cfRule type="cellIs" dxfId="1484" priority="1667" operator="equal">
      <formula>"Muy Baja"</formula>
    </cfRule>
  </conditionalFormatting>
  <conditionalFormatting sqref="O43">
    <cfRule type="cellIs" dxfId="1483" priority="1658" operator="equal">
      <formula>"Catastrófico"</formula>
    </cfRule>
    <cfRule type="cellIs" dxfId="1482" priority="1659" operator="equal">
      <formula>"Mayor"</formula>
    </cfRule>
    <cfRule type="cellIs" dxfId="1481" priority="1660" operator="equal">
      <formula>"Moderado"</formula>
    </cfRule>
    <cfRule type="cellIs" dxfId="1480" priority="1661" operator="equal">
      <formula>"Menor"</formula>
    </cfRule>
    <cfRule type="cellIs" dxfId="1479" priority="1662" operator="equal">
      <formula>"Leve"</formula>
    </cfRule>
  </conditionalFormatting>
  <conditionalFormatting sqref="Q43">
    <cfRule type="cellIs" dxfId="1478" priority="1654" operator="equal">
      <formula>"Extremo"</formula>
    </cfRule>
    <cfRule type="cellIs" dxfId="1477" priority="1655" operator="equal">
      <formula>"Alto"</formula>
    </cfRule>
    <cfRule type="cellIs" dxfId="1476" priority="1656" operator="equal">
      <formula>"Moderado"</formula>
    </cfRule>
    <cfRule type="cellIs" dxfId="1475" priority="1657" operator="equal">
      <formula>"Bajo"</formula>
    </cfRule>
  </conditionalFormatting>
  <conditionalFormatting sqref="N43:N45">
    <cfRule type="containsText" dxfId="1474" priority="1653" operator="containsText" text="❌">
      <formula>NOT(ISERROR(SEARCH("❌",N43)))</formula>
    </cfRule>
  </conditionalFormatting>
  <conditionalFormatting sqref="K46">
    <cfRule type="cellIs" dxfId="1473" priority="1648" operator="equal">
      <formula>"Muy Alta"</formula>
    </cfRule>
    <cfRule type="cellIs" dxfId="1472" priority="1649" operator="equal">
      <formula>"Alta"</formula>
    </cfRule>
    <cfRule type="cellIs" dxfId="1471" priority="1650" operator="equal">
      <formula>"Media"</formula>
    </cfRule>
    <cfRule type="cellIs" dxfId="1470" priority="1651" operator="equal">
      <formula>"Baja"</formula>
    </cfRule>
    <cfRule type="cellIs" dxfId="1469" priority="1652" operator="equal">
      <formula>"Muy Baja"</formula>
    </cfRule>
  </conditionalFormatting>
  <conditionalFormatting sqref="O46">
    <cfRule type="cellIs" dxfId="1468" priority="1643" operator="equal">
      <formula>"Catastrófico"</formula>
    </cfRule>
    <cfRule type="cellIs" dxfId="1467" priority="1644" operator="equal">
      <formula>"Mayor"</formula>
    </cfRule>
    <cfRule type="cellIs" dxfId="1466" priority="1645" operator="equal">
      <formula>"Moderado"</formula>
    </cfRule>
    <cfRule type="cellIs" dxfId="1465" priority="1646" operator="equal">
      <formula>"Menor"</formula>
    </cfRule>
    <cfRule type="cellIs" dxfId="1464" priority="1647" operator="equal">
      <formula>"Leve"</formula>
    </cfRule>
  </conditionalFormatting>
  <conditionalFormatting sqref="Q46">
    <cfRule type="cellIs" dxfId="1463" priority="1639" operator="equal">
      <formula>"Extremo"</formula>
    </cfRule>
    <cfRule type="cellIs" dxfId="1462" priority="1640" operator="equal">
      <formula>"Alto"</formula>
    </cfRule>
    <cfRule type="cellIs" dxfId="1461" priority="1641" operator="equal">
      <formula>"Moderado"</formula>
    </cfRule>
    <cfRule type="cellIs" dxfId="1460" priority="1642" operator="equal">
      <formula>"Bajo"</formula>
    </cfRule>
  </conditionalFormatting>
  <conditionalFormatting sqref="N46:N48">
    <cfRule type="containsText" dxfId="1459" priority="1638" operator="containsText" text="❌">
      <formula>NOT(ISERROR(SEARCH("❌",N46)))</formula>
    </cfRule>
  </conditionalFormatting>
  <conditionalFormatting sqref="K49">
    <cfRule type="cellIs" dxfId="1458" priority="1633" operator="equal">
      <formula>"Muy Alta"</formula>
    </cfRule>
    <cfRule type="cellIs" dxfId="1457" priority="1634" operator="equal">
      <formula>"Alta"</formula>
    </cfRule>
    <cfRule type="cellIs" dxfId="1456" priority="1635" operator="equal">
      <formula>"Media"</formula>
    </cfRule>
    <cfRule type="cellIs" dxfId="1455" priority="1636" operator="equal">
      <formula>"Baja"</formula>
    </cfRule>
    <cfRule type="cellIs" dxfId="1454" priority="1637" operator="equal">
      <formula>"Muy Baja"</formula>
    </cfRule>
  </conditionalFormatting>
  <conditionalFormatting sqref="O49">
    <cfRule type="cellIs" dxfId="1453" priority="1628" operator="equal">
      <formula>"Catastrófico"</formula>
    </cfRule>
    <cfRule type="cellIs" dxfId="1452" priority="1629" operator="equal">
      <formula>"Mayor"</formula>
    </cfRule>
    <cfRule type="cellIs" dxfId="1451" priority="1630" operator="equal">
      <formula>"Moderado"</formula>
    </cfRule>
    <cfRule type="cellIs" dxfId="1450" priority="1631" operator="equal">
      <formula>"Menor"</formula>
    </cfRule>
    <cfRule type="cellIs" dxfId="1449" priority="1632" operator="equal">
      <formula>"Leve"</formula>
    </cfRule>
  </conditionalFormatting>
  <conditionalFormatting sqref="Q49">
    <cfRule type="cellIs" dxfId="1448" priority="1624" operator="equal">
      <formula>"Extremo"</formula>
    </cfRule>
    <cfRule type="cellIs" dxfId="1447" priority="1625" operator="equal">
      <formula>"Alto"</formula>
    </cfRule>
    <cfRule type="cellIs" dxfId="1446" priority="1626" operator="equal">
      <formula>"Moderado"</formula>
    </cfRule>
    <cfRule type="cellIs" dxfId="1445" priority="1627" operator="equal">
      <formula>"Bajo"</formula>
    </cfRule>
  </conditionalFormatting>
  <conditionalFormatting sqref="N49:N51">
    <cfRule type="containsText" dxfId="1444" priority="1623" operator="containsText" text="❌">
      <formula>NOT(ISERROR(SEARCH("❌",N49)))</formula>
    </cfRule>
  </conditionalFormatting>
  <conditionalFormatting sqref="K52">
    <cfRule type="cellIs" dxfId="1443" priority="1618" operator="equal">
      <formula>"Muy Alta"</formula>
    </cfRule>
    <cfRule type="cellIs" dxfId="1442" priority="1619" operator="equal">
      <formula>"Alta"</formula>
    </cfRule>
    <cfRule type="cellIs" dxfId="1441" priority="1620" operator="equal">
      <formula>"Media"</formula>
    </cfRule>
    <cfRule type="cellIs" dxfId="1440" priority="1621" operator="equal">
      <formula>"Baja"</formula>
    </cfRule>
    <cfRule type="cellIs" dxfId="1439" priority="1622" operator="equal">
      <formula>"Muy Baja"</formula>
    </cfRule>
  </conditionalFormatting>
  <conditionalFormatting sqref="O52">
    <cfRule type="cellIs" dxfId="1438" priority="1613" operator="equal">
      <formula>"Catastrófico"</formula>
    </cfRule>
    <cfRule type="cellIs" dxfId="1437" priority="1614" operator="equal">
      <formula>"Mayor"</formula>
    </cfRule>
    <cfRule type="cellIs" dxfId="1436" priority="1615" operator="equal">
      <formula>"Moderado"</formula>
    </cfRule>
    <cfRule type="cellIs" dxfId="1435" priority="1616" operator="equal">
      <formula>"Menor"</formula>
    </cfRule>
    <cfRule type="cellIs" dxfId="1434" priority="1617" operator="equal">
      <formula>"Leve"</formula>
    </cfRule>
  </conditionalFormatting>
  <conditionalFormatting sqref="Q52">
    <cfRule type="cellIs" dxfId="1433" priority="1609" operator="equal">
      <formula>"Extremo"</formula>
    </cfRule>
    <cfRule type="cellIs" dxfId="1432" priority="1610" operator="equal">
      <formula>"Alto"</formula>
    </cfRule>
    <cfRule type="cellIs" dxfId="1431" priority="1611" operator="equal">
      <formula>"Moderado"</formula>
    </cfRule>
    <cfRule type="cellIs" dxfId="1430" priority="1612" operator="equal">
      <formula>"Bajo"</formula>
    </cfRule>
  </conditionalFormatting>
  <conditionalFormatting sqref="N52:N54">
    <cfRule type="containsText" dxfId="1429" priority="1608" operator="containsText" text="❌">
      <formula>NOT(ISERROR(SEARCH("❌",N52)))</formula>
    </cfRule>
  </conditionalFormatting>
  <conditionalFormatting sqref="K55">
    <cfRule type="cellIs" dxfId="1428" priority="1603" operator="equal">
      <formula>"Muy Alta"</formula>
    </cfRule>
    <cfRule type="cellIs" dxfId="1427" priority="1604" operator="equal">
      <formula>"Alta"</formula>
    </cfRule>
    <cfRule type="cellIs" dxfId="1426" priority="1605" operator="equal">
      <formula>"Media"</formula>
    </cfRule>
    <cfRule type="cellIs" dxfId="1425" priority="1606" operator="equal">
      <formula>"Baja"</formula>
    </cfRule>
    <cfRule type="cellIs" dxfId="1424" priority="1607" operator="equal">
      <formula>"Muy Baja"</formula>
    </cfRule>
  </conditionalFormatting>
  <conditionalFormatting sqref="O55">
    <cfRule type="cellIs" dxfId="1423" priority="1598" operator="equal">
      <formula>"Catastrófico"</formula>
    </cfRule>
    <cfRule type="cellIs" dxfId="1422" priority="1599" operator="equal">
      <formula>"Mayor"</formula>
    </cfRule>
    <cfRule type="cellIs" dxfId="1421" priority="1600" operator="equal">
      <formula>"Moderado"</formula>
    </cfRule>
    <cfRule type="cellIs" dxfId="1420" priority="1601" operator="equal">
      <formula>"Menor"</formula>
    </cfRule>
    <cfRule type="cellIs" dxfId="1419" priority="1602" operator="equal">
      <formula>"Leve"</formula>
    </cfRule>
  </conditionalFormatting>
  <conditionalFormatting sqref="Q55">
    <cfRule type="cellIs" dxfId="1418" priority="1594" operator="equal">
      <formula>"Extremo"</formula>
    </cfRule>
    <cfRule type="cellIs" dxfId="1417" priority="1595" operator="equal">
      <formula>"Alto"</formula>
    </cfRule>
    <cfRule type="cellIs" dxfId="1416" priority="1596" operator="equal">
      <formula>"Moderado"</formula>
    </cfRule>
    <cfRule type="cellIs" dxfId="1415" priority="1597" operator="equal">
      <formula>"Bajo"</formula>
    </cfRule>
  </conditionalFormatting>
  <conditionalFormatting sqref="N55:N57">
    <cfRule type="containsText" dxfId="1414" priority="1593" operator="containsText" text="❌">
      <formula>NOT(ISERROR(SEARCH("❌",N55)))</formula>
    </cfRule>
  </conditionalFormatting>
  <conditionalFormatting sqref="K58">
    <cfRule type="cellIs" dxfId="1413" priority="1588" operator="equal">
      <formula>"Muy Alta"</formula>
    </cfRule>
    <cfRule type="cellIs" dxfId="1412" priority="1589" operator="equal">
      <formula>"Alta"</formula>
    </cfRule>
    <cfRule type="cellIs" dxfId="1411" priority="1590" operator="equal">
      <formula>"Media"</formula>
    </cfRule>
    <cfRule type="cellIs" dxfId="1410" priority="1591" operator="equal">
      <formula>"Baja"</formula>
    </cfRule>
    <cfRule type="cellIs" dxfId="1409" priority="1592" operator="equal">
      <formula>"Muy Baja"</formula>
    </cfRule>
  </conditionalFormatting>
  <conditionalFormatting sqref="O58">
    <cfRule type="cellIs" dxfId="1408" priority="1583" operator="equal">
      <formula>"Catastrófico"</formula>
    </cfRule>
    <cfRule type="cellIs" dxfId="1407" priority="1584" operator="equal">
      <formula>"Mayor"</formula>
    </cfRule>
    <cfRule type="cellIs" dxfId="1406" priority="1585" operator="equal">
      <formula>"Moderado"</formula>
    </cfRule>
    <cfRule type="cellIs" dxfId="1405" priority="1586" operator="equal">
      <formula>"Menor"</formula>
    </cfRule>
    <cfRule type="cellIs" dxfId="1404" priority="1587" operator="equal">
      <formula>"Leve"</formula>
    </cfRule>
  </conditionalFormatting>
  <conditionalFormatting sqref="Q58">
    <cfRule type="cellIs" dxfId="1403" priority="1579" operator="equal">
      <formula>"Extremo"</formula>
    </cfRule>
    <cfRule type="cellIs" dxfId="1402" priority="1580" operator="equal">
      <formula>"Alto"</formula>
    </cfRule>
    <cfRule type="cellIs" dxfId="1401" priority="1581" operator="equal">
      <formula>"Moderado"</formula>
    </cfRule>
    <cfRule type="cellIs" dxfId="1400" priority="1582" operator="equal">
      <formula>"Bajo"</formula>
    </cfRule>
  </conditionalFormatting>
  <conditionalFormatting sqref="N58:N60">
    <cfRule type="containsText" dxfId="1399" priority="1578" operator="containsText" text="❌">
      <formula>NOT(ISERROR(SEARCH("❌",N58)))</formula>
    </cfRule>
  </conditionalFormatting>
  <conditionalFormatting sqref="K61">
    <cfRule type="cellIs" dxfId="1398" priority="1573" operator="equal">
      <formula>"Muy Alta"</formula>
    </cfRule>
    <cfRule type="cellIs" dxfId="1397" priority="1574" operator="equal">
      <formula>"Alta"</formula>
    </cfRule>
    <cfRule type="cellIs" dxfId="1396" priority="1575" operator="equal">
      <formula>"Media"</formula>
    </cfRule>
    <cfRule type="cellIs" dxfId="1395" priority="1576" operator="equal">
      <formula>"Baja"</formula>
    </cfRule>
    <cfRule type="cellIs" dxfId="1394" priority="1577" operator="equal">
      <formula>"Muy Baja"</formula>
    </cfRule>
  </conditionalFormatting>
  <conditionalFormatting sqref="O61">
    <cfRule type="cellIs" dxfId="1393" priority="1568" operator="equal">
      <formula>"Catastrófico"</formula>
    </cfRule>
    <cfRule type="cellIs" dxfId="1392" priority="1569" operator="equal">
      <formula>"Mayor"</formula>
    </cfRule>
    <cfRule type="cellIs" dxfId="1391" priority="1570" operator="equal">
      <formula>"Moderado"</formula>
    </cfRule>
    <cfRule type="cellIs" dxfId="1390" priority="1571" operator="equal">
      <formula>"Menor"</formula>
    </cfRule>
    <cfRule type="cellIs" dxfId="1389" priority="1572" operator="equal">
      <formula>"Leve"</formula>
    </cfRule>
  </conditionalFormatting>
  <conditionalFormatting sqref="Q61">
    <cfRule type="cellIs" dxfId="1388" priority="1564" operator="equal">
      <formula>"Extremo"</formula>
    </cfRule>
    <cfRule type="cellIs" dxfId="1387" priority="1565" operator="equal">
      <formula>"Alto"</formula>
    </cfRule>
    <cfRule type="cellIs" dxfId="1386" priority="1566" operator="equal">
      <formula>"Moderado"</formula>
    </cfRule>
    <cfRule type="cellIs" dxfId="1385" priority="1567" operator="equal">
      <formula>"Bajo"</formula>
    </cfRule>
  </conditionalFormatting>
  <conditionalFormatting sqref="N61:N63">
    <cfRule type="containsText" dxfId="1384" priority="1563" operator="containsText" text="❌">
      <formula>NOT(ISERROR(SEARCH("❌",N61)))</formula>
    </cfRule>
  </conditionalFormatting>
  <conditionalFormatting sqref="K64">
    <cfRule type="cellIs" dxfId="1383" priority="1558" operator="equal">
      <formula>"Muy Alta"</formula>
    </cfRule>
    <cfRule type="cellIs" dxfId="1382" priority="1559" operator="equal">
      <formula>"Alta"</formula>
    </cfRule>
    <cfRule type="cellIs" dxfId="1381" priority="1560" operator="equal">
      <formula>"Media"</formula>
    </cfRule>
    <cfRule type="cellIs" dxfId="1380" priority="1561" operator="equal">
      <formula>"Baja"</formula>
    </cfRule>
    <cfRule type="cellIs" dxfId="1379" priority="1562" operator="equal">
      <formula>"Muy Baja"</formula>
    </cfRule>
  </conditionalFormatting>
  <conditionalFormatting sqref="O64">
    <cfRule type="cellIs" dxfId="1378" priority="1553" operator="equal">
      <formula>"Catastrófico"</formula>
    </cfRule>
    <cfRule type="cellIs" dxfId="1377" priority="1554" operator="equal">
      <formula>"Mayor"</formula>
    </cfRule>
    <cfRule type="cellIs" dxfId="1376" priority="1555" operator="equal">
      <formula>"Moderado"</formula>
    </cfRule>
    <cfRule type="cellIs" dxfId="1375" priority="1556" operator="equal">
      <formula>"Menor"</formula>
    </cfRule>
    <cfRule type="cellIs" dxfId="1374" priority="1557" operator="equal">
      <formula>"Leve"</formula>
    </cfRule>
  </conditionalFormatting>
  <conditionalFormatting sqref="Q64">
    <cfRule type="cellIs" dxfId="1373" priority="1549" operator="equal">
      <formula>"Extremo"</formula>
    </cfRule>
    <cfRule type="cellIs" dxfId="1372" priority="1550" operator="equal">
      <formula>"Alto"</formula>
    </cfRule>
    <cfRule type="cellIs" dxfId="1371" priority="1551" operator="equal">
      <formula>"Moderado"</formula>
    </cfRule>
    <cfRule type="cellIs" dxfId="1370" priority="1552" operator="equal">
      <formula>"Bajo"</formula>
    </cfRule>
  </conditionalFormatting>
  <conditionalFormatting sqref="N64:N66">
    <cfRule type="containsText" dxfId="1369" priority="1548" operator="containsText" text="❌">
      <formula>NOT(ISERROR(SEARCH("❌",N64)))</formula>
    </cfRule>
  </conditionalFormatting>
  <conditionalFormatting sqref="K67">
    <cfRule type="cellIs" dxfId="1368" priority="1543" operator="equal">
      <formula>"Muy Alta"</formula>
    </cfRule>
    <cfRule type="cellIs" dxfId="1367" priority="1544" operator="equal">
      <formula>"Alta"</formula>
    </cfRule>
    <cfRule type="cellIs" dxfId="1366" priority="1545" operator="equal">
      <formula>"Media"</formula>
    </cfRule>
    <cfRule type="cellIs" dxfId="1365" priority="1546" operator="equal">
      <formula>"Baja"</formula>
    </cfRule>
    <cfRule type="cellIs" dxfId="1364" priority="1547" operator="equal">
      <formula>"Muy Baja"</formula>
    </cfRule>
  </conditionalFormatting>
  <conditionalFormatting sqref="O67">
    <cfRule type="cellIs" dxfId="1363" priority="1538" operator="equal">
      <formula>"Catastrófico"</formula>
    </cfRule>
    <cfRule type="cellIs" dxfId="1362" priority="1539" operator="equal">
      <formula>"Mayor"</formula>
    </cfRule>
    <cfRule type="cellIs" dxfId="1361" priority="1540" operator="equal">
      <formula>"Moderado"</formula>
    </cfRule>
    <cfRule type="cellIs" dxfId="1360" priority="1541" operator="equal">
      <formula>"Menor"</formula>
    </cfRule>
    <cfRule type="cellIs" dxfId="1359" priority="1542" operator="equal">
      <formula>"Leve"</formula>
    </cfRule>
  </conditionalFormatting>
  <conditionalFormatting sqref="Q67">
    <cfRule type="cellIs" dxfId="1358" priority="1534" operator="equal">
      <formula>"Extremo"</formula>
    </cfRule>
    <cfRule type="cellIs" dxfId="1357" priority="1535" operator="equal">
      <formula>"Alto"</formula>
    </cfRule>
    <cfRule type="cellIs" dxfId="1356" priority="1536" operator="equal">
      <formula>"Moderado"</formula>
    </cfRule>
    <cfRule type="cellIs" dxfId="1355" priority="1537" operator="equal">
      <formula>"Bajo"</formula>
    </cfRule>
  </conditionalFormatting>
  <conditionalFormatting sqref="N67:N69">
    <cfRule type="containsText" dxfId="1354" priority="1533" operator="containsText" text="❌">
      <formula>NOT(ISERROR(SEARCH("❌",N67)))</formula>
    </cfRule>
  </conditionalFormatting>
  <conditionalFormatting sqref="K73">
    <cfRule type="cellIs" dxfId="1353" priority="1528" operator="equal">
      <formula>"Muy Alta"</formula>
    </cfRule>
    <cfRule type="cellIs" dxfId="1352" priority="1529" operator="equal">
      <formula>"Alta"</formula>
    </cfRule>
    <cfRule type="cellIs" dxfId="1351" priority="1530" operator="equal">
      <formula>"Media"</formula>
    </cfRule>
    <cfRule type="cellIs" dxfId="1350" priority="1531" operator="equal">
      <formula>"Baja"</formula>
    </cfRule>
    <cfRule type="cellIs" dxfId="1349" priority="1532" operator="equal">
      <formula>"Muy Baja"</formula>
    </cfRule>
  </conditionalFormatting>
  <conditionalFormatting sqref="O73">
    <cfRule type="cellIs" dxfId="1348" priority="1523" operator="equal">
      <formula>"Catastrófico"</formula>
    </cfRule>
    <cfRule type="cellIs" dxfId="1347" priority="1524" operator="equal">
      <formula>"Mayor"</formula>
    </cfRule>
    <cfRule type="cellIs" dxfId="1346" priority="1525" operator="equal">
      <formula>"Moderado"</formula>
    </cfRule>
    <cfRule type="cellIs" dxfId="1345" priority="1526" operator="equal">
      <formula>"Menor"</formula>
    </cfRule>
    <cfRule type="cellIs" dxfId="1344" priority="1527" operator="equal">
      <formula>"Leve"</formula>
    </cfRule>
  </conditionalFormatting>
  <conditionalFormatting sqref="Q73">
    <cfRule type="cellIs" dxfId="1343" priority="1519" operator="equal">
      <formula>"Extremo"</formula>
    </cfRule>
    <cfRule type="cellIs" dxfId="1342" priority="1520" operator="equal">
      <formula>"Alto"</formula>
    </cfRule>
    <cfRule type="cellIs" dxfId="1341" priority="1521" operator="equal">
      <formula>"Moderado"</formula>
    </cfRule>
    <cfRule type="cellIs" dxfId="1340" priority="1522" operator="equal">
      <formula>"Bajo"</formula>
    </cfRule>
  </conditionalFormatting>
  <conditionalFormatting sqref="N73:N75">
    <cfRule type="containsText" dxfId="1339" priority="1518" operator="containsText" text="❌">
      <formula>NOT(ISERROR(SEARCH("❌",N73)))</formula>
    </cfRule>
  </conditionalFormatting>
  <conditionalFormatting sqref="K76">
    <cfRule type="cellIs" dxfId="1338" priority="1513" operator="equal">
      <formula>"Muy Alta"</formula>
    </cfRule>
    <cfRule type="cellIs" dxfId="1337" priority="1514" operator="equal">
      <formula>"Alta"</formula>
    </cfRule>
    <cfRule type="cellIs" dxfId="1336" priority="1515" operator="equal">
      <formula>"Media"</formula>
    </cfRule>
    <cfRule type="cellIs" dxfId="1335" priority="1516" operator="equal">
      <formula>"Baja"</formula>
    </cfRule>
    <cfRule type="cellIs" dxfId="1334" priority="1517" operator="equal">
      <formula>"Muy Baja"</formula>
    </cfRule>
  </conditionalFormatting>
  <conditionalFormatting sqref="O76">
    <cfRule type="cellIs" dxfId="1333" priority="1508" operator="equal">
      <formula>"Catastrófico"</formula>
    </cfRule>
    <cfRule type="cellIs" dxfId="1332" priority="1509" operator="equal">
      <formula>"Mayor"</formula>
    </cfRule>
    <cfRule type="cellIs" dxfId="1331" priority="1510" operator="equal">
      <formula>"Moderado"</formula>
    </cfRule>
    <cfRule type="cellIs" dxfId="1330" priority="1511" operator="equal">
      <formula>"Menor"</formula>
    </cfRule>
    <cfRule type="cellIs" dxfId="1329" priority="1512" operator="equal">
      <formula>"Leve"</formula>
    </cfRule>
  </conditionalFormatting>
  <conditionalFormatting sqref="Q76">
    <cfRule type="cellIs" dxfId="1328" priority="1504" operator="equal">
      <formula>"Extremo"</formula>
    </cfRule>
    <cfRule type="cellIs" dxfId="1327" priority="1505" operator="equal">
      <formula>"Alto"</formula>
    </cfRule>
    <cfRule type="cellIs" dxfId="1326" priority="1506" operator="equal">
      <formula>"Moderado"</formula>
    </cfRule>
    <cfRule type="cellIs" dxfId="1325" priority="1507" operator="equal">
      <formula>"Bajo"</formula>
    </cfRule>
  </conditionalFormatting>
  <conditionalFormatting sqref="N76:N78">
    <cfRule type="containsText" dxfId="1324" priority="1503" operator="containsText" text="❌">
      <formula>NOT(ISERROR(SEARCH("❌",N76)))</formula>
    </cfRule>
  </conditionalFormatting>
  <conditionalFormatting sqref="K79">
    <cfRule type="cellIs" dxfId="1323" priority="1498" operator="equal">
      <formula>"Muy Alta"</formula>
    </cfRule>
    <cfRule type="cellIs" dxfId="1322" priority="1499" operator="equal">
      <formula>"Alta"</formula>
    </cfRule>
    <cfRule type="cellIs" dxfId="1321" priority="1500" operator="equal">
      <formula>"Media"</formula>
    </cfRule>
    <cfRule type="cellIs" dxfId="1320" priority="1501" operator="equal">
      <formula>"Baja"</formula>
    </cfRule>
    <cfRule type="cellIs" dxfId="1319" priority="1502" operator="equal">
      <formula>"Muy Baja"</formula>
    </cfRule>
  </conditionalFormatting>
  <conditionalFormatting sqref="O79">
    <cfRule type="cellIs" dxfId="1318" priority="1493" operator="equal">
      <formula>"Catastrófico"</formula>
    </cfRule>
    <cfRule type="cellIs" dxfId="1317" priority="1494" operator="equal">
      <formula>"Mayor"</formula>
    </cfRule>
    <cfRule type="cellIs" dxfId="1316" priority="1495" operator="equal">
      <formula>"Moderado"</formula>
    </cfRule>
    <cfRule type="cellIs" dxfId="1315" priority="1496" operator="equal">
      <formula>"Menor"</formula>
    </cfRule>
    <cfRule type="cellIs" dxfId="1314" priority="1497" operator="equal">
      <formula>"Leve"</formula>
    </cfRule>
  </conditionalFormatting>
  <conditionalFormatting sqref="Q79">
    <cfRule type="cellIs" dxfId="1313" priority="1489" operator="equal">
      <formula>"Extremo"</formula>
    </cfRule>
    <cfRule type="cellIs" dxfId="1312" priority="1490" operator="equal">
      <formula>"Alto"</formula>
    </cfRule>
    <cfRule type="cellIs" dxfId="1311" priority="1491" operator="equal">
      <formula>"Moderado"</formula>
    </cfRule>
    <cfRule type="cellIs" dxfId="1310" priority="1492" operator="equal">
      <formula>"Bajo"</formula>
    </cfRule>
  </conditionalFormatting>
  <conditionalFormatting sqref="N79:N81">
    <cfRule type="containsText" dxfId="1309" priority="1488" operator="containsText" text="❌">
      <formula>NOT(ISERROR(SEARCH("❌",N79)))</formula>
    </cfRule>
  </conditionalFormatting>
  <conditionalFormatting sqref="O82">
    <cfRule type="cellIs" dxfId="1308" priority="1478" operator="equal">
      <formula>"Catastrófico"</formula>
    </cfRule>
    <cfRule type="cellIs" dxfId="1307" priority="1479" operator="equal">
      <formula>"Mayor"</formula>
    </cfRule>
    <cfRule type="cellIs" dxfId="1306" priority="1480" operator="equal">
      <formula>"Moderado"</formula>
    </cfRule>
    <cfRule type="cellIs" dxfId="1305" priority="1481" operator="equal">
      <formula>"Menor"</formula>
    </cfRule>
    <cfRule type="cellIs" dxfId="1304" priority="1482" operator="equal">
      <formula>"Leve"</formula>
    </cfRule>
  </conditionalFormatting>
  <conditionalFormatting sqref="Q82">
    <cfRule type="cellIs" dxfId="1303" priority="1474" operator="equal">
      <formula>"Extremo"</formula>
    </cfRule>
    <cfRule type="cellIs" dxfId="1302" priority="1475" operator="equal">
      <formula>"Alto"</formula>
    </cfRule>
    <cfRule type="cellIs" dxfId="1301" priority="1476" operator="equal">
      <formula>"Moderado"</formula>
    </cfRule>
    <cfRule type="cellIs" dxfId="1300" priority="1477" operator="equal">
      <formula>"Bajo"</formula>
    </cfRule>
  </conditionalFormatting>
  <conditionalFormatting sqref="N82:N84">
    <cfRule type="containsText" dxfId="1299" priority="1473" operator="containsText" text="❌">
      <formula>NOT(ISERROR(SEARCH("❌",N82)))</formula>
    </cfRule>
  </conditionalFormatting>
  <conditionalFormatting sqref="K88">
    <cfRule type="cellIs" dxfId="1298" priority="1468" operator="equal">
      <formula>"Muy Alta"</formula>
    </cfRule>
    <cfRule type="cellIs" dxfId="1297" priority="1469" operator="equal">
      <formula>"Alta"</formula>
    </cfRule>
    <cfRule type="cellIs" dxfId="1296" priority="1470" operator="equal">
      <formula>"Media"</formula>
    </cfRule>
    <cfRule type="cellIs" dxfId="1295" priority="1471" operator="equal">
      <formula>"Baja"</formula>
    </cfRule>
    <cfRule type="cellIs" dxfId="1294" priority="1472" operator="equal">
      <formula>"Muy Baja"</formula>
    </cfRule>
  </conditionalFormatting>
  <conditionalFormatting sqref="O88">
    <cfRule type="cellIs" dxfId="1293" priority="1463" operator="equal">
      <formula>"Catastrófico"</formula>
    </cfRule>
    <cfRule type="cellIs" dxfId="1292" priority="1464" operator="equal">
      <formula>"Mayor"</formula>
    </cfRule>
    <cfRule type="cellIs" dxfId="1291" priority="1465" operator="equal">
      <formula>"Moderado"</formula>
    </cfRule>
    <cfRule type="cellIs" dxfId="1290" priority="1466" operator="equal">
      <formula>"Menor"</formula>
    </cfRule>
    <cfRule type="cellIs" dxfId="1289" priority="1467" operator="equal">
      <formula>"Leve"</formula>
    </cfRule>
  </conditionalFormatting>
  <conditionalFormatting sqref="Q88">
    <cfRule type="cellIs" dxfId="1288" priority="1459" operator="equal">
      <formula>"Extremo"</formula>
    </cfRule>
    <cfRule type="cellIs" dxfId="1287" priority="1460" operator="equal">
      <formula>"Alto"</formula>
    </cfRule>
    <cfRule type="cellIs" dxfId="1286" priority="1461" operator="equal">
      <formula>"Moderado"</formula>
    </cfRule>
    <cfRule type="cellIs" dxfId="1285" priority="1462" operator="equal">
      <formula>"Bajo"</formula>
    </cfRule>
  </conditionalFormatting>
  <conditionalFormatting sqref="N88:N90">
    <cfRule type="containsText" dxfId="1284" priority="1458" operator="containsText" text="❌">
      <formula>NOT(ISERROR(SEARCH("❌",N88)))</formula>
    </cfRule>
  </conditionalFormatting>
  <conditionalFormatting sqref="K91">
    <cfRule type="cellIs" dxfId="1283" priority="1453" operator="equal">
      <formula>"Muy Alta"</formula>
    </cfRule>
    <cfRule type="cellIs" dxfId="1282" priority="1454" operator="equal">
      <formula>"Alta"</formula>
    </cfRule>
    <cfRule type="cellIs" dxfId="1281" priority="1455" operator="equal">
      <formula>"Media"</formula>
    </cfRule>
    <cfRule type="cellIs" dxfId="1280" priority="1456" operator="equal">
      <formula>"Baja"</formula>
    </cfRule>
    <cfRule type="cellIs" dxfId="1279" priority="1457" operator="equal">
      <formula>"Muy Baja"</formula>
    </cfRule>
  </conditionalFormatting>
  <conditionalFormatting sqref="O91">
    <cfRule type="cellIs" dxfId="1278" priority="1448" operator="equal">
      <formula>"Catastrófico"</formula>
    </cfRule>
    <cfRule type="cellIs" dxfId="1277" priority="1449" operator="equal">
      <formula>"Mayor"</formula>
    </cfRule>
    <cfRule type="cellIs" dxfId="1276" priority="1450" operator="equal">
      <formula>"Moderado"</formula>
    </cfRule>
    <cfRule type="cellIs" dxfId="1275" priority="1451" operator="equal">
      <formula>"Menor"</formula>
    </cfRule>
    <cfRule type="cellIs" dxfId="1274" priority="1452" operator="equal">
      <formula>"Leve"</formula>
    </cfRule>
  </conditionalFormatting>
  <conditionalFormatting sqref="Q91">
    <cfRule type="cellIs" dxfId="1273" priority="1444" operator="equal">
      <formula>"Extremo"</formula>
    </cfRule>
    <cfRule type="cellIs" dxfId="1272" priority="1445" operator="equal">
      <formula>"Alto"</formula>
    </cfRule>
    <cfRule type="cellIs" dxfId="1271" priority="1446" operator="equal">
      <formula>"Moderado"</formula>
    </cfRule>
    <cfRule type="cellIs" dxfId="1270" priority="1447" operator="equal">
      <formula>"Bajo"</formula>
    </cfRule>
  </conditionalFormatting>
  <conditionalFormatting sqref="N91:N93">
    <cfRule type="containsText" dxfId="1269" priority="1443" operator="containsText" text="❌">
      <formula>NOT(ISERROR(SEARCH("❌",N91)))</formula>
    </cfRule>
  </conditionalFormatting>
  <conditionalFormatting sqref="K94">
    <cfRule type="cellIs" dxfId="1268" priority="1438" operator="equal">
      <formula>"Muy Alta"</formula>
    </cfRule>
    <cfRule type="cellIs" dxfId="1267" priority="1439" operator="equal">
      <formula>"Alta"</formula>
    </cfRule>
    <cfRule type="cellIs" dxfId="1266" priority="1440" operator="equal">
      <formula>"Media"</formula>
    </cfRule>
    <cfRule type="cellIs" dxfId="1265" priority="1441" operator="equal">
      <formula>"Baja"</formula>
    </cfRule>
    <cfRule type="cellIs" dxfId="1264" priority="1442" operator="equal">
      <formula>"Muy Baja"</formula>
    </cfRule>
  </conditionalFormatting>
  <conditionalFormatting sqref="O94">
    <cfRule type="cellIs" dxfId="1263" priority="1433" operator="equal">
      <formula>"Catastrófico"</formula>
    </cfRule>
    <cfRule type="cellIs" dxfId="1262" priority="1434" operator="equal">
      <formula>"Mayor"</formula>
    </cfRule>
    <cfRule type="cellIs" dxfId="1261" priority="1435" operator="equal">
      <formula>"Moderado"</formula>
    </cfRule>
    <cfRule type="cellIs" dxfId="1260" priority="1436" operator="equal">
      <formula>"Menor"</formula>
    </cfRule>
    <cfRule type="cellIs" dxfId="1259" priority="1437" operator="equal">
      <formula>"Leve"</formula>
    </cfRule>
  </conditionalFormatting>
  <conditionalFormatting sqref="Q94">
    <cfRule type="cellIs" dxfId="1258" priority="1429" operator="equal">
      <formula>"Extremo"</formula>
    </cfRule>
    <cfRule type="cellIs" dxfId="1257" priority="1430" operator="equal">
      <formula>"Alto"</formula>
    </cfRule>
    <cfRule type="cellIs" dxfId="1256" priority="1431" operator="equal">
      <formula>"Moderado"</formula>
    </cfRule>
    <cfRule type="cellIs" dxfId="1255" priority="1432" operator="equal">
      <formula>"Bajo"</formula>
    </cfRule>
  </conditionalFormatting>
  <conditionalFormatting sqref="N94:N96">
    <cfRule type="containsText" dxfId="1254" priority="1428" operator="containsText" text="❌">
      <formula>NOT(ISERROR(SEARCH("❌",N94)))</formula>
    </cfRule>
  </conditionalFormatting>
  <conditionalFormatting sqref="O97:O98">
    <cfRule type="cellIs" dxfId="1253" priority="1418" operator="equal">
      <formula>"Catastrófico"</formula>
    </cfRule>
    <cfRule type="cellIs" dxfId="1252" priority="1419" operator="equal">
      <formula>"Mayor"</formula>
    </cfRule>
    <cfRule type="cellIs" dxfId="1251" priority="1420" operator="equal">
      <formula>"Moderado"</formula>
    </cfRule>
    <cfRule type="cellIs" dxfId="1250" priority="1421" operator="equal">
      <formula>"Menor"</formula>
    </cfRule>
    <cfRule type="cellIs" dxfId="1249" priority="1422" operator="equal">
      <formula>"Leve"</formula>
    </cfRule>
  </conditionalFormatting>
  <conditionalFormatting sqref="Q97:Q98">
    <cfRule type="cellIs" dxfId="1248" priority="1414" operator="equal">
      <formula>"Extremo"</formula>
    </cfRule>
    <cfRule type="cellIs" dxfId="1247" priority="1415" operator="equal">
      <formula>"Alto"</formula>
    </cfRule>
    <cfRule type="cellIs" dxfId="1246" priority="1416" operator="equal">
      <formula>"Moderado"</formula>
    </cfRule>
    <cfRule type="cellIs" dxfId="1245" priority="1417" operator="equal">
      <formula>"Bajo"</formula>
    </cfRule>
  </conditionalFormatting>
  <conditionalFormatting sqref="N97:N99">
    <cfRule type="containsText" dxfId="1244" priority="1413" operator="containsText" text="❌">
      <formula>NOT(ISERROR(SEARCH("❌",N97)))</formula>
    </cfRule>
  </conditionalFormatting>
  <conditionalFormatting sqref="K100">
    <cfRule type="cellIs" dxfId="1243" priority="1408" operator="equal">
      <formula>"Muy Alta"</formula>
    </cfRule>
    <cfRule type="cellIs" dxfId="1242" priority="1409" operator="equal">
      <formula>"Alta"</formula>
    </cfRule>
    <cfRule type="cellIs" dxfId="1241" priority="1410" operator="equal">
      <formula>"Media"</formula>
    </cfRule>
    <cfRule type="cellIs" dxfId="1240" priority="1411" operator="equal">
      <formula>"Baja"</formula>
    </cfRule>
    <cfRule type="cellIs" dxfId="1239" priority="1412" operator="equal">
      <formula>"Muy Baja"</formula>
    </cfRule>
  </conditionalFormatting>
  <conditionalFormatting sqref="O100">
    <cfRule type="cellIs" dxfId="1238" priority="1403" operator="equal">
      <formula>"Catastrófico"</formula>
    </cfRule>
    <cfRule type="cellIs" dxfId="1237" priority="1404" operator="equal">
      <formula>"Mayor"</formula>
    </cfRule>
    <cfRule type="cellIs" dxfId="1236" priority="1405" operator="equal">
      <formula>"Moderado"</formula>
    </cfRule>
    <cfRule type="cellIs" dxfId="1235" priority="1406" operator="equal">
      <formula>"Menor"</formula>
    </cfRule>
    <cfRule type="cellIs" dxfId="1234" priority="1407" operator="equal">
      <formula>"Leve"</formula>
    </cfRule>
  </conditionalFormatting>
  <conditionalFormatting sqref="Q100">
    <cfRule type="cellIs" dxfId="1233" priority="1399" operator="equal">
      <formula>"Extremo"</formula>
    </cfRule>
    <cfRule type="cellIs" dxfId="1232" priority="1400" operator="equal">
      <formula>"Alto"</formula>
    </cfRule>
    <cfRule type="cellIs" dxfId="1231" priority="1401" operator="equal">
      <formula>"Moderado"</formula>
    </cfRule>
    <cfRule type="cellIs" dxfId="1230" priority="1402" operator="equal">
      <formula>"Bajo"</formula>
    </cfRule>
  </conditionalFormatting>
  <conditionalFormatting sqref="N100">
    <cfRule type="containsText" dxfId="1229" priority="1398" operator="containsText" text="❌">
      <formula>NOT(ISERROR(SEARCH("❌",N100)))</formula>
    </cfRule>
  </conditionalFormatting>
  <conditionalFormatting sqref="K106">
    <cfRule type="cellIs" dxfId="1228" priority="1393" operator="equal">
      <formula>"Muy Alta"</formula>
    </cfRule>
    <cfRule type="cellIs" dxfId="1227" priority="1394" operator="equal">
      <formula>"Alta"</formula>
    </cfRule>
    <cfRule type="cellIs" dxfId="1226" priority="1395" operator="equal">
      <formula>"Media"</formula>
    </cfRule>
    <cfRule type="cellIs" dxfId="1225" priority="1396" operator="equal">
      <formula>"Baja"</formula>
    </cfRule>
    <cfRule type="cellIs" dxfId="1224" priority="1397" operator="equal">
      <formula>"Muy Baja"</formula>
    </cfRule>
  </conditionalFormatting>
  <conditionalFormatting sqref="O106">
    <cfRule type="cellIs" dxfId="1223" priority="1388" operator="equal">
      <formula>"Catastrófico"</formula>
    </cfRule>
    <cfRule type="cellIs" dxfId="1222" priority="1389" operator="equal">
      <formula>"Mayor"</formula>
    </cfRule>
    <cfRule type="cellIs" dxfId="1221" priority="1390" operator="equal">
      <formula>"Moderado"</formula>
    </cfRule>
    <cfRule type="cellIs" dxfId="1220" priority="1391" operator="equal">
      <formula>"Menor"</formula>
    </cfRule>
    <cfRule type="cellIs" dxfId="1219" priority="1392" operator="equal">
      <formula>"Leve"</formula>
    </cfRule>
  </conditionalFormatting>
  <conditionalFormatting sqref="Q106">
    <cfRule type="cellIs" dxfId="1218" priority="1384" operator="equal">
      <formula>"Extremo"</formula>
    </cfRule>
    <cfRule type="cellIs" dxfId="1217" priority="1385" operator="equal">
      <formula>"Alto"</formula>
    </cfRule>
    <cfRule type="cellIs" dxfId="1216" priority="1386" operator="equal">
      <formula>"Moderado"</formula>
    </cfRule>
    <cfRule type="cellIs" dxfId="1215" priority="1387" operator="equal">
      <formula>"Bajo"</formula>
    </cfRule>
  </conditionalFormatting>
  <conditionalFormatting sqref="N106:N108">
    <cfRule type="containsText" dxfId="1214" priority="1383" operator="containsText" text="❌">
      <formula>NOT(ISERROR(SEARCH("❌",N106)))</formula>
    </cfRule>
  </conditionalFormatting>
  <conditionalFormatting sqref="K109">
    <cfRule type="cellIs" dxfId="1213" priority="1378" operator="equal">
      <formula>"Muy Alta"</formula>
    </cfRule>
    <cfRule type="cellIs" dxfId="1212" priority="1379" operator="equal">
      <formula>"Alta"</formula>
    </cfRule>
    <cfRule type="cellIs" dxfId="1211" priority="1380" operator="equal">
      <formula>"Media"</formula>
    </cfRule>
    <cfRule type="cellIs" dxfId="1210" priority="1381" operator="equal">
      <formula>"Baja"</formula>
    </cfRule>
    <cfRule type="cellIs" dxfId="1209" priority="1382" operator="equal">
      <formula>"Muy Baja"</formula>
    </cfRule>
  </conditionalFormatting>
  <conditionalFormatting sqref="O109">
    <cfRule type="cellIs" dxfId="1208" priority="1373" operator="equal">
      <formula>"Catastrófico"</formula>
    </cfRule>
    <cfRule type="cellIs" dxfId="1207" priority="1374" operator="equal">
      <formula>"Mayor"</formula>
    </cfRule>
    <cfRule type="cellIs" dxfId="1206" priority="1375" operator="equal">
      <formula>"Moderado"</formula>
    </cfRule>
    <cfRule type="cellIs" dxfId="1205" priority="1376" operator="equal">
      <formula>"Menor"</formula>
    </cfRule>
    <cfRule type="cellIs" dxfId="1204" priority="1377" operator="equal">
      <formula>"Leve"</formula>
    </cfRule>
  </conditionalFormatting>
  <conditionalFormatting sqref="Q109">
    <cfRule type="cellIs" dxfId="1203" priority="1369" operator="equal">
      <formula>"Extremo"</formula>
    </cfRule>
    <cfRule type="cellIs" dxfId="1202" priority="1370" operator="equal">
      <formula>"Alto"</formula>
    </cfRule>
    <cfRule type="cellIs" dxfId="1201" priority="1371" operator="equal">
      <formula>"Moderado"</formula>
    </cfRule>
    <cfRule type="cellIs" dxfId="1200" priority="1372" operator="equal">
      <formula>"Bajo"</formula>
    </cfRule>
  </conditionalFormatting>
  <conditionalFormatting sqref="N109:N111">
    <cfRule type="containsText" dxfId="1199" priority="1368" operator="containsText" text="❌">
      <formula>NOT(ISERROR(SEARCH("❌",N109)))</formula>
    </cfRule>
  </conditionalFormatting>
  <conditionalFormatting sqref="K127">
    <cfRule type="cellIs" dxfId="1198" priority="1363" operator="equal">
      <formula>"Muy Alta"</formula>
    </cfRule>
    <cfRule type="cellIs" dxfId="1197" priority="1364" operator="equal">
      <formula>"Alta"</formula>
    </cfRule>
    <cfRule type="cellIs" dxfId="1196" priority="1365" operator="equal">
      <formula>"Media"</formula>
    </cfRule>
    <cfRule type="cellIs" dxfId="1195" priority="1366" operator="equal">
      <formula>"Baja"</formula>
    </cfRule>
    <cfRule type="cellIs" dxfId="1194" priority="1367" operator="equal">
      <formula>"Muy Baja"</formula>
    </cfRule>
  </conditionalFormatting>
  <conditionalFormatting sqref="O127">
    <cfRule type="cellIs" dxfId="1193" priority="1358" operator="equal">
      <formula>"Catastrófico"</formula>
    </cfRule>
    <cfRule type="cellIs" dxfId="1192" priority="1359" operator="equal">
      <formula>"Mayor"</formula>
    </cfRule>
    <cfRule type="cellIs" dxfId="1191" priority="1360" operator="equal">
      <formula>"Moderado"</formula>
    </cfRule>
    <cfRule type="cellIs" dxfId="1190" priority="1361" operator="equal">
      <formula>"Menor"</formula>
    </cfRule>
    <cfRule type="cellIs" dxfId="1189" priority="1362" operator="equal">
      <formula>"Leve"</formula>
    </cfRule>
  </conditionalFormatting>
  <conditionalFormatting sqref="Q127">
    <cfRule type="cellIs" dxfId="1188" priority="1354" operator="equal">
      <formula>"Extremo"</formula>
    </cfRule>
    <cfRule type="cellIs" dxfId="1187" priority="1355" operator="equal">
      <formula>"Alto"</formula>
    </cfRule>
    <cfRule type="cellIs" dxfId="1186" priority="1356" operator="equal">
      <formula>"Moderado"</formula>
    </cfRule>
    <cfRule type="cellIs" dxfId="1185" priority="1357" operator="equal">
      <formula>"Bajo"</formula>
    </cfRule>
  </conditionalFormatting>
  <conditionalFormatting sqref="N127:N129">
    <cfRule type="containsText" dxfId="1184" priority="1353" operator="containsText" text="❌">
      <formula>NOT(ISERROR(SEARCH("❌",N127)))</formula>
    </cfRule>
  </conditionalFormatting>
  <conditionalFormatting sqref="AB112">
    <cfRule type="cellIs" dxfId="1183" priority="1348" operator="equal">
      <formula>"Muy Alta"</formula>
    </cfRule>
    <cfRule type="cellIs" dxfId="1182" priority="1349" operator="equal">
      <formula>"Alta"</formula>
    </cfRule>
    <cfRule type="cellIs" dxfId="1181" priority="1350" operator="equal">
      <formula>"Media"</formula>
    </cfRule>
    <cfRule type="cellIs" dxfId="1180" priority="1351" operator="equal">
      <formula>"Baja"</formula>
    </cfRule>
    <cfRule type="cellIs" dxfId="1179" priority="1352" operator="equal">
      <formula>"Muy Baja"</formula>
    </cfRule>
  </conditionalFormatting>
  <conditionalFormatting sqref="AD112">
    <cfRule type="cellIs" dxfId="1178" priority="1343" operator="equal">
      <formula>"Catastrófico"</formula>
    </cfRule>
    <cfRule type="cellIs" dxfId="1177" priority="1344" operator="equal">
      <formula>"Mayor"</formula>
    </cfRule>
    <cfRule type="cellIs" dxfId="1176" priority="1345" operator="equal">
      <formula>"Moderado"</formula>
    </cfRule>
    <cfRule type="cellIs" dxfId="1175" priority="1346" operator="equal">
      <formula>"Menor"</formula>
    </cfRule>
    <cfRule type="cellIs" dxfId="1174" priority="1347" operator="equal">
      <formula>"Leve"</formula>
    </cfRule>
  </conditionalFormatting>
  <conditionalFormatting sqref="AF112">
    <cfRule type="cellIs" dxfId="1173" priority="1339" operator="equal">
      <formula>"Extremo"</formula>
    </cfRule>
    <cfRule type="cellIs" dxfId="1172" priority="1340" operator="equal">
      <formula>"Alto"</formula>
    </cfRule>
    <cfRule type="cellIs" dxfId="1171" priority="1341" operator="equal">
      <formula>"Moderado"</formula>
    </cfRule>
    <cfRule type="cellIs" dxfId="1170" priority="1342" operator="equal">
      <formula>"Bajo"</formula>
    </cfRule>
  </conditionalFormatting>
  <conditionalFormatting sqref="AB113">
    <cfRule type="cellIs" dxfId="1169" priority="1334" operator="equal">
      <formula>"Muy Alta"</formula>
    </cfRule>
    <cfRule type="cellIs" dxfId="1168" priority="1335" operator="equal">
      <formula>"Alta"</formula>
    </cfRule>
    <cfRule type="cellIs" dxfId="1167" priority="1336" operator="equal">
      <formula>"Media"</formula>
    </cfRule>
    <cfRule type="cellIs" dxfId="1166" priority="1337" operator="equal">
      <formula>"Baja"</formula>
    </cfRule>
    <cfRule type="cellIs" dxfId="1165" priority="1338" operator="equal">
      <formula>"Muy Baja"</formula>
    </cfRule>
  </conditionalFormatting>
  <conditionalFormatting sqref="AD113">
    <cfRule type="cellIs" dxfId="1164" priority="1329" operator="equal">
      <formula>"Catastrófico"</formula>
    </cfRule>
    <cfRule type="cellIs" dxfId="1163" priority="1330" operator="equal">
      <formula>"Mayor"</formula>
    </cfRule>
    <cfRule type="cellIs" dxfId="1162" priority="1331" operator="equal">
      <formula>"Moderado"</formula>
    </cfRule>
    <cfRule type="cellIs" dxfId="1161" priority="1332" operator="equal">
      <formula>"Menor"</formula>
    </cfRule>
    <cfRule type="cellIs" dxfId="1160" priority="1333" operator="equal">
      <formula>"Leve"</formula>
    </cfRule>
  </conditionalFormatting>
  <conditionalFormatting sqref="AF113">
    <cfRule type="cellIs" dxfId="1159" priority="1325" operator="equal">
      <formula>"Extremo"</formula>
    </cfRule>
    <cfRule type="cellIs" dxfId="1158" priority="1326" operator="equal">
      <formula>"Alto"</formula>
    </cfRule>
    <cfRule type="cellIs" dxfId="1157" priority="1327" operator="equal">
      <formula>"Moderado"</formula>
    </cfRule>
    <cfRule type="cellIs" dxfId="1156" priority="1328" operator="equal">
      <formula>"Bajo"</formula>
    </cfRule>
  </conditionalFormatting>
  <conditionalFormatting sqref="AB114">
    <cfRule type="cellIs" dxfId="1155" priority="1320" operator="equal">
      <formula>"Muy Alta"</formula>
    </cfRule>
    <cfRule type="cellIs" dxfId="1154" priority="1321" operator="equal">
      <formula>"Alta"</formula>
    </cfRule>
    <cfRule type="cellIs" dxfId="1153" priority="1322" operator="equal">
      <formula>"Media"</formula>
    </cfRule>
    <cfRule type="cellIs" dxfId="1152" priority="1323" operator="equal">
      <formula>"Baja"</formula>
    </cfRule>
    <cfRule type="cellIs" dxfId="1151" priority="1324" operator="equal">
      <formula>"Muy Baja"</formula>
    </cfRule>
  </conditionalFormatting>
  <conditionalFormatting sqref="AD114">
    <cfRule type="cellIs" dxfId="1150" priority="1315" operator="equal">
      <formula>"Catastrófico"</formula>
    </cfRule>
    <cfRule type="cellIs" dxfId="1149" priority="1316" operator="equal">
      <formula>"Mayor"</formula>
    </cfRule>
    <cfRule type="cellIs" dxfId="1148" priority="1317" operator="equal">
      <formula>"Moderado"</formula>
    </cfRule>
    <cfRule type="cellIs" dxfId="1147" priority="1318" operator="equal">
      <formula>"Menor"</formula>
    </cfRule>
    <cfRule type="cellIs" dxfId="1146" priority="1319" operator="equal">
      <formula>"Leve"</formula>
    </cfRule>
  </conditionalFormatting>
  <conditionalFormatting sqref="AF114">
    <cfRule type="cellIs" dxfId="1145" priority="1311" operator="equal">
      <formula>"Extremo"</formula>
    </cfRule>
    <cfRule type="cellIs" dxfId="1144" priority="1312" operator="equal">
      <formula>"Alto"</formula>
    </cfRule>
    <cfRule type="cellIs" dxfId="1143" priority="1313" operator="equal">
      <formula>"Moderado"</formula>
    </cfRule>
    <cfRule type="cellIs" dxfId="1142" priority="1314" operator="equal">
      <formula>"Bajo"</formula>
    </cfRule>
  </conditionalFormatting>
  <conditionalFormatting sqref="K112">
    <cfRule type="cellIs" dxfId="1141" priority="1306" operator="equal">
      <formula>"Muy Alta"</formula>
    </cfRule>
    <cfRule type="cellIs" dxfId="1140" priority="1307" operator="equal">
      <formula>"Alta"</formula>
    </cfRule>
    <cfRule type="cellIs" dxfId="1139" priority="1308" operator="equal">
      <formula>"Media"</formula>
    </cfRule>
    <cfRule type="cellIs" dxfId="1138" priority="1309" operator="equal">
      <formula>"Baja"</formula>
    </cfRule>
    <cfRule type="cellIs" dxfId="1137" priority="1310" operator="equal">
      <formula>"Muy Baja"</formula>
    </cfRule>
  </conditionalFormatting>
  <conditionalFormatting sqref="O112">
    <cfRule type="cellIs" dxfId="1136" priority="1301" operator="equal">
      <formula>"Catastrófico"</formula>
    </cfRule>
    <cfRule type="cellIs" dxfId="1135" priority="1302" operator="equal">
      <formula>"Mayor"</formula>
    </cfRule>
    <cfRule type="cellIs" dxfId="1134" priority="1303" operator="equal">
      <formula>"Moderado"</formula>
    </cfRule>
    <cfRule type="cellIs" dxfId="1133" priority="1304" operator="equal">
      <formula>"Menor"</formula>
    </cfRule>
    <cfRule type="cellIs" dxfId="1132" priority="1305" operator="equal">
      <formula>"Leve"</formula>
    </cfRule>
  </conditionalFormatting>
  <conditionalFormatting sqref="Q112">
    <cfRule type="cellIs" dxfId="1131" priority="1297" operator="equal">
      <formula>"Extremo"</formula>
    </cfRule>
    <cfRule type="cellIs" dxfId="1130" priority="1298" operator="equal">
      <formula>"Alto"</formula>
    </cfRule>
    <cfRule type="cellIs" dxfId="1129" priority="1299" operator="equal">
      <formula>"Moderado"</formula>
    </cfRule>
    <cfRule type="cellIs" dxfId="1128" priority="1300" operator="equal">
      <formula>"Bajo"</formula>
    </cfRule>
  </conditionalFormatting>
  <conditionalFormatting sqref="N112:N114">
    <cfRule type="containsText" dxfId="1127" priority="1296" operator="containsText" text="❌">
      <formula>NOT(ISERROR(SEARCH("❌",N112)))</formula>
    </cfRule>
  </conditionalFormatting>
  <conditionalFormatting sqref="AB115">
    <cfRule type="cellIs" dxfId="1126" priority="1291" operator="equal">
      <formula>"Muy Alta"</formula>
    </cfRule>
    <cfRule type="cellIs" dxfId="1125" priority="1292" operator="equal">
      <formula>"Alta"</formula>
    </cfRule>
    <cfRule type="cellIs" dxfId="1124" priority="1293" operator="equal">
      <formula>"Media"</formula>
    </cfRule>
    <cfRule type="cellIs" dxfId="1123" priority="1294" operator="equal">
      <formula>"Baja"</formula>
    </cfRule>
    <cfRule type="cellIs" dxfId="1122" priority="1295" operator="equal">
      <formula>"Muy Baja"</formula>
    </cfRule>
  </conditionalFormatting>
  <conditionalFormatting sqref="AD115">
    <cfRule type="cellIs" dxfId="1121" priority="1286" operator="equal">
      <formula>"Catastrófico"</formula>
    </cfRule>
    <cfRule type="cellIs" dxfId="1120" priority="1287" operator="equal">
      <formula>"Mayor"</formula>
    </cfRule>
    <cfRule type="cellIs" dxfId="1119" priority="1288" operator="equal">
      <formula>"Moderado"</formula>
    </cfRule>
    <cfRule type="cellIs" dxfId="1118" priority="1289" operator="equal">
      <formula>"Menor"</formula>
    </cfRule>
    <cfRule type="cellIs" dxfId="1117" priority="1290" operator="equal">
      <formula>"Leve"</formula>
    </cfRule>
  </conditionalFormatting>
  <conditionalFormatting sqref="AF115">
    <cfRule type="cellIs" dxfId="1116" priority="1282" operator="equal">
      <formula>"Extremo"</formula>
    </cfRule>
    <cfRule type="cellIs" dxfId="1115" priority="1283" operator="equal">
      <formula>"Alto"</formula>
    </cfRule>
    <cfRule type="cellIs" dxfId="1114" priority="1284" operator="equal">
      <formula>"Moderado"</formula>
    </cfRule>
    <cfRule type="cellIs" dxfId="1113" priority="1285" operator="equal">
      <formula>"Bajo"</formula>
    </cfRule>
  </conditionalFormatting>
  <conditionalFormatting sqref="AB116">
    <cfRule type="cellIs" dxfId="1112" priority="1277" operator="equal">
      <formula>"Muy Alta"</formula>
    </cfRule>
    <cfRule type="cellIs" dxfId="1111" priority="1278" operator="equal">
      <formula>"Alta"</formula>
    </cfRule>
    <cfRule type="cellIs" dxfId="1110" priority="1279" operator="equal">
      <formula>"Media"</formula>
    </cfRule>
    <cfRule type="cellIs" dxfId="1109" priority="1280" operator="equal">
      <formula>"Baja"</formula>
    </cfRule>
    <cfRule type="cellIs" dxfId="1108" priority="1281" operator="equal">
      <formula>"Muy Baja"</formula>
    </cfRule>
  </conditionalFormatting>
  <conditionalFormatting sqref="AD116">
    <cfRule type="cellIs" dxfId="1107" priority="1272" operator="equal">
      <formula>"Catastrófico"</formula>
    </cfRule>
    <cfRule type="cellIs" dxfId="1106" priority="1273" operator="equal">
      <formula>"Mayor"</formula>
    </cfRule>
    <cfRule type="cellIs" dxfId="1105" priority="1274" operator="equal">
      <formula>"Moderado"</formula>
    </cfRule>
    <cfRule type="cellIs" dxfId="1104" priority="1275" operator="equal">
      <formula>"Menor"</formula>
    </cfRule>
    <cfRule type="cellIs" dxfId="1103" priority="1276" operator="equal">
      <formula>"Leve"</formula>
    </cfRule>
  </conditionalFormatting>
  <conditionalFormatting sqref="AF116">
    <cfRule type="cellIs" dxfId="1102" priority="1268" operator="equal">
      <formula>"Extremo"</formula>
    </cfRule>
    <cfRule type="cellIs" dxfId="1101" priority="1269" operator="equal">
      <formula>"Alto"</formula>
    </cfRule>
    <cfRule type="cellIs" dxfId="1100" priority="1270" operator="equal">
      <formula>"Moderado"</formula>
    </cfRule>
    <cfRule type="cellIs" dxfId="1099" priority="1271" operator="equal">
      <formula>"Bajo"</formula>
    </cfRule>
  </conditionalFormatting>
  <conditionalFormatting sqref="AB117">
    <cfRule type="cellIs" dxfId="1098" priority="1263" operator="equal">
      <formula>"Muy Alta"</formula>
    </cfRule>
    <cfRule type="cellIs" dxfId="1097" priority="1264" operator="equal">
      <formula>"Alta"</formula>
    </cfRule>
    <cfRule type="cellIs" dxfId="1096" priority="1265" operator="equal">
      <formula>"Media"</formula>
    </cfRule>
    <cfRule type="cellIs" dxfId="1095" priority="1266" operator="equal">
      <formula>"Baja"</formula>
    </cfRule>
    <cfRule type="cellIs" dxfId="1094" priority="1267" operator="equal">
      <formula>"Muy Baja"</formula>
    </cfRule>
  </conditionalFormatting>
  <conditionalFormatting sqref="AD117">
    <cfRule type="cellIs" dxfId="1093" priority="1258" operator="equal">
      <formula>"Catastrófico"</formula>
    </cfRule>
    <cfRule type="cellIs" dxfId="1092" priority="1259" operator="equal">
      <formula>"Mayor"</formula>
    </cfRule>
    <cfRule type="cellIs" dxfId="1091" priority="1260" operator="equal">
      <formula>"Moderado"</formula>
    </cfRule>
    <cfRule type="cellIs" dxfId="1090" priority="1261" operator="equal">
      <formula>"Menor"</formula>
    </cfRule>
    <cfRule type="cellIs" dxfId="1089" priority="1262" operator="equal">
      <formula>"Leve"</formula>
    </cfRule>
  </conditionalFormatting>
  <conditionalFormatting sqref="AF117">
    <cfRule type="cellIs" dxfId="1088" priority="1254" operator="equal">
      <formula>"Extremo"</formula>
    </cfRule>
    <cfRule type="cellIs" dxfId="1087" priority="1255" operator="equal">
      <formula>"Alto"</formula>
    </cfRule>
    <cfRule type="cellIs" dxfId="1086" priority="1256" operator="equal">
      <formula>"Moderado"</formula>
    </cfRule>
    <cfRule type="cellIs" dxfId="1085" priority="1257" operator="equal">
      <formula>"Bajo"</formula>
    </cfRule>
  </conditionalFormatting>
  <conditionalFormatting sqref="K115">
    <cfRule type="cellIs" dxfId="1084" priority="1249" operator="equal">
      <formula>"Muy Alta"</formula>
    </cfRule>
    <cfRule type="cellIs" dxfId="1083" priority="1250" operator="equal">
      <formula>"Alta"</formula>
    </cfRule>
    <cfRule type="cellIs" dxfId="1082" priority="1251" operator="equal">
      <formula>"Media"</formula>
    </cfRule>
    <cfRule type="cellIs" dxfId="1081" priority="1252" operator="equal">
      <formula>"Baja"</formula>
    </cfRule>
    <cfRule type="cellIs" dxfId="1080" priority="1253" operator="equal">
      <formula>"Muy Baja"</formula>
    </cfRule>
  </conditionalFormatting>
  <conditionalFormatting sqref="O115">
    <cfRule type="cellIs" dxfId="1079" priority="1244" operator="equal">
      <formula>"Catastrófico"</formula>
    </cfRule>
    <cfRule type="cellIs" dxfId="1078" priority="1245" operator="equal">
      <formula>"Mayor"</formula>
    </cfRule>
    <cfRule type="cellIs" dxfId="1077" priority="1246" operator="equal">
      <formula>"Moderado"</formula>
    </cfRule>
    <cfRule type="cellIs" dxfId="1076" priority="1247" operator="equal">
      <formula>"Menor"</formula>
    </cfRule>
    <cfRule type="cellIs" dxfId="1075" priority="1248" operator="equal">
      <formula>"Leve"</formula>
    </cfRule>
  </conditionalFormatting>
  <conditionalFormatting sqref="Q115">
    <cfRule type="cellIs" dxfId="1074" priority="1240" operator="equal">
      <formula>"Extremo"</formula>
    </cfRule>
    <cfRule type="cellIs" dxfId="1073" priority="1241" operator="equal">
      <formula>"Alto"</formula>
    </cfRule>
    <cfRule type="cellIs" dxfId="1072" priority="1242" operator="equal">
      <formula>"Moderado"</formula>
    </cfRule>
    <cfRule type="cellIs" dxfId="1071" priority="1243" operator="equal">
      <formula>"Bajo"</formula>
    </cfRule>
  </conditionalFormatting>
  <conditionalFormatting sqref="N115:N117">
    <cfRule type="containsText" dxfId="1070" priority="1239" operator="containsText" text="❌">
      <formula>NOT(ISERROR(SEARCH("❌",N115)))</formula>
    </cfRule>
  </conditionalFormatting>
  <conditionalFormatting sqref="AB118">
    <cfRule type="cellIs" dxfId="1069" priority="1234" operator="equal">
      <formula>"Muy Alta"</formula>
    </cfRule>
    <cfRule type="cellIs" dxfId="1068" priority="1235" operator="equal">
      <formula>"Alta"</formula>
    </cfRule>
    <cfRule type="cellIs" dxfId="1067" priority="1236" operator="equal">
      <formula>"Media"</formula>
    </cfRule>
    <cfRule type="cellIs" dxfId="1066" priority="1237" operator="equal">
      <formula>"Baja"</formula>
    </cfRule>
    <cfRule type="cellIs" dxfId="1065" priority="1238" operator="equal">
      <formula>"Muy Baja"</formula>
    </cfRule>
  </conditionalFormatting>
  <conditionalFormatting sqref="AD118">
    <cfRule type="cellIs" dxfId="1064" priority="1229" operator="equal">
      <formula>"Catastrófico"</formula>
    </cfRule>
    <cfRule type="cellIs" dxfId="1063" priority="1230" operator="equal">
      <formula>"Mayor"</formula>
    </cfRule>
    <cfRule type="cellIs" dxfId="1062" priority="1231" operator="equal">
      <formula>"Moderado"</formula>
    </cfRule>
    <cfRule type="cellIs" dxfId="1061" priority="1232" operator="equal">
      <formula>"Menor"</formula>
    </cfRule>
    <cfRule type="cellIs" dxfId="1060" priority="1233" operator="equal">
      <formula>"Leve"</formula>
    </cfRule>
  </conditionalFormatting>
  <conditionalFormatting sqref="AF118">
    <cfRule type="cellIs" dxfId="1059" priority="1225" operator="equal">
      <formula>"Extremo"</formula>
    </cfRule>
    <cfRule type="cellIs" dxfId="1058" priority="1226" operator="equal">
      <formula>"Alto"</formula>
    </cfRule>
    <cfRule type="cellIs" dxfId="1057" priority="1227" operator="equal">
      <formula>"Moderado"</formula>
    </cfRule>
    <cfRule type="cellIs" dxfId="1056" priority="1228" operator="equal">
      <formula>"Bajo"</formula>
    </cfRule>
  </conditionalFormatting>
  <conditionalFormatting sqref="AB119">
    <cfRule type="cellIs" dxfId="1055" priority="1220" operator="equal">
      <formula>"Muy Alta"</formula>
    </cfRule>
    <cfRule type="cellIs" dxfId="1054" priority="1221" operator="equal">
      <formula>"Alta"</formula>
    </cfRule>
    <cfRule type="cellIs" dxfId="1053" priority="1222" operator="equal">
      <formula>"Media"</formula>
    </cfRule>
    <cfRule type="cellIs" dxfId="1052" priority="1223" operator="equal">
      <formula>"Baja"</formula>
    </cfRule>
    <cfRule type="cellIs" dxfId="1051" priority="1224" operator="equal">
      <formula>"Muy Baja"</formula>
    </cfRule>
  </conditionalFormatting>
  <conditionalFormatting sqref="AD119">
    <cfRule type="cellIs" dxfId="1050" priority="1215" operator="equal">
      <formula>"Catastrófico"</formula>
    </cfRule>
    <cfRule type="cellIs" dxfId="1049" priority="1216" operator="equal">
      <formula>"Mayor"</formula>
    </cfRule>
    <cfRule type="cellIs" dxfId="1048" priority="1217" operator="equal">
      <formula>"Moderado"</formula>
    </cfRule>
    <cfRule type="cellIs" dxfId="1047" priority="1218" operator="equal">
      <formula>"Menor"</formula>
    </cfRule>
    <cfRule type="cellIs" dxfId="1046" priority="1219" operator="equal">
      <formula>"Leve"</formula>
    </cfRule>
  </conditionalFormatting>
  <conditionalFormatting sqref="AF119">
    <cfRule type="cellIs" dxfId="1045" priority="1211" operator="equal">
      <formula>"Extremo"</formula>
    </cfRule>
    <cfRule type="cellIs" dxfId="1044" priority="1212" operator="equal">
      <formula>"Alto"</formula>
    </cfRule>
    <cfRule type="cellIs" dxfId="1043" priority="1213" operator="equal">
      <formula>"Moderado"</formula>
    </cfRule>
    <cfRule type="cellIs" dxfId="1042" priority="1214" operator="equal">
      <formula>"Bajo"</formula>
    </cfRule>
  </conditionalFormatting>
  <conditionalFormatting sqref="AB120">
    <cfRule type="cellIs" dxfId="1041" priority="1206" operator="equal">
      <formula>"Muy Alta"</formula>
    </cfRule>
    <cfRule type="cellIs" dxfId="1040" priority="1207" operator="equal">
      <formula>"Alta"</formula>
    </cfRule>
    <cfRule type="cellIs" dxfId="1039" priority="1208" operator="equal">
      <formula>"Media"</formula>
    </cfRule>
    <cfRule type="cellIs" dxfId="1038" priority="1209" operator="equal">
      <formula>"Baja"</formula>
    </cfRule>
    <cfRule type="cellIs" dxfId="1037" priority="1210" operator="equal">
      <formula>"Muy Baja"</formula>
    </cfRule>
  </conditionalFormatting>
  <conditionalFormatting sqref="AD120">
    <cfRule type="cellIs" dxfId="1036" priority="1201" operator="equal">
      <formula>"Catastrófico"</formula>
    </cfRule>
    <cfRule type="cellIs" dxfId="1035" priority="1202" operator="equal">
      <formula>"Mayor"</formula>
    </cfRule>
    <cfRule type="cellIs" dxfId="1034" priority="1203" operator="equal">
      <formula>"Moderado"</formula>
    </cfRule>
    <cfRule type="cellIs" dxfId="1033" priority="1204" operator="equal">
      <formula>"Menor"</formula>
    </cfRule>
    <cfRule type="cellIs" dxfId="1032" priority="1205" operator="equal">
      <formula>"Leve"</formula>
    </cfRule>
  </conditionalFormatting>
  <conditionalFormatting sqref="AF120">
    <cfRule type="cellIs" dxfId="1031" priority="1197" operator="equal">
      <formula>"Extremo"</formula>
    </cfRule>
    <cfRule type="cellIs" dxfId="1030" priority="1198" operator="equal">
      <formula>"Alto"</formula>
    </cfRule>
    <cfRule type="cellIs" dxfId="1029" priority="1199" operator="equal">
      <formula>"Moderado"</formula>
    </cfRule>
    <cfRule type="cellIs" dxfId="1028" priority="1200" operator="equal">
      <formula>"Bajo"</formula>
    </cfRule>
  </conditionalFormatting>
  <conditionalFormatting sqref="K118">
    <cfRule type="cellIs" dxfId="1027" priority="1192" operator="equal">
      <formula>"Muy Alta"</formula>
    </cfRule>
    <cfRule type="cellIs" dxfId="1026" priority="1193" operator="equal">
      <formula>"Alta"</formula>
    </cfRule>
    <cfRule type="cellIs" dxfId="1025" priority="1194" operator="equal">
      <formula>"Media"</formula>
    </cfRule>
    <cfRule type="cellIs" dxfId="1024" priority="1195" operator="equal">
      <formula>"Baja"</formula>
    </cfRule>
    <cfRule type="cellIs" dxfId="1023" priority="1196" operator="equal">
      <formula>"Muy Baja"</formula>
    </cfRule>
  </conditionalFormatting>
  <conditionalFormatting sqref="O118">
    <cfRule type="cellIs" dxfId="1022" priority="1187" operator="equal">
      <formula>"Catastrófico"</formula>
    </cfRule>
    <cfRule type="cellIs" dxfId="1021" priority="1188" operator="equal">
      <formula>"Mayor"</formula>
    </cfRule>
    <cfRule type="cellIs" dxfId="1020" priority="1189" operator="equal">
      <formula>"Moderado"</formula>
    </cfRule>
    <cfRule type="cellIs" dxfId="1019" priority="1190" operator="equal">
      <formula>"Menor"</formula>
    </cfRule>
    <cfRule type="cellIs" dxfId="1018" priority="1191" operator="equal">
      <formula>"Leve"</formula>
    </cfRule>
  </conditionalFormatting>
  <conditionalFormatting sqref="Q118">
    <cfRule type="cellIs" dxfId="1017" priority="1183" operator="equal">
      <formula>"Extremo"</formula>
    </cfRule>
    <cfRule type="cellIs" dxfId="1016" priority="1184" operator="equal">
      <formula>"Alto"</formula>
    </cfRule>
    <cfRule type="cellIs" dxfId="1015" priority="1185" operator="equal">
      <formula>"Moderado"</formula>
    </cfRule>
    <cfRule type="cellIs" dxfId="1014" priority="1186" operator="equal">
      <formula>"Bajo"</formula>
    </cfRule>
  </conditionalFormatting>
  <conditionalFormatting sqref="N118:N120">
    <cfRule type="containsText" dxfId="1013" priority="1182" operator="containsText" text="❌">
      <formula>NOT(ISERROR(SEARCH("❌",N118)))</formula>
    </cfRule>
  </conditionalFormatting>
  <conditionalFormatting sqref="AB121">
    <cfRule type="cellIs" dxfId="1012" priority="1177" operator="equal">
      <formula>"Muy Alta"</formula>
    </cfRule>
    <cfRule type="cellIs" dxfId="1011" priority="1178" operator="equal">
      <formula>"Alta"</formula>
    </cfRule>
    <cfRule type="cellIs" dxfId="1010" priority="1179" operator="equal">
      <formula>"Media"</formula>
    </cfRule>
    <cfRule type="cellIs" dxfId="1009" priority="1180" operator="equal">
      <formula>"Baja"</formula>
    </cfRule>
    <cfRule type="cellIs" dxfId="1008" priority="1181" operator="equal">
      <formula>"Muy Baja"</formula>
    </cfRule>
  </conditionalFormatting>
  <conditionalFormatting sqref="AD121">
    <cfRule type="cellIs" dxfId="1007" priority="1172" operator="equal">
      <formula>"Catastrófico"</formula>
    </cfRule>
    <cfRule type="cellIs" dxfId="1006" priority="1173" operator="equal">
      <formula>"Mayor"</formula>
    </cfRule>
    <cfRule type="cellIs" dxfId="1005" priority="1174" operator="equal">
      <formula>"Moderado"</formula>
    </cfRule>
    <cfRule type="cellIs" dxfId="1004" priority="1175" operator="equal">
      <formula>"Menor"</formula>
    </cfRule>
    <cfRule type="cellIs" dxfId="1003" priority="1176" operator="equal">
      <formula>"Leve"</formula>
    </cfRule>
  </conditionalFormatting>
  <conditionalFormatting sqref="AF121">
    <cfRule type="cellIs" dxfId="1002" priority="1168" operator="equal">
      <formula>"Extremo"</formula>
    </cfRule>
    <cfRule type="cellIs" dxfId="1001" priority="1169" operator="equal">
      <formula>"Alto"</formula>
    </cfRule>
    <cfRule type="cellIs" dxfId="1000" priority="1170" operator="equal">
      <formula>"Moderado"</formula>
    </cfRule>
    <cfRule type="cellIs" dxfId="999" priority="1171" operator="equal">
      <formula>"Bajo"</formula>
    </cfRule>
  </conditionalFormatting>
  <conditionalFormatting sqref="AB122">
    <cfRule type="cellIs" dxfId="998" priority="1163" operator="equal">
      <formula>"Muy Alta"</formula>
    </cfRule>
    <cfRule type="cellIs" dxfId="997" priority="1164" operator="equal">
      <formula>"Alta"</formula>
    </cfRule>
    <cfRule type="cellIs" dxfId="996" priority="1165" operator="equal">
      <formula>"Media"</formula>
    </cfRule>
    <cfRule type="cellIs" dxfId="995" priority="1166" operator="equal">
      <formula>"Baja"</formula>
    </cfRule>
    <cfRule type="cellIs" dxfId="994" priority="1167" operator="equal">
      <formula>"Muy Baja"</formula>
    </cfRule>
  </conditionalFormatting>
  <conditionalFormatting sqref="AD122">
    <cfRule type="cellIs" dxfId="993" priority="1158" operator="equal">
      <formula>"Catastrófico"</formula>
    </cfRule>
    <cfRule type="cellIs" dxfId="992" priority="1159" operator="equal">
      <formula>"Mayor"</formula>
    </cfRule>
    <cfRule type="cellIs" dxfId="991" priority="1160" operator="equal">
      <formula>"Moderado"</formula>
    </cfRule>
    <cfRule type="cellIs" dxfId="990" priority="1161" operator="equal">
      <formula>"Menor"</formula>
    </cfRule>
    <cfRule type="cellIs" dxfId="989" priority="1162" operator="equal">
      <formula>"Leve"</formula>
    </cfRule>
  </conditionalFormatting>
  <conditionalFormatting sqref="AF122">
    <cfRule type="cellIs" dxfId="988" priority="1154" operator="equal">
      <formula>"Extremo"</formula>
    </cfRule>
    <cfRule type="cellIs" dxfId="987" priority="1155" operator="equal">
      <formula>"Alto"</formula>
    </cfRule>
    <cfRule type="cellIs" dxfId="986" priority="1156" operator="equal">
      <formula>"Moderado"</formula>
    </cfRule>
    <cfRule type="cellIs" dxfId="985" priority="1157" operator="equal">
      <formula>"Bajo"</formula>
    </cfRule>
  </conditionalFormatting>
  <conditionalFormatting sqref="AB123">
    <cfRule type="cellIs" dxfId="984" priority="1149" operator="equal">
      <formula>"Muy Alta"</formula>
    </cfRule>
    <cfRule type="cellIs" dxfId="983" priority="1150" operator="equal">
      <formula>"Alta"</formula>
    </cfRule>
    <cfRule type="cellIs" dxfId="982" priority="1151" operator="equal">
      <formula>"Media"</formula>
    </cfRule>
    <cfRule type="cellIs" dxfId="981" priority="1152" operator="equal">
      <formula>"Baja"</formula>
    </cfRule>
    <cfRule type="cellIs" dxfId="980" priority="1153" operator="equal">
      <formula>"Muy Baja"</formula>
    </cfRule>
  </conditionalFormatting>
  <conditionalFormatting sqref="AD123">
    <cfRule type="cellIs" dxfId="979" priority="1144" operator="equal">
      <formula>"Catastrófico"</formula>
    </cfRule>
    <cfRule type="cellIs" dxfId="978" priority="1145" operator="equal">
      <formula>"Mayor"</formula>
    </cfRule>
    <cfRule type="cellIs" dxfId="977" priority="1146" operator="equal">
      <formula>"Moderado"</formula>
    </cfRule>
    <cfRule type="cellIs" dxfId="976" priority="1147" operator="equal">
      <formula>"Menor"</formula>
    </cfRule>
    <cfRule type="cellIs" dxfId="975" priority="1148" operator="equal">
      <formula>"Leve"</formula>
    </cfRule>
  </conditionalFormatting>
  <conditionalFormatting sqref="AF123">
    <cfRule type="cellIs" dxfId="974" priority="1140" operator="equal">
      <formula>"Extremo"</formula>
    </cfRule>
    <cfRule type="cellIs" dxfId="973" priority="1141" operator="equal">
      <formula>"Alto"</formula>
    </cfRule>
    <cfRule type="cellIs" dxfId="972" priority="1142" operator="equal">
      <formula>"Moderado"</formula>
    </cfRule>
    <cfRule type="cellIs" dxfId="971" priority="1143" operator="equal">
      <formula>"Bajo"</formula>
    </cfRule>
  </conditionalFormatting>
  <conditionalFormatting sqref="K121">
    <cfRule type="cellIs" dxfId="970" priority="1135" operator="equal">
      <formula>"Muy Alta"</formula>
    </cfRule>
    <cfRule type="cellIs" dxfId="969" priority="1136" operator="equal">
      <formula>"Alta"</formula>
    </cfRule>
    <cfRule type="cellIs" dxfId="968" priority="1137" operator="equal">
      <formula>"Media"</formula>
    </cfRule>
    <cfRule type="cellIs" dxfId="967" priority="1138" operator="equal">
      <formula>"Baja"</formula>
    </cfRule>
    <cfRule type="cellIs" dxfId="966" priority="1139" operator="equal">
      <formula>"Muy Baja"</formula>
    </cfRule>
  </conditionalFormatting>
  <conditionalFormatting sqref="O121">
    <cfRule type="cellIs" dxfId="965" priority="1130" operator="equal">
      <formula>"Catastrófico"</formula>
    </cfRule>
    <cfRule type="cellIs" dxfId="964" priority="1131" operator="equal">
      <formula>"Mayor"</formula>
    </cfRule>
    <cfRule type="cellIs" dxfId="963" priority="1132" operator="equal">
      <formula>"Moderado"</formula>
    </cfRule>
    <cfRule type="cellIs" dxfId="962" priority="1133" operator="equal">
      <formula>"Menor"</formula>
    </cfRule>
    <cfRule type="cellIs" dxfId="961" priority="1134" operator="equal">
      <formula>"Leve"</formula>
    </cfRule>
  </conditionalFormatting>
  <conditionalFormatting sqref="Q121">
    <cfRule type="cellIs" dxfId="960" priority="1126" operator="equal">
      <formula>"Extremo"</formula>
    </cfRule>
    <cfRule type="cellIs" dxfId="959" priority="1127" operator="equal">
      <formula>"Alto"</formula>
    </cfRule>
    <cfRule type="cellIs" dxfId="958" priority="1128" operator="equal">
      <formula>"Moderado"</formula>
    </cfRule>
    <cfRule type="cellIs" dxfId="957" priority="1129" operator="equal">
      <formula>"Bajo"</formula>
    </cfRule>
  </conditionalFormatting>
  <conditionalFormatting sqref="N121:N123">
    <cfRule type="containsText" dxfId="956" priority="1125" operator="containsText" text="❌">
      <formula>NOT(ISERROR(SEARCH("❌",N121)))</formula>
    </cfRule>
  </conditionalFormatting>
  <conditionalFormatting sqref="AB124">
    <cfRule type="cellIs" dxfId="955" priority="1120" operator="equal">
      <formula>"Muy Alta"</formula>
    </cfRule>
    <cfRule type="cellIs" dxfId="954" priority="1121" operator="equal">
      <formula>"Alta"</formula>
    </cfRule>
    <cfRule type="cellIs" dxfId="953" priority="1122" operator="equal">
      <formula>"Media"</formula>
    </cfRule>
    <cfRule type="cellIs" dxfId="952" priority="1123" operator="equal">
      <formula>"Baja"</formula>
    </cfRule>
    <cfRule type="cellIs" dxfId="951" priority="1124" operator="equal">
      <formula>"Muy Baja"</formula>
    </cfRule>
  </conditionalFormatting>
  <conditionalFormatting sqref="AD124">
    <cfRule type="cellIs" dxfId="950" priority="1115" operator="equal">
      <formula>"Catastrófico"</formula>
    </cfRule>
    <cfRule type="cellIs" dxfId="949" priority="1116" operator="equal">
      <formula>"Mayor"</formula>
    </cfRule>
    <cfRule type="cellIs" dxfId="948" priority="1117" operator="equal">
      <formula>"Moderado"</formula>
    </cfRule>
    <cfRule type="cellIs" dxfId="947" priority="1118" operator="equal">
      <formula>"Menor"</formula>
    </cfRule>
    <cfRule type="cellIs" dxfId="946" priority="1119" operator="equal">
      <formula>"Leve"</formula>
    </cfRule>
  </conditionalFormatting>
  <conditionalFormatting sqref="AF124">
    <cfRule type="cellIs" dxfId="945" priority="1111" operator="equal">
      <formula>"Extremo"</formula>
    </cfRule>
    <cfRule type="cellIs" dxfId="944" priority="1112" operator="equal">
      <formula>"Alto"</formula>
    </cfRule>
    <cfRule type="cellIs" dxfId="943" priority="1113" operator="equal">
      <formula>"Moderado"</formula>
    </cfRule>
    <cfRule type="cellIs" dxfId="942" priority="1114" operator="equal">
      <formula>"Bajo"</formula>
    </cfRule>
  </conditionalFormatting>
  <conditionalFormatting sqref="AB125">
    <cfRule type="cellIs" dxfId="941" priority="1106" operator="equal">
      <formula>"Muy Alta"</formula>
    </cfRule>
    <cfRule type="cellIs" dxfId="940" priority="1107" operator="equal">
      <formula>"Alta"</formula>
    </cfRule>
    <cfRule type="cellIs" dxfId="939" priority="1108" operator="equal">
      <formula>"Media"</formula>
    </cfRule>
    <cfRule type="cellIs" dxfId="938" priority="1109" operator="equal">
      <formula>"Baja"</formula>
    </cfRule>
    <cfRule type="cellIs" dxfId="937" priority="1110" operator="equal">
      <formula>"Muy Baja"</formula>
    </cfRule>
  </conditionalFormatting>
  <conditionalFormatting sqref="AD125">
    <cfRule type="cellIs" dxfId="936" priority="1101" operator="equal">
      <formula>"Catastrófico"</formula>
    </cfRule>
    <cfRule type="cellIs" dxfId="935" priority="1102" operator="equal">
      <formula>"Mayor"</formula>
    </cfRule>
    <cfRule type="cellIs" dxfId="934" priority="1103" operator="equal">
      <formula>"Moderado"</formula>
    </cfRule>
    <cfRule type="cellIs" dxfId="933" priority="1104" operator="equal">
      <formula>"Menor"</formula>
    </cfRule>
    <cfRule type="cellIs" dxfId="932" priority="1105" operator="equal">
      <formula>"Leve"</formula>
    </cfRule>
  </conditionalFormatting>
  <conditionalFormatting sqref="AF125">
    <cfRule type="cellIs" dxfId="931" priority="1097" operator="equal">
      <formula>"Extremo"</formula>
    </cfRule>
    <cfRule type="cellIs" dxfId="930" priority="1098" operator="equal">
      <formula>"Alto"</formula>
    </cfRule>
    <cfRule type="cellIs" dxfId="929" priority="1099" operator="equal">
      <formula>"Moderado"</formula>
    </cfRule>
    <cfRule type="cellIs" dxfId="928" priority="1100" operator="equal">
      <formula>"Bajo"</formula>
    </cfRule>
  </conditionalFormatting>
  <conditionalFormatting sqref="AB126:AB129">
    <cfRule type="cellIs" dxfId="927" priority="1092" operator="equal">
      <formula>"Muy Alta"</formula>
    </cfRule>
    <cfRule type="cellIs" dxfId="926" priority="1093" operator="equal">
      <formula>"Alta"</formula>
    </cfRule>
    <cfRule type="cellIs" dxfId="925" priority="1094" operator="equal">
      <formula>"Media"</formula>
    </cfRule>
    <cfRule type="cellIs" dxfId="924" priority="1095" operator="equal">
      <formula>"Baja"</formula>
    </cfRule>
    <cfRule type="cellIs" dxfId="923" priority="1096" operator="equal">
      <formula>"Muy Baja"</formula>
    </cfRule>
  </conditionalFormatting>
  <conditionalFormatting sqref="AD126:AD129">
    <cfRule type="cellIs" dxfId="922" priority="1087" operator="equal">
      <formula>"Catastrófico"</formula>
    </cfRule>
    <cfRule type="cellIs" dxfId="921" priority="1088" operator="equal">
      <formula>"Mayor"</formula>
    </cfRule>
    <cfRule type="cellIs" dxfId="920" priority="1089" operator="equal">
      <formula>"Moderado"</formula>
    </cfRule>
    <cfRule type="cellIs" dxfId="919" priority="1090" operator="equal">
      <formula>"Menor"</formula>
    </cfRule>
    <cfRule type="cellIs" dxfId="918" priority="1091" operator="equal">
      <formula>"Leve"</formula>
    </cfRule>
  </conditionalFormatting>
  <conditionalFormatting sqref="AF126:AF129">
    <cfRule type="cellIs" dxfId="917" priority="1083" operator="equal">
      <formula>"Extremo"</formula>
    </cfRule>
    <cfRule type="cellIs" dxfId="916" priority="1084" operator="equal">
      <formula>"Alto"</formula>
    </cfRule>
    <cfRule type="cellIs" dxfId="915" priority="1085" operator="equal">
      <formula>"Moderado"</formula>
    </cfRule>
    <cfRule type="cellIs" dxfId="914" priority="1086" operator="equal">
      <formula>"Bajo"</formula>
    </cfRule>
  </conditionalFormatting>
  <conditionalFormatting sqref="K124">
    <cfRule type="cellIs" dxfId="913" priority="1078" operator="equal">
      <formula>"Muy Alta"</formula>
    </cfRule>
    <cfRule type="cellIs" dxfId="912" priority="1079" operator="equal">
      <formula>"Alta"</formula>
    </cfRule>
    <cfRule type="cellIs" dxfId="911" priority="1080" operator="equal">
      <formula>"Media"</formula>
    </cfRule>
    <cfRule type="cellIs" dxfId="910" priority="1081" operator="equal">
      <formula>"Baja"</formula>
    </cfRule>
    <cfRule type="cellIs" dxfId="909" priority="1082" operator="equal">
      <formula>"Muy Baja"</formula>
    </cfRule>
  </conditionalFormatting>
  <conditionalFormatting sqref="O124">
    <cfRule type="cellIs" dxfId="908" priority="1073" operator="equal">
      <formula>"Catastrófico"</formula>
    </cfRule>
    <cfRule type="cellIs" dxfId="907" priority="1074" operator="equal">
      <formula>"Mayor"</formula>
    </cfRule>
    <cfRule type="cellIs" dxfId="906" priority="1075" operator="equal">
      <formula>"Moderado"</formula>
    </cfRule>
    <cfRule type="cellIs" dxfId="905" priority="1076" operator="equal">
      <formula>"Menor"</formula>
    </cfRule>
    <cfRule type="cellIs" dxfId="904" priority="1077" operator="equal">
      <formula>"Leve"</formula>
    </cfRule>
  </conditionalFormatting>
  <conditionalFormatting sqref="Q124">
    <cfRule type="cellIs" dxfId="903" priority="1069" operator="equal">
      <formula>"Extremo"</formula>
    </cfRule>
    <cfRule type="cellIs" dxfId="902" priority="1070" operator="equal">
      <formula>"Alto"</formula>
    </cfRule>
    <cfRule type="cellIs" dxfId="901" priority="1071" operator="equal">
      <formula>"Moderado"</formula>
    </cfRule>
    <cfRule type="cellIs" dxfId="900" priority="1072" operator="equal">
      <formula>"Bajo"</formula>
    </cfRule>
  </conditionalFormatting>
  <conditionalFormatting sqref="N124:N129">
    <cfRule type="containsText" dxfId="899" priority="1068" operator="containsText" text="❌">
      <formula>NOT(ISERROR(SEARCH("❌",N124)))</formula>
    </cfRule>
  </conditionalFormatting>
  <conditionalFormatting sqref="AB130">
    <cfRule type="cellIs" dxfId="898" priority="1063" operator="equal">
      <formula>"Muy Alta"</formula>
    </cfRule>
    <cfRule type="cellIs" dxfId="897" priority="1064" operator="equal">
      <formula>"Alta"</formula>
    </cfRule>
    <cfRule type="cellIs" dxfId="896" priority="1065" operator="equal">
      <formula>"Media"</formula>
    </cfRule>
    <cfRule type="cellIs" dxfId="895" priority="1066" operator="equal">
      <formula>"Baja"</formula>
    </cfRule>
    <cfRule type="cellIs" dxfId="894" priority="1067" operator="equal">
      <formula>"Muy Baja"</formula>
    </cfRule>
  </conditionalFormatting>
  <conditionalFormatting sqref="AD130">
    <cfRule type="cellIs" dxfId="893" priority="1058" operator="equal">
      <formula>"Catastrófico"</formula>
    </cfRule>
    <cfRule type="cellIs" dxfId="892" priority="1059" operator="equal">
      <formula>"Mayor"</formula>
    </cfRule>
    <cfRule type="cellIs" dxfId="891" priority="1060" operator="equal">
      <formula>"Moderado"</formula>
    </cfRule>
    <cfRule type="cellIs" dxfId="890" priority="1061" operator="equal">
      <formula>"Menor"</formula>
    </cfRule>
    <cfRule type="cellIs" dxfId="889" priority="1062" operator="equal">
      <formula>"Leve"</formula>
    </cfRule>
  </conditionalFormatting>
  <conditionalFormatting sqref="AF130">
    <cfRule type="cellIs" dxfId="888" priority="1054" operator="equal">
      <formula>"Extremo"</formula>
    </cfRule>
    <cfRule type="cellIs" dxfId="887" priority="1055" operator="equal">
      <formula>"Alto"</formula>
    </cfRule>
    <cfRule type="cellIs" dxfId="886" priority="1056" operator="equal">
      <formula>"Moderado"</formula>
    </cfRule>
    <cfRule type="cellIs" dxfId="885" priority="1057" operator="equal">
      <formula>"Bajo"</formula>
    </cfRule>
  </conditionalFormatting>
  <conditionalFormatting sqref="AB131">
    <cfRule type="cellIs" dxfId="884" priority="1049" operator="equal">
      <formula>"Muy Alta"</formula>
    </cfRule>
    <cfRule type="cellIs" dxfId="883" priority="1050" operator="equal">
      <formula>"Alta"</formula>
    </cfRule>
    <cfRule type="cellIs" dxfId="882" priority="1051" operator="equal">
      <formula>"Media"</formula>
    </cfRule>
    <cfRule type="cellIs" dxfId="881" priority="1052" operator="equal">
      <formula>"Baja"</formula>
    </cfRule>
    <cfRule type="cellIs" dxfId="880" priority="1053" operator="equal">
      <formula>"Muy Baja"</formula>
    </cfRule>
  </conditionalFormatting>
  <conditionalFormatting sqref="AD131">
    <cfRule type="cellIs" dxfId="879" priority="1044" operator="equal">
      <formula>"Catastrófico"</formula>
    </cfRule>
    <cfRule type="cellIs" dxfId="878" priority="1045" operator="equal">
      <formula>"Mayor"</formula>
    </cfRule>
    <cfRule type="cellIs" dxfId="877" priority="1046" operator="equal">
      <formula>"Moderado"</formula>
    </cfRule>
    <cfRule type="cellIs" dxfId="876" priority="1047" operator="equal">
      <formula>"Menor"</formula>
    </cfRule>
    <cfRule type="cellIs" dxfId="875" priority="1048" operator="equal">
      <formula>"Leve"</formula>
    </cfRule>
  </conditionalFormatting>
  <conditionalFormatting sqref="AF131">
    <cfRule type="cellIs" dxfId="874" priority="1040" operator="equal">
      <formula>"Extremo"</formula>
    </cfRule>
    <cfRule type="cellIs" dxfId="873" priority="1041" operator="equal">
      <formula>"Alto"</formula>
    </cfRule>
    <cfRule type="cellIs" dxfId="872" priority="1042" operator="equal">
      <formula>"Moderado"</formula>
    </cfRule>
    <cfRule type="cellIs" dxfId="871" priority="1043" operator="equal">
      <formula>"Bajo"</formula>
    </cfRule>
  </conditionalFormatting>
  <conditionalFormatting sqref="AB132">
    <cfRule type="cellIs" dxfId="870" priority="1035" operator="equal">
      <formula>"Muy Alta"</formula>
    </cfRule>
    <cfRule type="cellIs" dxfId="869" priority="1036" operator="equal">
      <formula>"Alta"</formula>
    </cfRule>
    <cfRule type="cellIs" dxfId="868" priority="1037" operator="equal">
      <formula>"Media"</formula>
    </cfRule>
    <cfRule type="cellIs" dxfId="867" priority="1038" operator="equal">
      <formula>"Baja"</formula>
    </cfRule>
    <cfRule type="cellIs" dxfId="866" priority="1039" operator="equal">
      <formula>"Muy Baja"</formula>
    </cfRule>
  </conditionalFormatting>
  <conditionalFormatting sqref="AD132">
    <cfRule type="cellIs" dxfId="865" priority="1030" operator="equal">
      <formula>"Catastrófico"</formula>
    </cfRule>
    <cfRule type="cellIs" dxfId="864" priority="1031" operator="equal">
      <formula>"Mayor"</formula>
    </cfRule>
    <cfRule type="cellIs" dxfId="863" priority="1032" operator="equal">
      <formula>"Moderado"</formula>
    </cfRule>
    <cfRule type="cellIs" dxfId="862" priority="1033" operator="equal">
      <formula>"Menor"</formula>
    </cfRule>
    <cfRule type="cellIs" dxfId="861" priority="1034" operator="equal">
      <formula>"Leve"</formula>
    </cfRule>
  </conditionalFormatting>
  <conditionalFormatting sqref="AF132">
    <cfRule type="cellIs" dxfId="860" priority="1026" operator="equal">
      <formula>"Extremo"</formula>
    </cfRule>
    <cfRule type="cellIs" dxfId="859" priority="1027" operator="equal">
      <formula>"Alto"</formula>
    </cfRule>
    <cfRule type="cellIs" dxfId="858" priority="1028" operator="equal">
      <formula>"Moderado"</formula>
    </cfRule>
    <cfRule type="cellIs" dxfId="857" priority="1029" operator="equal">
      <formula>"Bajo"</formula>
    </cfRule>
  </conditionalFormatting>
  <conditionalFormatting sqref="K130">
    <cfRule type="cellIs" dxfId="856" priority="1021" operator="equal">
      <formula>"Muy Alta"</formula>
    </cfRule>
    <cfRule type="cellIs" dxfId="855" priority="1022" operator="equal">
      <formula>"Alta"</formula>
    </cfRule>
    <cfRule type="cellIs" dxfId="854" priority="1023" operator="equal">
      <formula>"Media"</formula>
    </cfRule>
    <cfRule type="cellIs" dxfId="853" priority="1024" operator="equal">
      <formula>"Baja"</formula>
    </cfRule>
    <cfRule type="cellIs" dxfId="852" priority="1025" operator="equal">
      <formula>"Muy Baja"</formula>
    </cfRule>
  </conditionalFormatting>
  <conditionalFormatting sqref="O130">
    <cfRule type="cellIs" dxfId="851" priority="1016" operator="equal">
      <formula>"Catastrófico"</formula>
    </cfRule>
    <cfRule type="cellIs" dxfId="850" priority="1017" operator="equal">
      <formula>"Mayor"</formula>
    </cfRule>
    <cfRule type="cellIs" dxfId="849" priority="1018" operator="equal">
      <formula>"Moderado"</formula>
    </cfRule>
    <cfRule type="cellIs" dxfId="848" priority="1019" operator="equal">
      <formula>"Menor"</formula>
    </cfRule>
    <cfRule type="cellIs" dxfId="847" priority="1020" operator="equal">
      <formula>"Leve"</formula>
    </cfRule>
  </conditionalFormatting>
  <conditionalFormatting sqref="Q130">
    <cfRule type="cellIs" dxfId="846" priority="1012" operator="equal">
      <formula>"Extremo"</formula>
    </cfRule>
    <cfRule type="cellIs" dxfId="845" priority="1013" operator="equal">
      <formula>"Alto"</formula>
    </cfRule>
    <cfRule type="cellIs" dxfId="844" priority="1014" operator="equal">
      <formula>"Moderado"</formula>
    </cfRule>
    <cfRule type="cellIs" dxfId="843" priority="1015" operator="equal">
      <formula>"Bajo"</formula>
    </cfRule>
  </conditionalFormatting>
  <conditionalFormatting sqref="N130:N132">
    <cfRule type="containsText" dxfId="842" priority="1011" operator="containsText" text="❌">
      <formula>NOT(ISERROR(SEARCH("❌",N130)))</formula>
    </cfRule>
  </conditionalFormatting>
  <conditionalFormatting sqref="AB130:AB132">
    <cfRule type="cellIs" dxfId="841" priority="1006" operator="equal">
      <formula>"Muy Alta"</formula>
    </cfRule>
    <cfRule type="cellIs" dxfId="840" priority="1007" operator="equal">
      <formula>"Alta"</formula>
    </cfRule>
    <cfRule type="cellIs" dxfId="839" priority="1008" operator="equal">
      <formula>"Media"</formula>
    </cfRule>
    <cfRule type="cellIs" dxfId="838" priority="1009" operator="equal">
      <formula>"Baja"</formula>
    </cfRule>
    <cfRule type="cellIs" dxfId="837" priority="1010" operator="equal">
      <formula>"Muy Baja"</formula>
    </cfRule>
  </conditionalFormatting>
  <conditionalFormatting sqref="AD130:AD132">
    <cfRule type="cellIs" dxfId="836" priority="1001" operator="equal">
      <formula>"Catastrófico"</formula>
    </cfRule>
    <cfRule type="cellIs" dxfId="835" priority="1002" operator="equal">
      <formula>"Mayor"</formula>
    </cfRule>
    <cfRule type="cellIs" dxfId="834" priority="1003" operator="equal">
      <formula>"Moderado"</formula>
    </cfRule>
    <cfRule type="cellIs" dxfId="833" priority="1004" operator="equal">
      <formula>"Menor"</formula>
    </cfRule>
    <cfRule type="cellIs" dxfId="832" priority="1005" operator="equal">
      <formula>"Leve"</formula>
    </cfRule>
  </conditionalFormatting>
  <conditionalFormatting sqref="AF130:AF132">
    <cfRule type="cellIs" dxfId="831" priority="997" operator="equal">
      <formula>"Extremo"</formula>
    </cfRule>
    <cfRule type="cellIs" dxfId="830" priority="998" operator="equal">
      <formula>"Alto"</formula>
    </cfRule>
    <cfRule type="cellIs" dxfId="829" priority="999" operator="equal">
      <formula>"Moderado"</formula>
    </cfRule>
    <cfRule type="cellIs" dxfId="828" priority="1000" operator="equal">
      <formula>"Bajo"</formula>
    </cfRule>
  </conditionalFormatting>
  <conditionalFormatting sqref="N130:N132">
    <cfRule type="containsText" dxfId="827" priority="996" operator="containsText" text="❌">
      <formula>NOT(ISERROR(SEARCH("❌",N130)))</formula>
    </cfRule>
  </conditionalFormatting>
  <conditionalFormatting sqref="AB133">
    <cfRule type="cellIs" dxfId="826" priority="991" operator="equal">
      <formula>"Muy Alta"</formula>
    </cfRule>
    <cfRule type="cellIs" dxfId="825" priority="992" operator="equal">
      <formula>"Alta"</formula>
    </cfRule>
    <cfRule type="cellIs" dxfId="824" priority="993" operator="equal">
      <formula>"Media"</formula>
    </cfRule>
    <cfRule type="cellIs" dxfId="823" priority="994" operator="equal">
      <formula>"Baja"</formula>
    </cfRule>
    <cfRule type="cellIs" dxfId="822" priority="995" operator="equal">
      <formula>"Muy Baja"</formula>
    </cfRule>
  </conditionalFormatting>
  <conditionalFormatting sqref="AD133">
    <cfRule type="cellIs" dxfId="821" priority="986" operator="equal">
      <formula>"Catastrófico"</formula>
    </cfRule>
    <cfRule type="cellIs" dxfId="820" priority="987" operator="equal">
      <formula>"Mayor"</formula>
    </cfRule>
    <cfRule type="cellIs" dxfId="819" priority="988" operator="equal">
      <formula>"Moderado"</formula>
    </cfRule>
    <cfRule type="cellIs" dxfId="818" priority="989" operator="equal">
      <formula>"Menor"</formula>
    </cfRule>
    <cfRule type="cellIs" dxfId="817" priority="990" operator="equal">
      <formula>"Leve"</formula>
    </cfRule>
  </conditionalFormatting>
  <conditionalFormatting sqref="AF133">
    <cfRule type="cellIs" dxfId="816" priority="982" operator="equal">
      <formula>"Extremo"</formula>
    </cfRule>
    <cfRule type="cellIs" dxfId="815" priority="983" operator="equal">
      <formula>"Alto"</formula>
    </cfRule>
    <cfRule type="cellIs" dxfId="814" priority="984" operator="equal">
      <formula>"Moderado"</formula>
    </cfRule>
    <cfRule type="cellIs" dxfId="813" priority="985" operator="equal">
      <formula>"Bajo"</formula>
    </cfRule>
  </conditionalFormatting>
  <conditionalFormatting sqref="AB134">
    <cfRule type="cellIs" dxfId="812" priority="977" operator="equal">
      <formula>"Muy Alta"</formula>
    </cfRule>
    <cfRule type="cellIs" dxfId="811" priority="978" operator="equal">
      <formula>"Alta"</formula>
    </cfRule>
    <cfRule type="cellIs" dxfId="810" priority="979" operator="equal">
      <formula>"Media"</formula>
    </cfRule>
    <cfRule type="cellIs" dxfId="809" priority="980" operator="equal">
      <formula>"Baja"</formula>
    </cfRule>
    <cfRule type="cellIs" dxfId="808" priority="981" operator="equal">
      <formula>"Muy Baja"</formula>
    </cfRule>
  </conditionalFormatting>
  <conditionalFormatting sqref="AD134">
    <cfRule type="cellIs" dxfId="807" priority="972" operator="equal">
      <formula>"Catastrófico"</formula>
    </cfRule>
    <cfRule type="cellIs" dxfId="806" priority="973" operator="equal">
      <formula>"Mayor"</formula>
    </cfRule>
    <cfRule type="cellIs" dxfId="805" priority="974" operator="equal">
      <formula>"Moderado"</formula>
    </cfRule>
    <cfRule type="cellIs" dxfId="804" priority="975" operator="equal">
      <formula>"Menor"</formula>
    </cfRule>
    <cfRule type="cellIs" dxfId="803" priority="976" operator="equal">
      <formula>"Leve"</formula>
    </cfRule>
  </conditionalFormatting>
  <conditionalFormatting sqref="AF134">
    <cfRule type="cellIs" dxfId="802" priority="968" operator="equal">
      <formula>"Extremo"</formula>
    </cfRule>
    <cfRule type="cellIs" dxfId="801" priority="969" operator="equal">
      <formula>"Alto"</formula>
    </cfRule>
    <cfRule type="cellIs" dxfId="800" priority="970" operator="equal">
      <formula>"Moderado"</formula>
    </cfRule>
    <cfRule type="cellIs" dxfId="799" priority="971" operator="equal">
      <formula>"Bajo"</formula>
    </cfRule>
  </conditionalFormatting>
  <conditionalFormatting sqref="AB135">
    <cfRule type="cellIs" dxfId="798" priority="963" operator="equal">
      <formula>"Muy Alta"</formula>
    </cfRule>
    <cfRule type="cellIs" dxfId="797" priority="964" operator="equal">
      <formula>"Alta"</formula>
    </cfRule>
    <cfRule type="cellIs" dxfId="796" priority="965" operator="equal">
      <formula>"Media"</formula>
    </cfRule>
    <cfRule type="cellIs" dxfId="795" priority="966" operator="equal">
      <formula>"Baja"</formula>
    </cfRule>
    <cfRule type="cellIs" dxfId="794" priority="967" operator="equal">
      <formula>"Muy Baja"</formula>
    </cfRule>
  </conditionalFormatting>
  <conditionalFormatting sqref="AD135">
    <cfRule type="cellIs" dxfId="793" priority="958" operator="equal">
      <formula>"Catastrófico"</formula>
    </cfRule>
    <cfRule type="cellIs" dxfId="792" priority="959" operator="equal">
      <formula>"Mayor"</formula>
    </cfRule>
    <cfRule type="cellIs" dxfId="791" priority="960" operator="equal">
      <formula>"Moderado"</formula>
    </cfRule>
    <cfRule type="cellIs" dxfId="790" priority="961" operator="equal">
      <formula>"Menor"</formula>
    </cfRule>
    <cfRule type="cellIs" dxfId="789" priority="962" operator="equal">
      <formula>"Leve"</formula>
    </cfRule>
  </conditionalFormatting>
  <conditionalFormatting sqref="AF135">
    <cfRule type="cellIs" dxfId="788" priority="954" operator="equal">
      <formula>"Extremo"</formula>
    </cfRule>
    <cfRule type="cellIs" dxfId="787" priority="955" operator="equal">
      <formula>"Alto"</formula>
    </cfRule>
    <cfRule type="cellIs" dxfId="786" priority="956" operator="equal">
      <formula>"Moderado"</formula>
    </cfRule>
    <cfRule type="cellIs" dxfId="785" priority="957" operator="equal">
      <formula>"Bajo"</formula>
    </cfRule>
  </conditionalFormatting>
  <conditionalFormatting sqref="K133">
    <cfRule type="cellIs" dxfId="784" priority="949" operator="equal">
      <formula>"Muy Alta"</formula>
    </cfRule>
    <cfRule type="cellIs" dxfId="783" priority="950" operator="equal">
      <formula>"Alta"</formula>
    </cfRule>
    <cfRule type="cellIs" dxfId="782" priority="951" operator="equal">
      <formula>"Media"</formula>
    </cfRule>
    <cfRule type="cellIs" dxfId="781" priority="952" operator="equal">
      <formula>"Baja"</formula>
    </cfRule>
    <cfRule type="cellIs" dxfId="780" priority="953" operator="equal">
      <formula>"Muy Baja"</formula>
    </cfRule>
  </conditionalFormatting>
  <conditionalFormatting sqref="O133">
    <cfRule type="cellIs" dxfId="779" priority="944" operator="equal">
      <formula>"Catastrófico"</formula>
    </cfRule>
    <cfRule type="cellIs" dxfId="778" priority="945" operator="equal">
      <formula>"Mayor"</formula>
    </cfRule>
    <cfRule type="cellIs" dxfId="777" priority="946" operator="equal">
      <formula>"Moderado"</formula>
    </cfRule>
    <cfRule type="cellIs" dxfId="776" priority="947" operator="equal">
      <formula>"Menor"</formula>
    </cfRule>
    <cfRule type="cellIs" dxfId="775" priority="948" operator="equal">
      <formula>"Leve"</formula>
    </cfRule>
  </conditionalFormatting>
  <conditionalFormatting sqref="Q133">
    <cfRule type="cellIs" dxfId="774" priority="940" operator="equal">
      <formula>"Extremo"</formula>
    </cfRule>
    <cfRule type="cellIs" dxfId="773" priority="941" operator="equal">
      <formula>"Alto"</formula>
    </cfRule>
    <cfRule type="cellIs" dxfId="772" priority="942" operator="equal">
      <formula>"Moderado"</formula>
    </cfRule>
    <cfRule type="cellIs" dxfId="771" priority="943" operator="equal">
      <formula>"Bajo"</formula>
    </cfRule>
  </conditionalFormatting>
  <conditionalFormatting sqref="N133:N135">
    <cfRule type="containsText" dxfId="770" priority="939" operator="containsText" text="❌">
      <formula>NOT(ISERROR(SEARCH("❌",N133)))</formula>
    </cfRule>
  </conditionalFormatting>
  <conditionalFormatting sqref="AB133:AB135">
    <cfRule type="cellIs" dxfId="769" priority="934" operator="equal">
      <formula>"Muy Alta"</formula>
    </cfRule>
    <cfRule type="cellIs" dxfId="768" priority="935" operator="equal">
      <formula>"Alta"</formula>
    </cfRule>
    <cfRule type="cellIs" dxfId="767" priority="936" operator="equal">
      <formula>"Media"</formula>
    </cfRule>
    <cfRule type="cellIs" dxfId="766" priority="937" operator="equal">
      <formula>"Baja"</formula>
    </cfRule>
    <cfRule type="cellIs" dxfId="765" priority="938" operator="equal">
      <formula>"Muy Baja"</formula>
    </cfRule>
  </conditionalFormatting>
  <conditionalFormatting sqref="AD133:AD135">
    <cfRule type="cellIs" dxfId="764" priority="929" operator="equal">
      <formula>"Catastrófico"</formula>
    </cfRule>
    <cfRule type="cellIs" dxfId="763" priority="930" operator="equal">
      <formula>"Mayor"</formula>
    </cfRule>
    <cfRule type="cellIs" dxfId="762" priority="931" operator="equal">
      <formula>"Moderado"</formula>
    </cfRule>
    <cfRule type="cellIs" dxfId="761" priority="932" operator="equal">
      <formula>"Menor"</formula>
    </cfRule>
    <cfRule type="cellIs" dxfId="760" priority="933" operator="equal">
      <formula>"Leve"</formula>
    </cfRule>
  </conditionalFormatting>
  <conditionalFormatting sqref="AF133:AF135">
    <cfRule type="cellIs" dxfId="759" priority="925" operator="equal">
      <formula>"Extremo"</formula>
    </cfRule>
    <cfRule type="cellIs" dxfId="758" priority="926" operator="equal">
      <formula>"Alto"</formula>
    </cfRule>
    <cfRule type="cellIs" dxfId="757" priority="927" operator="equal">
      <formula>"Moderado"</formula>
    </cfRule>
    <cfRule type="cellIs" dxfId="756" priority="928" operator="equal">
      <formula>"Bajo"</formula>
    </cfRule>
  </conditionalFormatting>
  <conditionalFormatting sqref="N133:N135">
    <cfRule type="containsText" dxfId="755" priority="924" operator="containsText" text="❌">
      <formula>NOT(ISERROR(SEARCH("❌",N133)))</formula>
    </cfRule>
  </conditionalFormatting>
  <conditionalFormatting sqref="AB136">
    <cfRule type="cellIs" dxfId="754" priority="919" operator="equal">
      <formula>"Muy Alta"</formula>
    </cfRule>
    <cfRule type="cellIs" dxfId="753" priority="920" operator="equal">
      <formula>"Alta"</formula>
    </cfRule>
    <cfRule type="cellIs" dxfId="752" priority="921" operator="equal">
      <formula>"Media"</formula>
    </cfRule>
    <cfRule type="cellIs" dxfId="751" priority="922" operator="equal">
      <formula>"Baja"</formula>
    </cfRule>
    <cfRule type="cellIs" dxfId="750" priority="923" operator="equal">
      <formula>"Muy Baja"</formula>
    </cfRule>
  </conditionalFormatting>
  <conditionalFormatting sqref="AD136">
    <cfRule type="cellIs" dxfId="749" priority="914" operator="equal">
      <formula>"Catastrófico"</formula>
    </cfRule>
    <cfRule type="cellIs" dxfId="748" priority="915" operator="equal">
      <formula>"Mayor"</formula>
    </cfRule>
    <cfRule type="cellIs" dxfId="747" priority="916" operator="equal">
      <formula>"Moderado"</formula>
    </cfRule>
    <cfRule type="cellIs" dxfId="746" priority="917" operator="equal">
      <formula>"Menor"</formula>
    </cfRule>
    <cfRule type="cellIs" dxfId="745" priority="918" operator="equal">
      <formula>"Leve"</formula>
    </cfRule>
  </conditionalFormatting>
  <conditionalFormatting sqref="AF136">
    <cfRule type="cellIs" dxfId="744" priority="910" operator="equal">
      <formula>"Extremo"</formula>
    </cfRule>
    <cfRule type="cellIs" dxfId="743" priority="911" operator="equal">
      <formula>"Alto"</formula>
    </cfRule>
    <cfRule type="cellIs" dxfId="742" priority="912" operator="equal">
      <formula>"Moderado"</formula>
    </cfRule>
    <cfRule type="cellIs" dxfId="741" priority="913" operator="equal">
      <formula>"Bajo"</formula>
    </cfRule>
  </conditionalFormatting>
  <conditionalFormatting sqref="AB137">
    <cfRule type="cellIs" dxfId="740" priority="905" operator="equal">
      <formula>"Muy Alta"</formula>
    </cfRule>
    <cfRule type="cellIs" dxfId="739" priority="906" operator="equal">
      <formula>"Alta"</formula>
    </cfRule>
    <cfRule type="cellIs" dxfId="738" priority="907" operator="equal">
      <formula>"Media"</formula>
    </cfRule>
    <cfRule type="cellIs" dxfId="737" priority="908" operator="equal">
      <formula>"Baja"</formula>
    </cfRule>
    <cfRule type="cellIs" dxfId="736" priority="909" operator="equal">
      <formula>"Muy Baja"</formula>
    </cfRule>
  </conditionalFormatting>
  <conditionalFormatting sqref="AD137">
    <cfRule type="cellIs" dxfId="735" priority="900" operator="equal">
      <formula>"Catastrófico"</formula>
    </cfRule>
    <cfRule type="cellIs" dxfId="734" priority="901" operator="equal">
      <formula>"Mayor"</formula>
    </cfRule>
    <cfRule type="cellIs" dxfId="733" priority="902" operator="equal">
      <formula>"Moderado"</formula>
    </cfRule>
    <cfRule type="cellIs" dxfId="732" priority="903" operator="equal">
      <formula>"Menor"</formula>
    </cfRule>
    <cfRule type="cellIs" dxfId="731" priority="904" operator="equal">
      <formula>"Leve"</formula>
    </cfRule>
  </conditionalFormatting>
  <conditionalFormatting sqref="AF137">
    <cfRule type="cellIs" dxfId="730" priority="896" operator="equal">
      <formula>"Extremo"</formula>
    </cfRule>
    <cfRule type="cellIs" dxfId="729" priority="897" operator="equal">
      <formula>"Alto"</formula>
    </cfRule>
    <cfRule type="cellIs" dxfId="728" priority="898" operator="equal">
      <formula>"Moderado"</formula>
    </cfRule>
    <cfRule type="cellIs" dxfId="727" priority="899" operator="equal">
      <formula>"Bajo"</formula>
    </cfRule>
  </conditionalFormatting>
  <conditionalFormatting sqref="AB138">
    <cfRule type="cellIs" dxfId="726" priority="891" operator="equal">
      <formula>"Muy Alta"</formula>
    </cfRule>
    <cfRule type="cellIs" dxfId="725" priority="892" operator="equal">
      <formula>"Alta"</formula>
    </cfRule>
    <cfRule type="cellIs" dxfId="724" priority="893" operator="equal">
      <formula>"Media"</formula>
    </cfRule>
    <cfRule type="cellIs" dxfId="723" priority="894" operator="equal">
      <formula>"Baja"</formula>
    </cfRule>
    <cfRule type="cellIs" dxfId="722" priority="895" operator="equal">
      <formula>"Muy Baja"</formula>
    </cfRule>
  </conditionalFormatting>
  <conditionalFormatting sqref="AD138">
    <cfRule type="cellIs" dxfId="721" priority="886" operator="equal">
      <formula>"Catastrófico"</formula>
    </cfRule>
    <cfRule type="cellIs" dxfId="720" priority="887" operator="equal">
      <formula>"Mayor"</formula>
    </cfRule>
    <cfRule type="cellIs" dxfId="719" priority="888" operator="equal">
      <formula>"Moderado"</formula>
    </cfRule>
    <cfRule type="cellIs" dxfId="718" priority="889" operator="equal">
      <formula>"Menor"</formula>
    </cfRule>
    <cfRule type="cellIs" dxfId="717" priority="890" operator="equal">
      <formula>"Leve"</formula>
    </cfRule>
  </conditionalFormatting>
  <conditionalFormatting sqref="AF138">
    <cfRule type="cellIs" dxfId="716" priority="882" operator="equal">
      <formula>"Extremo"</formula>
    </cfRule>
    <cfRule type="cellIs" dxfId="715" priority="883" operator="equal">
      <formula>"Alto"</formula>
    </cfRule>
    <cfRule type="cellIs" dxfId="714" priority="884" operator="equal">
      <formula>"Moderado"</formula>
    </cfRule>
    <cfRule type="cellIs" dxfId="713" priority="885" operator="equal">
      <formula>"Bajo"</formula>
    </cfRule>
  </conditionalFormatting>
  <conditionalFormatting sqref="K136">
    <cfRule type="cellIs" dxfId="712" priority="877" operator="equal">
      <formula>"Muy Alta"</formula>
    </cfRule>
    <cfRule type="cellIs" dxfId="711" priority="878" operator="equal">
      <formula>"Alta"</formula>
    </cfRule>
    <cfRule type="cellIs" dxfId="710" priority="879" operator="equal">
      <formula>"Media"</formula>
    </cfRule>
    <cfRule type="cellIs" dxfId="709" priority="880" operator="equal">
      <formula>"Baja"</formula>
    </cfRule>
    <cfRule type="cellIs" dxfId="708" priority="881" operator="equal">
      <formula>"Muy Baja"</formula>
    </cfRule>
  </conditionalFormatting>
  <conditionalFormatting sqref="O136">
    <cfRule type="cellIs" dxfId="707" priority="872" operator="equal">
      <formula>"Catastrófico"</formula>
    </cfRule>
    <cfRule type="cellIs" dxfId="706" priority="873" operator="equal">
      <formula>"Mayor"</formula>
    </cfRule>
    <cfRule type="cellIs" dxfId="705" priority="874" operator="equal">
      <formula>"Moderado"</formula>
    </cfRule>
    <cfRule type="cellIs" dxfId="704" priority="875" operator="equal">
      <formula>"Menor"</formula>
    </cfRule>
    <cfRule type="cellIs" dxfId="703" priority="876" operator="equal">
      <formula>"Leve"</formula>
    </cfRule>
  </conditionalFormatting>
  <conditionalFormatting sqref="Q136">
    <cfRule type="cellIs" dxfId="702" priority="868" operator="equal">
      <formula>"Extremo"</formula>
    </cfRule>
    <cfRule type="cellIs" dxfId="701" priority="869" operator="equal">
      <formula>"Alto"</formula>
    </cfRule>
    <cfRule type="cellIs" dxfId="700" priority="870" operator="equal">
      <formula>"Moderado"</formula>
    </cfRule>
    <cfRule type="cellIs" dxfId="699" priority="871" operator="equal">
      <formula>"Bajo"</formula>
    </cfRule>
  </conditionalFormatting>
  <conditionalFormatting sqref="N136:N138">
    <cfRule type="containsText" dxfId="698" priority="867" operator="containsText" text="❌">
      <formula>NOT(ISERROR(SEARCH("❌",N136)))</formula>
    </cfRule>
  </conditionalFormatting>
  <conditionalFormatting sqref="AB136:AB138">
    <cfRule type="cellIs" dxfId="697" priority="862" operator="equal">
      <formula>"Muy Alta"</formula>
    </cfRule>
    <cfRule type="cellIs" dxfId="696" priority="863" operator="equal">
      <formula>"Alta"</formula>
    </cfRule>
    <cfRule type="cellIs" dxfId="695" priority="864" operator="equal">
      <formula>"Media"</formula>
    </cfRule>
    <cfRule type="cellIs" dxfId="694" priority="865" operator="equal">
      <formula>"Baja"</formula>
    </cfRule>
    <cfRule type="cellIs" dxfId="693" priority="866" operator="equal">
      <formula>"Muy Baja"</formula>
    </cfRule>
  </conditionalFormatting>
  <conditionalFormatting sqref="AD136:AD138">
    <cfRule type="cellIs" dxfId="692" priority="857" operator="equal">
      <formula>"Catastrófico"</formula>
    </cfRule>
    <cfRule type="cellIs" dxfId="691" priority="858" operator="equal">
      <formula>"Mayor"</formula>
    </cfRule>
    <cfRule type="cellIs" dxfId="690" priority="859" operator="equal">
      <formula>"Moderado"</formula>
    </cfRule>
    <cfRule type="cellIs" dxfId="689" priority="860" operator="equal">
      <formula>"Menor"</formula>
    </cfRule>
    <cfRule type="cellIs" dxfId="688" priority="861" operator="equal">
      <formula>"Leve"</formula>
    </cfRule>
  </conditionalFormatting>
  <conditionalFormatting sqref="AF136:AF138">
    <cfRule type="cellIs" dxfId="687" priority="853" operator="equal">
      <formula>"Extremo"</formula>
    </cfRule>
    <cfRule type="cellIs" dxfId="686" priority="854" operator="equal">
      <formula>"Alto"</formula>
    </cfRule>
    <cfRule type="cellIs" dxfId="685" priority="855" operator="equal">
      <formula>"Moderado"</formula>
    </cfRule>
    <cfRule type="cellIs" dxfId="684" priority="856" operator="equal">
      <formula>"Bajo"</formula>
    </cfRule>
  </conditionalFormatting>
  <conditionalFormatting sqref="N136:N138">
    <cfRule type="containsText" dxfId="683" priority="852" operator="containsText" text="❌">
      <formula>NOT(ISERROR(SEARCH("❌",N136)))</formula>
    </cfRule>
  </conditionalFormatting>
  <conditionalFormatting sqref="AB139">
    <cfRule type="cellIs" dxfId="682" priority="847" operator="equal">
      <formula>"Muy Alta"</formula>
    </cfRule>
    <cfRule type="cellIs" dxfId="681" priority="848" operator="equal">
      <formula>"Alta"</formula>
    </cfRule>
    <cfRule type="cellIs" dxfId="680" priority="849" operator="equal">
      <formula>"Media"</formula>
    </cfRule>
    <cfRule type="cellIs" dxfId="679" priority="850" operator="equal">
      <formula>"Baja"</formula>
    </cfRule>
    <cfRule type="cellIs" dxfId="678" priority="851" operator="equal">
      <formula>"Muy Baja"</formula>
    </cfRule>
  </conditionalFormatting>
  <conditionalFormatting sqref="AD139">
    <cfRule type="cellIs" dxfId="677" priority="842" operator="equal">
      <formula>"Catastrófico"</formula>
    </cfRule>
    <cfRule type="cellIs" dxfId="676" priority="843" operator="equal">
      <formula>"Mayor"</formula>
    </cfRule>
    <cfRule type="cellIs" dxfId="675" priority="844" operator="equal">
      <formula>"Moderado"</formula>
    </cfRule>
    <cfRule type="cellIs" dxfId="674" priority="845" operator="equal">
      <formula>"Menor"</formula>
    </cfRule>
    <cfRule type="cellIs" dxfId="673" priority="846" operator="equal">
      <formula>"Leve"</formula>
    </cfRule>
  </conditionalFormatting>
  <conditionalFormatting sqref="AF139">
    <cfRule type="cellIs" dxfId="672" priority="838" operator="equal">
      <formula>"Extremo"</formula>
    </cfRule>
    <cfRule type="cellIs" dxfId="671" priority="839" operator="equal">
      <formula>"Alto"</formula>
    </cfRule>
    <cfRule type="cellIs" dxfId="670" priority="840" operator="equal">
      <formula>"Moderado"</formula>
    </cfRule>
    <cfRule type="cellIs" dxfId="669" priority="841" operator="equal">
      <formula>"Bajo"</formula>
    </cfRule>
  </conditionalFormatting>
  <conditionalFormatting sqref="AB140">
    <cfRule type="cellIs" dxfId="668" priority="833" operator="equal">
      <formula>"Muy Alta"</formula>
    </cfRule>
    <cfRule type="cellIs" dxfId="667" priority="834" operator="equal">
      <formula>"Alta"</formula>
    </cfRule>
    <cfRule type="cellIs" dxfId="666" priority="835" operator="equal">
      <formula>"Media"</formula>
    </cfRule>
    <cfRule type="cellIs" dxfId="665" priority="836" operator="equal">
      <formula>"Baja"</formula>
    </cfRule>
    <cfRule type="cellIs" dxfId="664" priority="837" operator="equal">
      <formula>"Muy Baja"</formula>
    </cfRule>
  </conditionalFormatting>
  <conditionalFormatting sqref="AD140">
    <cfRule type="cellIs" dxfId="663" priority="828" operator="equal">
      <formula>"Catastrófico"</formula>
    </cfRule>
    <cfRule type="cellIs" dxfId="662" priority="829" operator="equal">
      <formula>"Mayor"</formula>
    </cfRule>
    <cfRule type="cellIs" dxfId="661" priority="830" operator="equal">
      <formula>"Moderado"</formula>
    </cfRule>
    <cfRule type="cellIs" dxfId="660" priority="831" operator="equal">
      <formula>"Menor"</formula>
    </cfRule>
    <cfRule type="cellIs" dxfId="659" priority="832" operator="equal">
      <formula>"Leve"</formula>
    </cfRule>
  </conditionalFormatting>
  <conditionalFormatting sqref="AF140">
    <cfRule type="cellIs" dxfId="658" priority="824" operator="equal">
      <formula>"Extremo"</formula>
    </cfRule>
    <cfRule type="cellIs" dxfId="657" priority="825" operator="equal">
      <formula>"Alto"</formula>
    </cfRule>
    <cfRule type="cellIs" dxfId="656" priority="826" operator="equal">
      <formula>"Moderado"</formula>
    </cfRule>
    <cfRule type="cellIs" dxfId="655" priority="827" operator="equal">
      <formula>"Bajo"</formula>
    </cfRule>
  </conditionalFormatting>
  <conditionalFormatting sqref="AB141">
    <cfRule type="cellIs" dxfId="654" priority="819" operator="equal">
      <formula>"Muy Alta"</formula>
    </cfRule>
    <cfRule type="cellIs" dxfId="653" priority="820" operator="equal">
      <formula>"Alta"</formula>
    </cfRule>
    <cfRule type="cellIs" dxfId="652" priority="821" operator="equal">
      <formula>"Media"</formula>
    </cfRule>
    <cfRule type="cellIs" dxfId="651" priority="822" operator="equal">
      <formula>"Baja"</formula>
    </cfRule>
    <cfRule type="cellIs" dxfId="650" priority="823" operator="equal">
      <formula>"Muy Baja"</formula>
    </cfRule>
  </conditionalFormatting>
  <conditionalFormatting sqref="AD141">
    <cfRule type="cellIs" dxfId="649" priority="814" operator="equal">
      <formula>"Catastrófico"</formula>
    </cfRule>
    <cfRule type="cellIs" dxfId="648" priority="815" operator="equal">
      <formula>"Mayor"</formula>
    </cfRule>
    <cfRule type="cellIs" dxfId="647" priority="816" operator="equal">
      <formula>"Moderado"</formula>
    </cfRule>
    <cfRule type="cellIs" dxfId="646" priority="817" operator="equal">
      <formula>"Menor"</formula>
    </cfRule>
    <cfRule type="cellIs" dxfId="645" priority="818" operator="equal">
      <formula>"Leve"</formula>
    </cfRule>
  </conditionalFormatting>
  <conditionalFormatting sqref="AF141">
    <cfRule type="cellIs" dxfId="644" priority="810" operator="equal">
      <formula>"Extremo"</formula>
    </cfRule>
    <cfRule type="cellIs" dxfId="643" priority="811" operator="equal">
      <formula>"Alto"</formula>
    </cfRule>
    <cfRule type="cellIs" dxfId="642" priority="812" operator="equal">
      <formula>"Moderado"</formula>
    </cfRule>
    <cfRule type="cellIs" dxfId="641" priority="813" operator="equal">
      <formula>"Bajo"</formula>
    </cfRule>
  </conditionalFormatting>
  <conditionalFormatting sqref="K139">
    <cfRule type="cellIs" dxfId="640" priority="805" operator="equal">
      <formula>"Muy Alta"</formula>
    </cfRule>
    <cfRule type="cellIs" dxfId="639" priority="806" operator="equal">
      <formula>"Alta"</formula>
    </cfRule>
    <cfRule type="cellIs" dxfId="638" priority="807" operator="equal">
      <formula>"Media"</formula>
    </cfRule>
    <cfRule type="cellIs" dxfId="637" priority="808" operator="equal">
      <formula>"Baja"</formula>
    </cfRule>
    <cfRule type="cellIs" dxfId="636" priority="809" operator="equal">
      <formula>"Muy Baja"</formula>
    </cfRule>
  </conditionalFormatting>
  <conditionalFormatting sqref="O139">
    <cfRule type="cellIs" dxfId="635" priority="800" operator="equal">
      <formula>"Catastrófico"</formula>
    </cfRule>
    <cfRule type="cellIs" dxfId="634" priority="801" operator="equal">
      <formula>"Mayor"</formula>
    </cfRule>
    <cfRule type="cellIs" dxfId="633" priority="802" operator="equal">
      <formula>"Moderado"</formula>
    </cfRule>
    <cfRule type="cellIs" dxfId="632" priority="803" operator="equal">
      <formula>"Menor"</formula>
    </cfRule>
    <cfRule type="cellIs" dxfId="631" priority="804" operator="equal">
      <formula>"Leve"</formula>
    </cfRule>
  </conditionalFormatting>
  <conditionalFormatting sqref="Q139">
    <cfRule type="cellIs" dxfId="630" priority="796" operator="equal">
      <formula>"Extremo"</formula>
    </cfRule>
    <cfRule type="cellIs" dxfId="629" priority="797" operator="equal">
      <formula>"Alto"</formula>
    </cfRule>
    <cfRule type="cellIs" dxfId="628" priority="798" operator="equal">
      <formula>"Moderado"</formula>
    </cfRule>
    <cfRule type="cellIs" dxfId="627" priority="799" operator="equal">
      <formula>"Bajo"</formula>
    </cfRule>
  </conditionalFormatting>
  <conditionalFormatting sqref="N139:N141">
    <cfRule type="containsText" dxfId="626" priority="795" operator="containsText" text="❌">
      <formula>NOT(ISERROR(SEARCH("❌",N139)))</formula>
    </cfRule>
  </conditionalFormatting>
  <conditionalFormatting sqref="AB139:AB141">
    <cfRule type="cellIs" dxfId="625" priority="790" operator="equal">
      <formula>"Muy Alta"</formula>
    </cfRule>
    <cfRule type="cellIs" dxfId="624" priority="791" operator="equal">
      <formula>"Alta"</formula>
    </cfRule>
    <cfRule type="cellIs" dxfId="623" priority="792" operator="equal">
      <formula>"Media"</formula>
    </cfRule>
    <cfRule type="cellIs" dxfId="622" priority="793" operator="equal">
      <formula>"Baja"</formula>
    </cfRule>
    <cfRule type="cellIs" dxfId="621" priority="794" operator="equal">
      <formula>"Muy Baja"</formula>
    </cfRule>
  </conditionalFormatting>
  <conditionalFormatting sqref="AD139:AD141">
    <cfRule type="cellIs" dxfId="620" priority="785" operator="equal">
      <formula>"Catastrófico"</formula>
    </cfRule>
    <cfRule type="cellIs" dxfId="619" priority="786" operator="equal">
      <formula>"Mayor"</formula>
    </cfRule>
    <cfRule type="cellIs" dxfId="618" priority="787" operator="equal">
      <formula>"Moderado"</formula>
    </cfRule>
    <cfRule type="cellIs" dxfId="617" priority="788" operator="equal">
      <formula>"Menor"</formula>
    </cfRule>
    <cfRule type="cellIs" dxfId="616" priority="789" operator="equal">
      <formula>"Leve"</formula>
    </cfRule>
  </conditionalFormatting>
  <conditionalFormatting sqref="AF139:AF141">
    <cfRule type="cellIs" dxfId="615" priority="781" operator="equal">
      <formula>"Extremo"</formula>
    </cfRule>
    <cfRule type="cellIs" dxfId="614" priority="782" operator="equal">
      <formula>"Alto"</formula>
    </cfRule>
    <cfRule type="cellIs" dxfId="613" priority="783" operator="equal">
      <formula>"Moderado"</formula>
    </cfRule>
    <cfRule type="cellIs" dxfId="612" priority="784" operator="equal">
      <formula>"Bajo"</formula>
    </cfRule>
  </conditionalFormatting>
  <conditionalFormatting sqref="N139:N141">
    <cfRule type="containsText" dxfId="611" priority="780" operator="containsText" text="❌">
      <formula>NOT(ISERROR(SEARCH("❌",N139)))</formula>
    </cfRule>
  </conditionalFormatting>
  <conditionalFormatting sqref="AB142">
    <cfRule type="cellIs" dxfId="610" priority="703" operator="equal">
      <formula>"Muy Alta"</formula>
    </cfRule>
    <cfRule type="cellIs" dxfId="609" priority="704" operator="equal">
      <formula>"Alta"</formula>
    </cfRule>
    <cfRule type="cellIs" dxfId="608" priority="705" operator="equal">
      <formula>"Media"</formula>
    </cfRule>
    <cfRule type="cellIs" dxfId="607" priority="706" operator="equal">
      <formula>"Baja"</formula>
    </cfRule>
    <cfRule type="cellIs" dxfId="606" priority="707" operator="equal">
      <formula>"Muy Baja"</formula>
    </cfRule>
  </conditionalFormatting>
  <conditionalFormatting sqref="AD142">
    <cfRule type="cellIs" dxfId="605" priority="698" operator="equal">
      <formula>"Catastrófico"</formula>
    </cfRule>
    <cfRule type="cellIs" dxfId="604" priority="699" operator="equal">
      <formula>"Mayor"</formula>
    </cfRule>
    <cfRule type="cellIs" dxfId="603" priority="700" operator="equal">
      <formula>"Moderado"</formula>
    </cfRule>
    <cfRule type="cellIs" dxfId="602" priority="701" operator="equal">
      <formula>"Menor"</formula>
    </cfRule>
    <cfRule type="cellIs" dxfId="601" priority="702" operator="equal">
      <formula>"Leve"</formula>
    </cfRule>
  </conditionalFormatting>
  <conditionalFormatting sqref="AF142">
    <cfRule type="cellIs" dxfId="600" priority="694" operator="equal">
      <formula>"Extremo"</formula>
    </cfRule>
    <cfRule type="cellIs" dxfId="599" priority="695" operator="equal">
      <formula>"Alto"</formula>
    </cfRule>
    <cfRule type="cellIs" dxfId="598" priority="696" operator="equal">
      <formula>"Moderado"</formula>
    </cfRule>
    <cfRule type="cellIs" dxfId="597" priority="697" operator="equal">
      <formula>"Bajo"</formula>
    </cfRule>
  </conditionalFormatting>
  <conditionalFormatting sqref="AB143">
    <cfRule type="cellIs" dxfId="596" priority="689" operator="equal">
      <formula>"Muy Alta"</formula>
    </cfRule>
    <cfRule type="cellIs" dxfId="595" priority="690" operator="equal">
      <formula>"Alta"</formula>
    </cfRule>
    <cfRule type="cellIs" dxfId="594" priority="691" operator="equal">
      <formula>"Media"</formula>
    </cfRule>
    <cfRule type="cellIs" dxfId="593" priority="692" operator="equal">
      <formula>"Baja"</formula>
    </cfRule>
    <cfRule type="cellIs" dxfId="592" priority="693" operator="equal">
      <formula>"Muy Baja"</formula>
    </cfRule>
  </conditionalFormatting>
  <conditionalFormatting sqref="AD143">
    <cfRule type="cellIs" dxfId="591" priority="684" operator="equal">
      <formula>"Catastrófico"</formula>
    </cfRule>
    <cfRule type="cellIs" dxfId="590" priority="685" operator="equal">
      <formula>"Mayor"</formula>
    </cfRule>
    <cfRule type="cellIs" dxfId="589" priority="686" operator="equal">
      <formula>"Moderado"</formula>
    </cfRule>
    <cfRule type="cellIs" dxfId="588" priority="687" operator="equal">
      <formula>"Menor"</formula>
    </cfRule>
    <cfRule type="cellIs" dxfId="587" priority="688" operator="equal">
      <formula>"Leve"</formula>
    </cfRule>
  </conditionalFormatting>
  <conditionalFormatting sqref="AF143">
    <cfRule type="cellIs" dxfId="586" priority="680" operator="equal">
      <formula>"Extremo"</formula>
    </cfRule>
    <cfRule type="cellIs" dxfId="585" priority="681" operator="equal">
      <formula>"Alto"</formula>
    </cfRule>
    <cfRule type="cellIs" dxfId="584" priority="682" operator="equal">
      <formula>"Moderado"</formula>
    </cfRule>
    <cfRule type="cellIs" dxfId="583" priority="683" operator="equal">
      <formula>"Bajo"</formula>
    </cfRule>
  </conditionalFormatting>
  <conditionalFormatting sqref="AB144">
    <cfRule type="cellIs" dxfId="582" priority="675" operator="equal">
      <formula>"Muy Alta"</formula>
    </cfRule>
    <cfRule type="cellIs" dxfId="581" priority="676" operator="equal">
      <formula>"Alta"</formula>
    </cfRule>
    <cfRule type="cellIs" dxfId="580" priority="677" operator="equal">
      <formula>"Media"</formula>
    </cfRule>
    <cfRule type="cellIs" dxfId="579" priority="678" operator="equal">
      <formula>"Baja"</formula>
    </cfRule>
    <cfRule type="cellIs" dxfId="578" priority="679" operator="equal">
      <formula>"Muy Baja"</formula>
    </cfRule>
  </conditionalFormatting>
  <conditionalFormatting sqref="AD144">
    <cfRule type="cellIs" dxfId="577" priority="670" operator="equal">
      <formula>"Catastrófico"</formula>
    </cfRule>
    <cfRule type="cellIs" dxfId="576" priority="671" operator="equal">
      <formula>"Mayor"</formula>
    </cfRule>
    <cfRule type="cellIs" dxfId="575" priority="672" operator="equal">
      <formula>"Moderado"</formula>
    </cfRule>
    <cfRule type="cellIs" dxfId="574" priority="673" operator="equal">
      <formula>"Menor"</formula>
    </cfRule>
    <cfRule type="cellIs" dxfId="573" priority="674" operator="equal">
      <formula>"Leve"</formula>
    </cfRule>
  </conditionalFormatting>
  <conditionalFormatting sqref="AF144">
    <cfRule type="cellIs" dxfId="572" priority="666" operator="equal">
      <formula>"Extremo"</formula>
    </cfRule>
    <cfRule type="cellIs" dxfId="571" priority="667" operator="equal">
      <formula>"Alto"</formula>
    </cfRule>
    <cfRule type="cellIs" dxfId="570" priority="668" operator="equal">
      <formula>"Moderado"</formula>
    </cfRule>
    <cfRule type="cellIs" dxfId="569" priority="669" operator="equal">
      <formula>"Bajo"</formula>
    </cfRule>
  </conditionalFormatting>
  <conditionalFormatting sqref="K142">
    <cfRule type="cellIs" dxfId="568" priority="661" operator="equal">
      <formula>"Muy Alta"</formula>
    </cfRule>
    <cfRule type="cellIs" dxfId="567" priority="662" operator="equal">
      <formula>"Alta"</formula>
    </cfRule>
    <cfRule type="cellIs" dxfId="566" priority="663" operator="equal">
      <formula>"Media"</formula>
    </cfRule>
    <cfRule type="cellIs" dxfId="565" priority="664" operator="equal">
      <formula>"Baja"</formula>
    </cfRule>
    <cfRule type="cellIs" dxfId="564" priority="665" operator="equal">
      <formula>"Muy Baja"</formula>
    </cfRule>
  </conditionalFormatting>
  <conditionalFormatting sqref="O142">
    <cfRule type="cellIs" dxfId="563" priority="656" operator="equal">
      <formula>"Catastrófico"</formula>
    </cfRule>
    <cfRule type="cellIs" dxfId="562" priority="657" operator="equal">
      <formula>"Mayor"</formula>
    </cfRule>
    <cfRule type="cellIs" dxfId="561" priority="658" operator="equal">
      <formula>"Moderado"</formula>
    </cfRule>
    <cfRule type="cellIs" dxfId="560" priority="659" operator="equal">
      <formula>"Menor"</formula>
    </cfRule>
    <cfRule type="cellIs" dxfId="559" priority="660" operator="equal">
      <formula>"Leve"</formula>
    </cfRule>
  </conditionalFormatting>
  <conditionalFormatting sqref="Q142">
    <cfRule type="cellIs" dxfId="558" priority="652" operator="equal">
      <formula>"Extremo"</formula>
    </cfRule>
    <cfRule type="cellIs" dxfId="557" priority="653" operator="equal">
      <formula>"Alto"</formula>
    </cfRule>
    <cfRule type="cellIs" dxfId="556" priority="654" operator="equal">
      <formula>"Moderado"</formula>
    </cfRule>
    <cfRule type="cellIs" dxfId="555" priority="655" operator="equal">
      <formula>"Bajo"</formula>
    </cfRule>
  </conditionalFormatting>
  <conditionalFormatting sqref="N142:N144">
    <cfRule type="containsText" dxfId="554" priority="651" operator="containsText" text="❌">
      <formula>NOT(ISERROR(SEARCH("❌",N142)))</formula>
    </cfRule>
  </conditionalFormatting>
  <conditionalFormatting sqref="AB142:AB144">
    <cfRule type="cellIs" dxfId="553" priority="646" operator="equal">
      <formula>"Muy Alta"</formula>
    </cfRule>
    <cfRule type="cellIs" dxfId="552" priority="647" operator="equal">
      <formula>"Alta"</formula>
    </cfRule>
    <cfRule type="cellIs" dxfId="551" priority="648" operator="equal">
      <formula>"Media"</formula>
    </cfRule>
    <cfRule type="cellIs" dxfId="550" priority="649" operator="equal">
      <formula>"Baja"</formula>
    </cfRule>
    <cfRule type="cellIs" dxfId="549" priority="650" operator="equal">
      <formula>"Muy Baja"</formula>
    </cfRule>
  </conditionalFormatting>
  <conditionalFormatting sqref="AD142:AD144">
    <cfRule type="cellIs" dxfId="548" priority="641" operator="equal">
      <formula>"Catastrófico"</formula>
    </cfRule>
    <cfRule type="cellIs" dxfId="547" priority="642" operator="equal">
      <formula>"Mayor"</formula>
    </cfRule>
    <cfRule type="cellIs" dxfId="546" priority="643" operator="equal">
      <formula>"Moderado"</formula>
    </cfRule>
    <cfRule type="cellIs" dxfId="545" priority="644" operator="equal">
      <formula>"Menor"</formula>
    </cfRule>
    <cfRule type="cellIs" dxfId="544" priority="645" operator="equal">
      <formula>"Leve"</formula>
    </cfRule>
  </conditionalFormatting>
  <conditionalFormatting sqref="AF142:AF144">
    <cfRule type="cellIs" dxfId="543" priority="637" operator="equal">
      <formula>"Extremo"</formula>
    </cfRule>
    <cfRule type="cellIs" dxfId="542" priority="638" operator="equal">
      <formula>"Alto"</formula>
    </cfRule>
    <cfRule type="cellIs" dxfId="541" priority="639" operator="equal">
      <formula>"Moderado"</formula>
    </cfRule>
    <cfRule type="cellIs" dxfId="540" priority="640" operator="equal">
      <formula>"Bajo"</formula>
    </cfRule>
  </conditionalFormatting>
  <conditionalFormatting sqref="N142:N144">
    <cfRule type="containsText" dxfId="539" priority="636" operator="containsText" text="❌">
      <formula>NOT(ISERROR(SEARCH("❌",N142)))</formula>
    </cfRule>
  </conditionalFormatting>
  <conditionalFormatting sqref="AB145">
    <cfRule type="cellIs" dxfId="538" priority="631" operator="equal">
      <formula>"Muy Alta"</formula>
    </cfRule>
    <cfRule type="cellIs" dxfId="537" priority="632" operator="equal">
      <formula>"Alta"</formula>
    </cfRule>
    <cfRule type="cellIs" dxfId="536" priority="633" operator="equal">
      <formula>"Media"</formula>
    </cfRule>
    <cfRule type="cellIs" dxfId="535" priority="634" operator="equal">
      <formula>"Baja"</formula>
    </cfRule>
    <cfRule type="cellIs" dxfId="534" priority="635" operator="equal">
      <formula>"Muy Baja"</formula>
    </cfRule>
  </conditionalFormatting>
  <conditionalFormatting sqref="AD145">
    <cfRule type="cellIs" dxfId="533" priority="626" operator="equal">
      <formula>"Catastrófico"</formula>
    </cfRule>
    <cfRule type="cellIs" dxfId="532" priority="627" operator="equal">
      <formula>"Mayor"</formula>
    </cfRule>
    <cfRule type="cellIs" dxfId="531" priority="628" operator="equal">
      <formula>"Moderado"</formula>
    </cfRule>
    <cfRule type="cellIs" dxfId="530" priority="629" operator="equal">
      <formula>"Menor"</formula>
    </cfRule>
    <cfRule type="cellIs" dxfId="529" priority="630" operator="equal">
      <formula>"Leve"</formula>
    </cfRule>
  </conditionalFormatting>
  <conditionalFormatting sqref="AF145">
    <cfRule type="cellIs" dxfId="528" priority="622" operator="equal">
      <formula>"Extremo"</formula>
    </cfRule>
    <cfRule type="cellIs" dxfId="527" priority="623" operator="equal">
      <formula>"Alto"</formula>
    </cfRule>
    <cfRule type="cellIs" dxfId="526" priority="624" operator="equal">
      <formula>"Moderado"</formula>
    </cfRule>
    <cfRule type="cellIs" dxfId="525" priority="625" operator="equal">
      <formula>"Bajo"</formula>
    </cfRule>
  </conditionalFormatting>
  <conditionalFormatting sqref="AB146">
    <cfRule type="cellIs" dxfId="524" priority="617" operator="equal">
      <formula>"Muy Alta"</formula>
    </cfRule>
    <cfRule type="cellIs" dxfId="523" priority="618" operator="equal">
      <formula>"Alta"</formula>
    </cfRule>
    <cfRule type="cellIs" dxfId="522" priority="619" operator="equal">
      <formula>"Media"</formula>
    </cfRule>
    <cfRule type="cellIs" dxfId="521" priority="620" operator="equal">
      <formula>"Baja"</formula>
    </cfRule>
    <cfRule type="cellIs" dxfId="520" priority="621" operator="equal">
      <formula>"Muy Baja"</formula>
    </cfRule>
  </conditionalFormatting>
  <conditionalFormatting sqref="AD146">
    <cfRule type="cellIs" dxfId="519" priority="612" operator="equal">
      <formula>"Catastrófico"</formula>
    </cfRule>
    <cfRule type="cellIs" dxfId="518" priority="613" operator="equal">
      <formula>"Mayor"</formula>
    </cfRule>
    <cfRule type="cellIs" dxfId="517" priority="614" operator="equal">
      <formula>"Moderado"</formula>
    </cfRule>
    <cfRule type="cellIs" dxfId="516" priority="615" operator="equal">
      <formula>"Menor"</formula>
    </cfRule>
    <cfRule type="cellIs" dxfId="515" priority="616" operator="equal">
      <formula>"Leve"</formula>
    </cfRule>
  </conditionalFormatting>
  <conditionalFormatting sqref="AF146">
    <cfRule type="cellIs" dxfId="514" priority="608" operator="equal">
      <formula>"Extremo"</formula>
    </cfRule>
    <cfRule type="cellIs" dxfId="513" priority="609" operator="equal">
      <formula>"Alto"</formula>
    </cfRule>
    <cfRule type="cellIs" dxfId="512" priority="610" operator="equal">
      <formula>"Moderado"</formula>
    </cfRule>
    <cfRule type="cellIs" dxfId="511" priority="611" operator="equal">
      <formula>"Bajo"</formula>
    </cfRule>
  </conditionalFormatting>
  <conditionalFormatting sqref="AB147">
    <cfRule type="cellIs" dxfId="510" priority="603" operator="equal">
      <formula>"Muy Alta"</formula>
    </cfRule>
    <cfRule type="cellIs" dxfId="509" priority="604" operator="equal">
      <formula>"Alta"</formula>
    </cfRule>
    <cfRule type="cellIs" dxfId="508" priority="605" operator="equal">
      <formula>"Media"</formula>
    </cfRule>
    <cfRule type="cellIs" dxfId="507" priority="606" operator="equal">
      <formula>"Baja"</formula>
    </cfRule>
    <cfRule type="cellIs" dxfId="506" priority="607" operator="equal">
      <formula>"Muy Baja"</formula>
    </cfRule>
  </conditionalFormatting>
  <conditionalFormatting sqref="AD147">
    <cfRule type="cellIs" dxfId="505" priority="598" operator="equal">
      <formula>"Catastrófico"</formula>
    </cfRule>
    <cfRule type="cellIs" dxfId="504" priority="599" operator="equal">
      <formula>"Mayor"</formula>
    </cfRule>
    <cfRule type="cellIs" dxfId="503" priority="600" operator="equal">
      <formula>"Moderado"</formula>
    </cfRule>
    <cfRule type="cellIs" dxfId="502" priority="601" operator="equal">
      <formula>"Menor"</formula>
    </cfRule>
    <cfRule type="cellIs" dxfId="501" priority="602" operator="equal">
      <formula>"Leve"</formula>
    </cfRule>
  </conditionalFormatting>
  <conditionalFormatting sqref="AF147">
    <cfRule type="cellIs" dxfId="500" priority="594" operator="equal">
      <formula>"Extremo"</formula>
    </cfRule>
    <cfRule type="cellIs" dxfId="499" priority="595" operator="equal">
      <formula>"Alto"</formula>
    </cfRule>
    <cfRule type="cellIs" dxfId="498" priority="596" operator="equal">
      <formula>"Moderado"</formula>
    </cfRule>
    <cfRule type="cellIs" dxfId="497" priority="597" operator="equal">
      <formula>"Bajo"</formula>
    </cfRule>
  </conditionalFormatting>
  <conditionalFormatting sqref="K145">
    <cfRule type="cellIs" dxfId="496" priority="589" operator="equal">
      <formula>"Muy Alta"</formula>
    </cfRule>
    <cfRule type="cellIs" dxfId="495" priority="590" operator="equal">
      <formula>"Alta"</formula>
    </cfRule>
    <cfRule type="cellIs" dxfId="494" priority="591" operator="equal">
      <formula>"Media"</formula>
    </cfRule>
    <cfRule type="cellIs" dxfId="493" priority="592" operator="equal">
      <formula>"Baja"</formula>
    </cfRule>
    <cfRule type="cellIs" dxfId="492" priority="593" operator="equal">
      <formula>"Muy Baja"</formula>
    </cfRule>
  </conditionalFormatting>
  <conditionalFormatting sqref="O145">
    <cfRule type="cellIs" dxfId="491" priority="584" operator="equal">
      <formula>"Catastrófico"</formula>
    </cfRule>
    <cfRule type="cellIs" dxfId="490" priority="585" operator="equal">
      <formula>"Mayor"</formula>
    </cfRule>
    <cfRule type="cellIs" dxfId="489" priority="586" operator="equal">
      <formula>"Moderado"</formula>
    </cfRule>
    <cfRule type="cellIs" dxfId="488" priority="587" operator="equal">
      <formula>"Menor"</formula>
    </cfRule>
    <cfRule type="cellIs" dxfId="487" priority="588" operator="equal">
      <formula>"Leve"</formula>
    </cfRule>
  </conditionalFormatting>
  <conditionalFormatting sqref="Q145">
    <cfRule type="cellIs" dxfId="486" priority="580" operator="equal">
      <formula>"Extremo"</formula>
    </cfRule>
    <cfRule type="cellIs" dxfId="485" priority="581" operator="equal">
      <formula>"Alto"</formula>
    </cfRule>
    <cfRule type="cellIs" dxfId="484" priority="582" operator="equal">
      <formula>"Moderado"</formula>
    </cfRule>
    <cfRule type="cellIs" dxfId="483" priority="583" operator="equal">
      <formula>"Bajo"</formula>
    </cfRule>
  </conditionalFormatting>
  <conditionalFormatting sqref="N145:N147">
    <cfRule type="containsText" dxfId="482" priority="579" operator="containsText" text="❌">
      <formula>NOT(ISERROR(SEARCH("❌",N145)))</formula>
    </cfRule>
  </conditionalFormatting>
  <conditionalFormatting sqref="AB145:AB147">
    <cfRule type="cellIs" dxfId="481" priority="574" operator="equal">
      <formula>"Muy Alta"</formula>
    </cfRule>
    <cfRule type="cellIs" dxfId="480" priority="575" operator="equal">
      <formula>"Alta"</formula>
    </cfRule>
    <cfRule type="cellIs" dxfId="479" priority="576" operator="equal">
      <formula>"Media"</formula>
    </cfRule>
    <cfRule type="cellIs" dxfId="478" priority="577" operator="equal">
      <formula>"Baja"</formula>
    </cfRule>
    <cfRule type="cellIs" dxfId="477" priority="578" operator="equal">
      <formula>"Muy Baja"</formula>
    </cfRule>
  </conditionalFormatting>
  <conditionalFormatting sqref="AD145:AD147">
    <cfRule type="cellIs" dxfId="476" priority="569" operator="equal">
      <formula>"Catastrófico"</formula>
    </cfRule>
    <cfRule type="cellIs" dxfId="475" priority="570" operator="equal">
      <formula>"Mayor"</formula>
    </cfRule>
    <cfRule type="cellIs" dxfId="474" priority="571" operator="equal">
      <formula>"Moderado"</formula>
    </cfRule>
    <cfRule type="cellIs" dxfId="473" priority="572" operator="equal">
      <formula>"Menor"</formula>
    </cfRule>
    <cfRule type="cellIs" dxfId="472" priority="573" operator="equal">
      <formula>"Leve"</formula>
    </cfRule>
  </conditionalFormatting>
  <conditionalFormatting sqref="AF145:AF147">
    <cfRule type="cellIs" dxfId="471" priority="565" operator="equal">
      <formula>"Extremo"</formula>
    </cfRule>
    <cfRule type="cellIs" dxfId="470" priority="566" operator="equal">
      <formula>"Alto"</formula>
    </cfRule>
    <cfRule type="cellIs" dxfId="469" priority="567" operator="equal">
      <formula>"Moderado"</formula>
    </cfRule>
    <cfRule type="cellIs" dxfId="468" priority="568" operator="equal">
      <formula>"Bajo"</formula>
    </cfRule>
  </conditionalFormatting>
  <conditionalFormatting sqref="N145:N147">
    <cfRule type="containsText" dxfId="467" priority="564" operator="containsText" text="❌">
      <formula>NOT(ISERROR(SEARCH("❌",N145)))</formula>
    </cfRule>
  </conditionalFormatting>
  <conditionalFormatting sqref="AB148">
    <cfRule type="cellIs" dxfId="466" priority="559" operator="equal">
      <formula>"Muy Alta"</formula>
    </cfRule>
    <cfRule type="cellIs" dxfId="465" priority="560" operator="equal">
      <formula>"Alta"</formula>
    </cfRule>
    <cfRule type="cellIs" dxfId="464" priority="561" operator="equal">
      <formula>"Media"</formula>
    </cfRule>
    <cfRule type="cellIs" dxfId="463" priority="562" operator="equal">
      <formula>"Baja"</formula>
    </cfRule>
    <cfRule type="cellIs" dxfId="462" priority="563" operator="equal">
      <formula>"Muy Baja"</formula>
    </cfRule>
  </conditionalFormatting>
  <conditionalFormatting sqref="AD148">
    <cfRule type="cellIs" dxfId="461" priority="554" operator="equal">
      <formula>"Catastrófico"</formula>
    </cfRule>
    <cfRule type="cellIs" dxfId="460" priority="555" operator="equal">
      <formula>"Mayor"</formula>
    </cfRule>
    <cfRule type="cellIs" dxfId="459" priority="556" operator="equal">
      <formula>"Moderado"</formula>
    </cfRule>
    <cfRule type="cellIs" dxfId="458" priority="557" operator="equal">
      <formula>"Menor"</formula>
    </cfRule>
    <cfRule type="cellIs" dxfId="457" priority="558" operator="equal">
      <formula>"Leve"</formula>
    </cfRule>
  </conditionalFormatting>
  <conditionalFormatting sqref="AF148">
    <cfRule type="cellIs" dxfId="456" priority="550" operator="equal">
      <formula>"Extremo"</formula>
    </cfRule>
    <cfRule type="cellIs" dxfId="455" priority="551" operator="equal">
      <formula>"Alto"</formula>
    </cfRule>
    <cfRule type="cellIs" dxfId="454" priority="552" operator="equal">
      <formula>"Moderado"</formula>
    </cfRule>
    <cfRule type="cellIs" dxfId="453" priority="553" operator="equal">
      <formula>"Bajo"</formula>
    </cfRule>
  </conditionalFormatting>
  <conditionalFormatting sqref="AB149">
    <cfRule type="cellIs" dxfId="452" priority="545" operator="equal">
      <formula>"Muy Alta"</formula>
    </cfRule>
    <cfRule type="cellIs" dxfId="451" priority="546" operator="equal">
      <formula>"Alta"</formula>
    </cfRule>
    <cfRule type="cellIs" dxfId="450" priority="547" operator="equal">
      <formula>"Media"</formula>
    </cfRule>
    <cfRule type="cellIs" dxfId="449" priority="548" operator="equal">
      <formula>"Baja"</formula>
    </cfRule>
    <cfRule type="cellIs" dxfId="448" priority="549" operator="equal">
      <formula>"Muy Baja"</formula>
    </cfRule>
  </conditionalFormatting>
  <conditionalFormatting sqref="AD149">
    <cfRule type="cellIs" dxfId="447" priority="540" operator="equal">
      <formula>"Catastrófico"</formula>
    </cfRule>
    <cfRule type="cellIs" dxfId="446" priority="541" operator="equal">
      <formula>"Mayor"</formula>
    </cfRule>
    <cfRule type="cellIs" dxfId="445" priority="542" operator="equal">
      <formula>"Moderado"</formula>
    </cfRule>
    <cfRule type="cellIs" dxfId="444" priority="543" operator="equal">
      <formula>"Menor"</formula>
    </cfRule>
    <cfRule type="cellIs" dxfId="443" priority="544" operator="equal">
      <formula>"Leve"</formula>
    </cfRule>
  </conditionalFormatting>
  <conditionalFormatting sqref="AF149">
    <cfRule type="cellIs" dxfId="442" priority="536" operator="equal">
      <formula>"Extremo"</formula>
    </cfRule>
    <cfRule type="cellIs" dxfId="441" priority="537" operator="equal">
      <formula>"Alto"</formula>
    </cfRule>
    <cfRule type="cellIs" dxfId="440" priority="538" operator="equal">
      <formula>"Moderado"</formula>
    </cfRule>
    <cfRule type="cellIs" dxfId="439" priority="539" operator="equal">
      <formula>"Bajo"</formula>
    </cfRule>
  </conditionalFormatting>
  <conditionalFormatting sqref="AB150">
    <cfRule type="cellIs" dxfId="438" priority="531" operator="equal">
      <formula>"Muy Alta"</formula>
    </cfRule>
    <cfRule type="cellIs" dxfId="437" priority="532" operator="equal">
      <formula>"Alta"</formula>
    </cfRule>
    <cfRule type="cellIs" dxfId="436" priority="533" operator="equal">
      <formula>"Media"</formula>
    </cfRule>
    <cfRule type="cellIs" dxfId="435" priority="534" operator="equal">
      <formula>"Baja"</formula>
    </cfRule>
    <cfRule type="cellIs" dxfId="434" priority="535" operator="equal">
      <formula>"Muy Baja"</formula>
    </cfRule>
  </conditionalFormatting>
  <conditionalFormatting sqref="AD150">
    <cfRule type="cellIs" dxfId="433" priority="526" operator="equal">
      <formula>"Catastrófico"</formula>
    </cfRule>
    <cfRule type="cellIs" dxfId="432" priority="527" operator="equal">
      <formula>"Mayor"</formula>
    </cfRule>
    <cfRule type="cellIs" dxfId="431" priority="528" operator="equal">
      <formula>"Moderado"</formula>
    </cfRule>
    <cfRule type="cellIs" dxfId="430" priority="529" operator="equal">
      <formula>"Menor"</formula>
    </cfRule>
    <cfRule type="cellIs" dxfId="429" priority="530" operator="equal">
      <formula>"Leve"</formula>
    </cfRule>
  </conditionalFormatting>
  <conditionalFormatting sqref="AF150">
    <cfRule type="cellIs" dxfId="428" priority="522" operator="equal">
      <formula>"Extremo"</formula>
    </cfRule>
    <cfRule type="cellIs" dxfId="427" priority="523" operator="equal">
      <formula>"Alto"</formula>
    </cfRule>
    <cfRule type="cellIs" dxfId="426" priority="524" operator="equal">
      <formula>"Moderado"</formula>
    </cfRule>
    <cfRule type="cellIs" dxfId="425" priority="525" operator="equal">
      <formula>"Bajo"</formula>
    </cfRule>
  </conditionalFormatting>
  <conditionalFormatting sqref="K148">
    <cfRule type="cellIs" dxfId="424" priority="517" operator="equal">
      <formula>"Muy Alta"</formula>
    </cfRule>
    <cfRule type="cellIs" dxfId="423" priority="518" operator="equal">
      <formula>"Alta"</formula>
    </cfRule>
    <cfRule type="cellIs" dxfId="422" priority="519" operator="equal">
      <formula>"Media"</formula>
    </cfRule>
    <cfRule type="cellIs" dxfId="421" priority="520" operator="equal">
      <formula>"Baja"</formula>
    </cfRule>
    <cfRule type="cellIs" dxfId="420" priority="521" operator="equal">
      <formula>"Muy Baja"</formula>
    </cfRule>
  </conditionalFormatting>
  <conditionalFormatting sqref="O148">
    <cfRule type="cellIs" dxfId="419" priority="512" operator="equal">
      <formula>"Catastrófico"</formula>
    </cfRule>
    <cfRule type="cellIs" dxfId="418" priority="513" operator="equal">
      <formula>"Mayor"</formula>
    </cfRule>
    <cfRule type="cellIs" dxfId="417" priority="514" operator="equal">
      <formula>"Moderado"</formula>
    </cfRule>
    <cfRule type="cellIs" dxfId="416" priority="515" operator="equal">
      <formula>"Menor"</formula>
    </cfRule>
    <cfRule type="cellIs" dxfId="415" priority="516" operator="equal">
      <formula>"Leve"</formula>
    </cfRule>
  </conditionalFormatting>
  <conditionalFormatting sqref="Q148">
    <cfRule type="cellIs" dxfId="414" priority="508" operator="equal">
      <formula>"Extremo"</formula>
    </cfRule>
    <cfRule type="cellIs" dxfId="413" priority="509" operator="equal">
      <formula>"Alto"</formula>
    </cfRule>
    <cfRule type="cellIs" dxfId="412" priority="510" operator="equal">
      <formula>"Moderado"</formula>
    </cfRule>
    <cfRule type="cellIs" dxfId="411" priority="511" operator="equal">
      <formula>"Bajo"</formula>
    </cfRule>
  </conditionalFormatting>
  <conditionalFormatting sqref="N148:N150">
    <cfRule type="containsText" dxfId="410" priority="507" operator="containsText" text="❌">
      <formula>NOT(ISERROR(SEARCH("❌",N148)))</formula>
    </cfRule>
  </conditionalFormatting>
  <conditionalFormatting sqref="AB148:AB150">
    <cfRule type="cellIs" dxfId="409" priority="502" operator="equal">
      <formula>"Muy Alta"</formula>
    </cfRule>
    <cfRule type="cellIs" dxfId="408" priority="503" operator="equal">
      <formula>"Alta"</formula>
    </cfRule>
    <cfRule type="cellIs" dxfId="407" priority="504" operator="equal">
      <formula>"Media"</formula>
    </cfRule>
    <cfRule type="cellIs" dxfId="406" priority="505" operator="equal">
      <formula>"Baja"</formula>
    </cfRule>
    <cfRule type="cellIs" dxfId="405" priority="506" operator="equal">
      <formula>"Muy Baja"</formula>
    </cfRule>
  </conditionalFormatting>
  <conditionalFormatting sqref="AD148:AD150">
    <cfRule type="cellIs" dxfId="404" priority="497" operator="equal">
      <formula>"Catastrófico"</formula>
    </cfRule>
    <cfRule type="cellIs" dxfId="403" priority="498" operator="equal">
      <formula>"Mayor"</formula>
    </cfRule>
    <cfRule type="cellIs" dxfId="402" priority="499" operator="equal">
      <formula>"Moderado"</formula>
    </cfRule>
    <cfRule type="cellIs" dxfId="401" priority="500" operator="equal">
      <formula>"Menor"</formula>
    </cfRule>
    <cfRule type="cellIs" dxfId="400" priority="501" operator="equal">
      <formula>"Leve"</formula>
    </cfRule>
  </conditionalFormatting>
  <conditionalFormatting sqref="AF148:AF150">
    <cfRule type="cellIs" dxfId="399" priority="493" operator="equal">
      <formula>"Extremo"</formula>
    </cfRule>
    <cfRule type="cellIs" dxfId="398" priority="494" operator="equal">
      <formula>"Alto"</formula>
    </cfRule>
    <cfRule type="cellIs" dxfId="397" priority="495" operator="equal">
      <formula>"Moderado"</formula>
    </cfRule>
    <cfRule type="cellIs" dxfId="396" priority="496" operator="equal">
      <formula>"Bajo"</formula>
    </cfRule>
  </conditionalFormatting>
  <conditionalFormatting sqref="N148:N150">
    <cfRule type="containsText" dxfId="395" priority="492" operator="containsText" text="❌">
      <formula>NOT(ISERROR(SEARCH("❌",N148)))</formula>
    </cfRule>
  </conditionalFormatting>
  <conditionalFormatting sqref="AB151">
    <cfRule type="cellIs" dxfId="394" priority="487" operator="equal">
      <formula>"Muy Alta"</formula>
    </cfRule>
    <cfRule type="cellIs" dxfId="393" priority="488" operator="equal">
      <formula>"Alta"</formula>
    </cfRule>
    <cfRule type="cellIs" dxfId="392" priority="489" operator="equal">
      <formula>"Media"</formula>
    </cfRule>
    <cfRule type="cellIs" dxfId="391" priority="490" operator="equal">
      <formula>"Baja"</formula>
    </cfRule>
    <cfRule type="cellIs" dxfId="390" priority="491" operator="equal">
      <formula>"Muy Baja"</formula>
    </cfRule>
  </conditionalFormatting>
  <conditionalFormatting sqref="AD151">
    <cfRule type="cellIs" dxfId="389" priority="482" operator="equal">
      <formula>"Catastrófico"</formula>
    </cfRule>
    <cfRule type="cellIs" dxfId="388" priority="483" operator="equal">
      <formula>"Mayor"</formula>
    </cfRule>
    <cfRule type="cellIs" dxfId="387" priority="484" operator="equal">
      <formula>"Moderado"</formula>
    </cfRule>
    <cfRule type="cellIs" dxfId="386" priority="485" operator="equal">
      <formula>"Menor"</formula>
    </cfRule>
    <cfRule type="cellIs" dxfId="385" priority="486" operator="equal">
      <formula>"Leve"</formula>
    </cfRule>
  </conditionalFormatting>
  <conditionalFormatting sqref="AF151">
    <cfRule type="cellIs" dxfId="384" priority="478" operator="equal">
      <formula>"Extremo"</formula>
    </cfRule>
    <cfRule type="cellIs" dxfId="383" priority="479" operator="equal">
      <formula>"Alto"</formula>
    </cfRule>
    <cfRule type="cellIs" dxfId="382" priority="480" operator="equal">
      <formula>"Moderado"</formula>
    </cfRule>
    <cfRule type="cellIs" dxfId="381" priority="481" operator="equal">
      <formula>"Bajo"</formula>
    </cfRule>
  </conditionalFormatting>
  <conditionalFormatting sqref="AB152">
    <cfRule type="cellIs" dxfId="380" priority="473" operator="equal">
      <formula>"Muy Alta"</formula>
    </cfRule>
    <cfRule type="cellIs" dxfId="379" priority="474" operator="equal">
      <formula>"Alta"</formula>
    </cfRule>
    <cfRule type="cellIs" dxfId="378" priority="475" operator="equal">
      <formula>"Media"</formula>
    </cfRule>
    <cfRule type="cellIs" dxfId="377" priority="476" operator="equal">
      <formula>"Baja"</formula>
    </cfRule>
    <cfRule type="cellIs" dxfId="376" priority="477" operator="equal">
      <formula>"Muy Baja"</formula>
    </cfRule>
  </conditionalFormatting>
  <conditionalFormatting sqref="AD152">
    <cfRule type="cellIs" dxfId="375" priority="468" operator="equal">
      <formula>"Catastrófico"</formula>
    </cfRule>
    <cfRule type="cellIs" dxfId="374" priority="469" operator="equal">
      <formula>"Mayor"</formula>
    </cfRule>
    <cfRule type="cellIs" dxfId="373" priority="470" operator="equal">
      <formula>"Moderado"</formula>
    </cfRule>
    <cfRule type="cellIs" dxfId="372" priority="471" operator="equal">
      <formula>"Menor"</formula>
    </cfRule>
    <cfRule type="cellIs" dxfId="371" priority="472" operator="equal">
      <formula>"Leve"</formula>
    </cfRule>
  </conditionalFormatting>
  <conditionalFormatting sqref="AF152">
    <cfRule type="cellIs" dxfId="370" priority="464" operator="equal">
      <formula>"Extremo"</formula>
    </cfRule>
    <cfRule type="cellIs" dxfId="369" priority="465" operator="equal">
      <formula>"Alto"</formula>
    </cfRule>
    <cfRule type="cellIs" dxfId="368" priority="466" operator="equal">
      <formula>"Moderado"</formula>
    </cfRule>
    <cfRule type="cellIs" dxfId="367" priority="467" operator="equal">
      <formula>"Bajo"</formula>
    </cfRule>
  </conditionalFormatting>
  <conditionalFormatting sqref="AB153">
    <cfRule type="cellIs" dxfId="366" priority="459" operator="equal">
      <formula>"Muy Alta"</formula>
    </cfRule>
    <cfRule type="cellIs" dxfId="365" priority="460" operator="equal">
      <formula>"Alta"</formula>
    </cfRule>
    <cfRule type="cellIs" dxfId="364" priority="461" operator="equal">
      <formula>"Media"</formula>
    </cfRule>
    <cfRule type="cellIs" dxfId="363" priority="462" operator="equal">
      <formula>"Baja"</formula>
    </cfRule>
    <cfRule type="cellIs" dxfId="362" priority="463" operator="equal">
      <formula>"Muy Baja"</formula>
    </cfRule>
  </conditionalFormatting>
  <conditionalFormatting sqref="AD153">
    <cfRule type="cellIs" dxfId="361" priority="454" operator="equal">
      <formula>"Catastrófico"</formula>
    </cfRule>
    <cfRule type="cellIs" dxfId="360" priority="455" operator="equal">
      <formula>"Mayor"</formula>
    </cfRule>
    <cfRule type="cellIs" dxfId="359" priority="456" operator="equal">
      <formula>"Moderado"</formula>
    </cfRule>
    <cfRule type="cellIs" dxfId="358" priority="457" operator="equal">
      <formula>"Menor"</formula>
    </cfRule>
    <cfRule type="cellIs" dxfId="357" priority="458" operator="equal">
      <formula>"Leve"</formula>
    </cfRule>
  </conditionalFormatting>
  <conditionalFormatting sqref="AF153">
    <cfRule type="cellIs" dxfId="356" priority="450" operator="equal">
      <formula>"Extremo"</formula>
    </cfRule>
    <cfRule type="cellIs" dxfId="355" priority="451" operator="equal">
      <formula>"Alto"</formula>
    </cfRule>
    <cfRule type="cellIs" dxfId="354" priority="452" operator="equal">
      <formula>"Moderado"</formula>
    </cfRule>
    <cfRule type="cellIs" dxfId="353" priority="453" operator="equal">
      <formula>"Bajo"</formula>
    </cfRule>
  </conditionalFormatting>
  <conditionalFormatting sqref="K151">
    <cfRule type="cellIs" dxfId="352" priority="445" operator="equal">
      <formula>"Muy Alta"</formula>
    </cfRule>
    <cfRule type="cellIs" dxfId="351" priority="446" operator="equal">
      <formula>"Alta"</formula>
    </cfRule>
    <cfRule type="cellIs" dxfId="350" priority="447" operator="equal">
      <formula>"Media"</formula>
    </cfRule>
    <cfRule type="cellIs" dxfId="349" priority="448" operator="equal">
      <formula>"Baja"</formula>
    </cfRule>
    <cfRule type="cellIs" dxfId="348" priority="449" operator="equal">
      <formula>"Muy Baja"</formula>
    </cfRule>
  </conditionalFormatting>
  <conditionalFormatting sqref="O151">
    <cfRule type="cellIs" dxfId="347" priority="440" operator="equal">
      <formula>"Catastrófico"</formula>
    </cfRule>
    <cfRule type="cellIs" dxfId="346" priority="441" operator="equal">
      <formula>"Mayor"</formula>
    </cfRule>
    <cfRule type="cellIs" dxfId="345" priority="442" operator="equal">
      <formula>"Moderado"</formula>
    </cfRule>
    <cfRule type="cellIs" dxfId="344" priority="443" operator="equal">
      <formula>"Menor"</formula>
    </cfRule>
    <cfRule type="cellIs" dxfId="343" priority="444" operator="equal">
      <formula>"Leve"</formula>
    </cfRule>
  </conditionalFormatting>
  <conditionalFormatting sqref="Q151">
    <cfRule type="cellIs" dxfId="342" priority="436" operator="equal">
      <formula>"Extremo"</formula>
    </cfRule>
    <cfRule type="cellIs" dxfId="341" priority="437" operator="equal">
      <formula>"Alto"</formula>
    </cfRule>
    <cfRule type="cellIs" dxfId="340" priority="438" operator="equal">
      <formula>"Moderado"</formula>
    </cfRule>
    <cfRule type="cellIs" dxfId="339" priority="439" operator="equal">
      <formula>"Bajo"</formula>
    </cfRule>
  </conditionalFormatting>
  <conditionalFormatting sqref="N151:N153">
    <cfRule type="containsText" dxfId="338" priority="435" operator="containsText" text="❌">
      <formula>NOT(ISERROR(SEARCH("❌",N151)))</formula>
    </cfRule>
  </conditionalFormatting>
  <conditionalFormatting sqref="AB151:AB153">
    <cfRule type="cellIs" dxfId="337" priority="430" operator="equal">
      <formula>"Muy Alta"</formula>
    </cfRule>
    <cfRule type="cellIs" dxfId="336" priority="431" operator="equal">
      <formula>"Alta"</formula>
    </cfRule>
    <cfRule type="cellIs" dxfId="335" priority="432" operator="equal">
      <formula>"Media"</formula>
    </cfRule>
    <cfRule type="cellIs" dxfId="334" priority="433" operator="equal">
      <formula>"Baja"</formula>
    </cfRule>
    <cfRule type="cellIs" dxfId="333" priority="434" operator="equal">
      <formula>"Muy Baja"</formula>
    </cfRule>
  </conditionalFormatting>
  <conditionalFormatting sqref="AD151:AD153">
    <cfRule type="cellIs" dxfId="332" priority="425" operator="equal">
      <formula>"Catastrófico"</formula>
    </cfRule>
    <cfRule type="cellIs" dxfId="331" priority="426" operator="equal">
      <formula>"Mayor"</formula>
    </cfRule>
    <cfRule type="cellIs" dxfId="330" priority="427" operator="equal">
      <formula>"Moderado"</formula>
    </cfRule>
    <cfRule type="cellIs" dxfId="329" priority="428" operator="equal">
      <formula>"Menor"</formula>
    </cfRule>
    <cfRule type="cellIs" dxfId="328" priority="429" operator="equal">
      <formula>"Leve"</formula>
    </cfRule>
  </conditionalFormatting>
  <conditionalFormatting sqref="AF151:AF153">
    <cfRule type="cellIs" dxfId="327" priority="421" operator="equal">
      <formula>"Extremo"</formula>
    </cfRule>
    <cfRule type="cellIs" dxfId="326" priority="422" operator="equal">
      <formula>"Alto"</formula>
    </cfRule>
    <cfRule type="cellIs" dxfId="325" priority="423" operator="equal">
      <formula>"Moderado"</formula>
    </cfRule>
    <cfRule type="cellIs" dxfId="324" priority="424" operator="equal">
      <formula>"Bajo"</formula>
    </cfRule>
  </conditionalFormatting>
  <conditionalFormatting sqref="N151:N153">
    <cfRule type="containsText" dxfId="323" priority="420" operator="containsText" text="❌">
      <formula>NOT(ISERROR(SEARCH("❌",N151)))</formula>
    </cfRule>
  </conditionalFormatting>
  <conditionalFormatting sqref="AB154">
    <cfRule type="cellIs" dxfId="322" priority="415" operator="equal">
      <formula>"Muy Alta"</formula>
    </cfRule>
    <cfRule type="cellIs" dxfId="321" priority="416" operator="equal">
      <formula>"Alta"</formula>
    </cfRule>
    <cfRule type="cellIs" dxfId="320" priority="417" operator="equal">
      <formula>"Media"</formula>
    </cfRule>
    <cfRule type="cellIs" dxfId="319" priority="418" operator="equal">
      <formula>"Baja"</formula>
    </cfRule>
    <cfRule type="cellIs" dxfId="318" priority="419" operator="equal">
      <formula>"Muy Baja"</formula>
    </cfRule>
  </conditionalFormatting>
  <conditionalFormatting sqref="AD154">
    <cfRule type="cellIs" dxfId="317" priority="410" operator="equal">
      <formula>"Catastrófico"</formula>
    </cfRule>
    <cfRule type="cellIs" dxfId="316" priority="411" operator="equal">
      <formula>"Mayor"</formula>
    </cfRule>
    <cfRule type="cellIs" dxfId="315" priority="412" operator="equal">
      <formula>"Moderado"</formula>
    </cfRule>
    <cfRule type="cellIs" dxfId="314" priority="413" operator="equal">
      <formula>"Menor"</formula>
    </cfRule>
    <cfRule type="cellIs" dxfId="313" priority="414" operator="equal">
      <formula>"Leve"</formula>
    </cfRule>
  </conditionalFormatting>
  <conditionalFormatting sqref="AF154">
    <cfRule type="cellIs" dxfId="312" priority="406" operator="equal">
      <formula>"Extremo"</formula>
    </cfRule>
    <cfRule type="cellIs" dxfId="311" priority="407" operator="equal">
      <formula>"Alto"</formula>
    </cfRule>
    <cfRule type="cellIs" dxfId="310" priority="408" operator="equal">
      <formula>"Moderado"</formula>
    </cfRule>
    <cfRule type="cellIs" dxfId="309" priority="409" operator="equal">
      <formula>"Bajo"</formula>
    </cfRule>
  </conditionalFormatting>
  <conditionalFormatting sqref="AB155">
    <cfRule type="cellIs" dxfId="308" priority="401" operator="equal">
      <formula>"Muy Alta"</formula>
    </cfRule>
    <cfRule type="cellIs" dxfId="307" priority="402" operator="equal">
      <formula>"Alta"</formula>
    </cfRule>
    <cfRule type="cellIs" dxfId="306" priority="403" operator="equal">
      <formula>"Media"</formula>
    </cfRule>
    <cfRule type="cellIs" dxfId="305" priority="404" operator="equal">
      <formula>"Baja"</formula>
    </cfRule>
    <cfRule type="cellIs" dxfId="304" priority="405" operator="equal">
      <formula>"Muy Baja"</formula>
    </cfRule>
  </conditionalFormatting>
  <conditionalFormatting sqref="AD155">
    <cfRule type="cellIs" dxfId="303" priority="396" operator="equal">
      <formula>"Catastrófico"</formula>
    </cfRule>
    <cfRule type="cellIs" dxfId="302" priority="397" operator="equal">
      <formula>"Mayor"</formula>
    </cfRule>
    <cfRule type="cellIs" dxfId="301" priority="398" operator="equal">
      <formula>"Moderado"</formula>
    </cfRule>
    <cfRule type="cellIs" dxfId="300" priority="399" operator="equal">
      <formula>"Menor"</formula>
    </cfRule>
    <cfRule type="cellIs" dxfId="299" priority="400" operator="equal">
      <formula>"Leve"</formula>
    </cfRule>
  </conditionalFormatting>
  <conditionalFormatting sqref="AF155">
    <cfRule type="cellIs" dxfId="298" priority="392" operator="equal">
      <formula>"Extremo"</formula>
    </cfRule>
    <cfRule type="cellIs" dxfId="297" priority="393" operator="equal">
      <formula>"Alto"</formula>
    </cfRule>
    <cfRule type="cellIs" dxfId="296" priority="394" operator="equal">
      <formula>"Moderado"</formula>
    </cfRule>
    <cfRule type="cellIs" dxfId="295" priority="395" operator="equal">
      <formula>"Bajo"</formula>
    </cfRule>
  </conditionalFormatting>
  <conditionalFormatting sqref="AB156">
    <cfRule type="cellIs" dxfId="294" priority="387" operator="equal">
      <formula>"Muy Alta"</formula>
    </cfRule>
    <cfRule type="cellIs" dxfId="293" priority="388" operator="equal">
      <formula>"Alta"</formula>
    </cfRule>
    <cfRule type="cellIs" dxfId="292" priority="389" operator="equal">
      <formula>"Media"</formula>
    </cfRule>
    <cfRule type="cellIs" dxfId="291" priority="390" operator="equal">
      <formula>"Baja"</formula>
    </cfRule>
    <cfRule type="cellIs" dxfId="290" priority="391" operator="equal">
      <formula>"Muy Baja"</formula>
    </cfRule>
  </conditionalFormatting>
  <conditionalFormatting sqref="AD156">
    <cfRule type="cellIs" dxfId="289" priority="382" operator="equal">
      <formula>"Catastrófico"</formula>
    </cfRule>
    <cfRule type="cellIs" dxfId="288" priority="383" operator="equal">
      <formula>"Mayor"</formula>
    </cfRule>
    <cfRule type="cellIs" dxfId="287" priority="384" operator="equal">
      <formula>"Moderado"</formula>
    </cfRule>
    <cfRule type="cellIs" dxfId="286" priority="385" operator="equal">
      <formula>"Menor"</formula>
    </cfRule>
    <cfRule type="cellIs" dxfId="285" priority="386" operator="equal">
      <formula>"Leve"</formula>
    </cfRule>
  </conditionalFormatting>
  <conditionalFormatting sqref="AF156">
    <cfRule type="cellIs" dxfId="284" priority="378" operator="equal">
      <formula>"Extremo"</formula>
    </cfRule>
    <cfRule type="cellIs" dxfId="283" priority="379" operator="equal">
      <formula>"Alto"</formula>
    </cfRule>
    <cfRule type="cellIs" dxfId="282" priority="380" operator="equal">
      <formula>"Moderado"</formula>
    </cfRule>
    <cfRule type="cellIs" dxfId="281" priority="381" operator="equal">
      <formula>"Bajo"</formula>
    </cfRule>
  </conditionalFormatting>
  <conditionalFormatting sqref="K154">
    <cfRule type="cellIs" dxfId="280" priority="373" operator="equal">
      <formula>"Muy Alta"</formula>
    </cfRule>
    <cfRule type="cellIs" dxfId="279" priority="374" operator="equal">
      <formula>"Alta"</formula>
    </cfRule>
    <cfRule type="cellIs" dxfId="278" priority="375" operator="equal">
      <formula>"Media"</formula>
    </cfRule>
    <cfRule type="cellIs" dxfId="277" priority="376" operator="equal">
      <formula>"Baja"</formula>
    </cfRule>
    <cfRule type="cellIs" dxfId="276" priority="377" operator="equal">
      <formula>"Muy Baja"</formula>
    </cfRule>
  </conditionalFormatting>
  <conditionalFormatting sqref="O154">
    <cfRule type="cellIs" dxfId="275" priority="368" operator="equal">
      <formula>"Catastrófico"</formula>
    </cfRule>
    <cfRule type="cellIs" dxfId="274" priority="369" operator="equal">
      <formula>"Mayor"</formula>
    </cfRule>
    <cfRule type="cellIs" dxfId="273" priority="370" operator="equal">
      <formula>"Moderado"</formula>
    </cfRule>
    <cfRule type="cellIs" dxfId="272" priority="371" operator="equal">
      <formula>"Menor"</formula>
    </cfRule>
    <cfRule type="cellIs" dxfId="271" priority="372" operator="equal">
      <formula>"Leve"</formula>
    </cfRule>
  </conditionalFormatting>
  <conditionalFormatting sqref="Q154">
    <cfRule type="cellIs" dxfId="270" priority="364" operator="equal">
      <formula>"Extremo"</formula>
    </cfRule>
    <cfRule type="cellIs" dxfId="269" priority="365" operator="equal">
      <formula>"Alto"</formula>
    </cfRule>
    <cfRule type="cellIs" dxfId="268" priority="366" operator="equal">
      <formula>"Moderado"</formula>
    </cfRule>
    <cfRule type="cellIs" dxfId="267" priority="367" operator="equal">
      <formula>"Bajo"</formula>
    </cfRule>
  </conditionalFormatting>
  <conditionalFormatting sqref="N154:N156">
    <cfRule type="containsText" dxfId="266" priority="363" operator="containsText" text="❌">
      <formula>NOT(ISERROR(SEARCH("❌",N154)))</formula>
    </cfRule>
  </conditionalFormatting>
  <conditionalFormatting sqref="AB154:AB156">
    <cfRule type="cellIs" dxfId="265" priority="358" operator="equal">
      <formula>"Muy Alta"</formula>
    </cfRule>
    <cfRule type="cellIs" dxfId="264" priority="359" operator="equal">
      <formula>"Alta"</formula>
    </cfRule>
    <cfRule type="cellIs" dxfId="263" priority="360" operator="equal">
      <formula>"Media"</formula>
    </cfRule>
    <cfRule type="cellIs" dxfId="262" priority="361" operator="equal">
      <formula>"Baja"</formula>
    </cfRule>
    <cfRule type="cellIs" dxfId="261" priority="362" operator="equal">
      <formula>"Muy Baja"</formula>
    </cfRule>
  </conditionalFormatting>
  <conditionalFormatting sqref="AD154:AD156">
    <cfRule type="cellIs" dxfId="260" priority="353" operator="equal">
      <formula>"Catastrófico"</formula>
    </cfRule>
    <cfRule type="cellIs" dxfId="259" priority="354" operator="equal">
      <formula>"Mayor"</formula>
    </cfRule>
    <cfRule type="cellIs" dxfId="258" priority="355" operator="equal">
      <formula>"Moderado"</formula>
    </cfRule>
    <cfRule type="cellIs" dxfId="257" priority="356" operator="equal">
      <formula>"Menor"</formula>
    </cfRule>
    <cfRule type="cellIs" dxfId="256" priority="357" operator="equal">
      <formula>"Leve"</formula>
    </cfRule>
  </conditionalFormatting>
  <conditionalFormatting sqref="AF154:AF156">
    <cfRule type="cellIs" dxfId="255" priority="349" operator="equal">
      <formula>"Extremo"</formula>
    </cfRule>
    <cfRule type="cellIs" dxfId="254" priority="350" operator="equal">
      <formula>"Alto"</formula>
    </cfRule>
    <cfRule type="cellIs" dxfId="253" priority="351" operator="equal">
      <formula>"Moderado"</formula>
    </cfRule>
    <cfRule type="cellIs" dxfId="252" priority="352" operator="equal">
      <formula>"Bajo"</formula>
    </cfRule>
  </conditionalFormatting>
  <conditionalFormatting sqref="N154:N156">
    <cfRule type="containsText" dxfId="251" priority="348" operator="containsText" text="❌">
      <formula>NOT(ISERROR(SEARCH("❌",N154)))</formula>
    </cfRule>
  </conditionalFormatting>
  <conditionalFormatting sqref="AB17">
    <cfRule type="cellIs" dxfId="250" priority="343" operator="equal">
      <formula>"Muy Alta"</formula>
    </cfRule>
    <cfRule type="cellIs" dxfId="249" priority="344" operator="equal">
      <formula>"Alta"</formula>
    </cfRule>
    <cfRule type="cellIs" dxfId="248" priority="345" operator="equal">
      <formula>"Media"</formula>
    </cfRule>
    <cfRule type="cellIs" dxfId="247" priority="346" operator="equal">
      <formula>"Baja"</formula>
    </cfRule>
    <cfRule type="cellIs" dxfId="246" priority="347" operator="equal">
      <formula>"Muy Baja"</formula>
    </cfRule>
  </conditionalFormatting>
  <conditionalFormatting sqref="AD17">
    <cfRule type="cellIs" dxfId="245" priority="338" operator="equal">
      <formula>"Catastrófico"</formula>
    </cfRule>
    <cfRule type="cellIs" dxfId="244" priority="339" operator="equal">
      <formula>"Mayor"</formula>
    </cfRule>
    <cfRule type="cellIs" dxfId="243" priority="340" operator="equal">
      <formula>"Moderado"</formula>
    </cfRule>
    <cfRule type="cellIs" dxfId="242" priority="341" operator="equal">
      <formula>"Menor"</formula>
    </cfRule>
    <cfRule type="cellIs" dxfId="241" priority="342" operator="equal">
      <formula>"Leve"</formula>
    </cfRule>
  </conditionalFormatting>
  <conditionalFormatting sqref="AF17">
    <cfRule type="cellIs" dxfId="240" priority="334" operator="equal">
      <formula>"Extremo"</formula>
    </cfRule>
    <cfRule type="cellIs" dxfId="239" priority="335" operator="equal">
      <formula>"Alto"</formula>
    </cfRule>
    <cfRule type="cellIs" dxfId="238" priority="336" operator="equal">
      <formula>"Moderado"</formula>
    </cfRule>
    <cfRule type="cellIs" dxfId="237" priority="337" operator="equal">
      <formula>"Bajo"</formula>
    </cfRule>
  </conditionalFormatting>
  <conditionalFormatting sqref="AB18">
    <cfRule type="cellIs" dxfId="236" priority="329" operator="equal">
      <formula>"Muy Alta"</formula>
    </cfRule>
    <cfRule type="cellIs" dxfId="235" priority="330" operator="equal">
      <formula>"Alta"</formula>
    </cfRule>
    <cfRule type="cellIs" dxfId="234" priority="331" operator="equal">
      <formula>"Media"</formula>
    </cfRule>
    <cfRule type="cellIs" dxfId="233" priority="332" operator="equal">
      <formula>"Baja"</formula>
    </cfRule>
    <cfRule type="cellIs" dxfId="232" priority="333" operator="equal">
      <formula>"Muy Baja"</formula>
    </cfRule>
  </conditionalFormatting>
  <conditionalFormatting sqref="AD18">
    <cfRule type="cellIs" dxfId="231" priority="324" operator="equal">
      <formula>"Catastrófico"</formula>
    </cfRule>
    <cfRule type="cellIs" dxfId="230" priority="325" operator="equal">
      <formula>"Mayor"</formula>
    </cfRule>
    <cfRule type="cellIs" dxfId="229" priority="326" operator="equal">
      <formula>"Moderado"</formula>
    </cfRule>
    <cfRule type="cellIs" dxfId="228" priority="327" operator="equal">
      <formula>"Menor"</formula>
    </cfRule>
    <cfRule type="cellIs" dxfId="227" priority="328" operator="equal">
      <formula>"Leve"</formula>
    </cfRule>
  </conditionalFormatting>
  <conditionalFormatting sqref="AF18">
    <cfRule type="cellIs" dxfId="226" priority="320" operator="equal">
      <formula>"Extremo"</formula>
    </cfRule>
    <cfRule type="cellIs" dxfId="225" priority="321" operator="equal">
      <formula>"Alto"</formula>
    </cfRule>
    <cfRule type="cellIs" dxfId="224" priority="322" operator="equal">
      <formula>"Moderado"</formula>
    </cfRule>
    <cfRule type="cellIs" dxfId="223" priority="323" operator="equal">
      <formula>"Bajo"</formula>
    </cfRule>
  </conditionalFormatting>
  <conditionalFormatting sqref="AB20">
    <cfRule type="cellIs" dxfId="222" priority="315" operator="equal">
      <formula>"Muy Alta"</formula>
    </cfRule>
    <cfRule type="cellIs" dxfId="221" priority="316" operator="equal">
      <formula>"Alta"</formula>
    </cfRule>
    <cfRule type="cellIs" dxfId="220" priority="317" operator="equal">
      <formula>"Media"</formula>
    </cfRule>
    <cfRule type="cellIs" dxfId="219" priority="318" operator="equal">
      <formula>"Baja"</formula>
    </cfRule>
    <cfRule type="cellIs" dxfId="218" priority="319" operator="equal">
      <formula>"Muy Baja"</formula>
    </cfRule>
  </conditionalFormatting>
  <conditionalFormatting sqref="AD20">
    <cfRule type="cellIs" dxfId="217" priority="310" operator="equal">
      <formula>"Catastrófico"</formula>
    </cfRule>
    <cfRule type="cellIs" dxfId="216" priority="311" operator="equal">
      <formula>"Mayor"</formula>
    </cfRule>
    <cfRule type="cellIs" dxfId="215" priority="312" operator="equal">
      <formula>"Moderado"</formula>
    </cfRule>
    <cfRule type="cellIs" dxfId="214" priority="313" operator="equal">
      <formula>"Menor"</formula>
    </cfRule>
    <cfRule type="cellIs" dxfId="213" priority="314" operator="equal">
      <formula>"Leve"</formula>
    </cfRule>
  </conditionalFormatting>
  <conditionalFormatting sqref="AF20">
    <cfRule type="cellIs" dxfId="212" priority="306" operator="equal">
      <formula>"Extremo"</formula>
    </cfRule>
    <cfRule type="cellIs" dxfId="211" priority="307" operator="equal">
      <formula>"Alto"</formula>
    </cfRule>
    <cfRule type="cellIs" dxfId="210" priority="308" operator="equal">
      <formula>"Moderado"</formula>
    </cfRule>
    <cfRule type="cellIs" dxfId="209" priority="309" operator="equal">
      <formula>"Bajo"</formula>
    </cfRule>
  </conditionalFormatting>
  <conditionalFormatting sqref="AB21">
    <cfRule type="cellIs" dxfId="208" priority="301" operator="equal">
      <formula>"Muy Alta"</formula>
    </cfRule>
    <cfRule type="cellIs" dxfId="207" priority="302" operator="equal">
      <formula>"Alta"</formula>
    </cfRule>
    <cfRule type="cellIs" dxfId="206" priority="303" operator="equal">
      <formula>"Media"</formula>
    </cfRule>
    <cfRule type="cellIs" dxfId="205" priority="304" operator="equal">
      <formula>"Baja"</formula>
    </cfRule>
    <cfRule type="cellIs" dxfId="204" priority="305" operator="equal">
      <formula>"Muy Baja"</formula>
    </cfRule>
  </conditionalFormatting>
  <conditionalFormatting sqref="AD21">
    <cfRule type="cellIs" dxfId="203" priority="296" operator="equal">
      <formula>"Catastrófico"</formula>
    </cfRule>
    <cfRule type="cellIs" dxfId="202" priority="297" operator="equal">
      <formula>"Mayor"</formula>
    </cfRule>
    <cfRule type="cellIs" dxfId="201" priority="298" operator="equal">
      <formula>"Moderado"</formula>
    </cfRule>
    <cfRule type="cellIs" dxfId="200" priority="299" operator="equal">
      <formula>"Menor"</formula>
    </cfRule>
    <cfRule type="cellIs" dxfId="199" priority="300" operator="equal">
      <formula>"Leve"</formula>
    </cfRule>
  </conditionalFormatting>
  <conditionalFormatting sqref="AF21">
    <cfRule type="cellIs" dxfId="198" priority="292" operator="equal">
      <formula>"Extremo"</formula>
    </cfRule>
    <cfRule type="cellIs" dxfId="197" priority="293" operator="equal">
      <formula>"Alto"</formula>
    </cfRule>
    <cfRule type="cellIs" dxfId="196" priority="294" operator="equal">
      <formula>"Moderado"</formula>
    </cfRule>
    <cfRule type="cellIs" dxfId="195" priority="295" operator="equal">
      <formula>"Bajo"</formula>
    </cfRule>
  </conditionalFormatting>
  <conditionalFormatting sqref="O7">
    <cfRule type="cellIs" dxfId="194" priority="287" operator="equal">
      <formula>"Catastrófico"</formula>
    </cfRule>
    <cfRule type="cellIs" dxfId="193" priority="288" operator="equal">
      <formula>"Mayor"</formula>
    </cfRule>
    <cfRule type="cellIs" dxfId="192" priority="289" operator="equal">
      <formula>"Moderado"</formula>
    </cfRule>
    <cfRule type="cellIs" dxfId="191" priority="290" operator="equal">
      <formula>"Menor"</formula>
    </cfRule>
    <cfRule type="cellIs" dxfId="190" priority="291" operator="equal">
      <formula>"Leve"</formula>
    </cfRule>
  </conditionalFormatting>
  <conditionalFormatting sqref="AB85">
    <cfRule type="cellIs" dxfId="189" priority="210" operator="equal">
      <formula>"Muy Alta"</formula>
    </cfRule>
    <cfRule type="cellIs" dxfId="188" priority="211" operator="equal">
      <formula>"Alta"</formula>
    </cfRule>
    <cfRule type="cellIs" dxfId="187" priority="212" operator="equal">
      <formula>"Media"</formula>
    </cfRule>
    <cfRule type="cellIs" dxfId="186" priority="213" operator="equal">
      <formula>"Baja"</formula>
    </cfRule>
    <cfRule type="cellIs" dxfId="185" priority="214" operator="equal">
      <formula>"Muy Baja"</formula>
    </cfRule>
  </conditionalFormatting>
  <conditionalFormatting sqref="AD85">
    <cfRule type="cellIs" dxfId="184" priority="205" operator="equal">
      <formula>"Catastrófico"</formula>
    </cfRule>
    <cfRule type="cellIs" dxfId="183" priority="206" operator="equal">
      <formula>"Mayor"</formula>
    </cfRule>
    <cfRule type="cellIs" dxfId="182" priority="207" operator="equal">
      <formula>"Moderado"</formula>
    </cfRule>
    <cfRule type="cellIs" dxfId="181" priority="208" operator="equal">
      <formula>"Menor"</formula>
    </cfRule>
    <cfRule type="cellIs" dxfId="180" priority="209" operator="equal">
      <formula>"Leve"</formula>
    </cfRule>
  </conditionalFormatting>
  <conditionalFormatting sqref="AF85">
    <cfRule type="cellIs" dxfId="179" priority="201" operator="equal">
      <formula>"Extremo"</formula>
    </cfRule>
    <cfRule type="cellIs" dxfId="178" priority="202" operator="equal">
      <formula>"Alto"</formula>
    </cfRule>
    <cfRule type="cellIs" dxfId="177" priority="203" operator="equal">
      <formula>"Moderado"</formula>
    </cfRule>
    <cfRule type="cellIs" dxfId="176" priority="204" operator="equal">
      <formula>"Bajo"</formula>
    </cfRule>
  </conditionalFormatting>
  <conditionalFormatting sqref="K85">
    <cfRule type="cellIs" dxfId="175" priority="168" operator="equal">
      <formula>"Muy Alta"</formula>
    </cfRule>
    <cfRule type="cellIs" dxfId="174" priority="169" operator="equal">
      <formula>"Alta"</formula>
    </cfRule>
    <cfRule type="cellIs" dxfId="173" priority="170" operator="equal">
      <formula>"Media"</formula>
    </cfRule>
    <cfRule type="cellIs" dxfId="172" priority="171" operator="equal">
      <formula>"Baja"</formula>
    </cfRule>
    <cfRule type="cellIs" dxfId="171" priority="172" operator="equal">
      <formula>"Muy Baja"</formula>
    </cfRule>
  </conditionalFormatting>
  <conditionalFormatting sqref="AB86">
    <cfRule type="cellIs" dxfId="170" priority="196" operator="equal">
      <formula>"Muy Alta"</formula>
    </cfRule>
    <cfRule type="cellIs" dxfId="169" priority="197" operator="equal">
      <formula>"Alta"</formula>
    </cfRule>
    <cfRule type="cellIs" dxfId="168" priority="198" operator="equal">
      <formula>"Media"</formula>
    </cfRule>
    <cfRule type="cellIs" dxfId="167" priority="199" operator="equal">
      <formula>"Baja"</formula>
    </cfRule>
    <cfRule type="cellIs" dxfId="166" priority="200" operator="equal">
      <formula>"Muy Baja"</formula>
    </cfRule>
  </conditionalFormatting>
  <conditionalFormatting sqref="AD86">
    <cfRule type="cellIs" dxfId="165" priority="191" operator="equal">
      <formula>"Catastrófico"</formula>
    </cfRule>
    <cfRule type="cellIs" dxfId="164" priority="192" operator="equal">
      <formula>"Mayor"</formula>
    </cfRule>
    <cfRule type="cellIs" dxfId="163" priority="193" operator="equal">
      <formula>"Moderado"</formula>
    </cfRule>
    <cfRule type="cellIs" dxfId="162" priority="194" operator="equal">
      <formula>"Menor"</formula>
    </cfRule>
    <cfRule type="cellIs" dxfId="161" priority="195" operator="equal">
      <formula>"Leve"</formula>
    </cfRule>
  </conditionalFormatting>
  <conditionalFormatting sqref="AF86">
    <cfRule type="cellIs" dxfId="160" priority="187" operator="equal">
      <formula>"Extremo"</formula>
    </cfRule>
    <cfRule type="cellIs" dxfId="159" priority="188" operator="equal">
      <formula>"Alto"</formula>
    </cfRule>
    <cfRule type="cellIs" dxfId="158" priority="189" operator="equal">
      <formula>"Moderado"</formula>
    </cfRule>
    <cfRule type="cellIs" dxfId="157" priority="190" operator="equal">
      <formula>"Bajo"</formula>
    </cfRule>
  </conditionalFormatting>
  <conditionalFormatting sqref="AB87">
    <cfRule type="cellIs" dxfId="156" priority="182" operator="equal">
      <formula>"Muy Alta"</formula>
    </cfRule>
    <cfRule type="cellIs" dxfId="155" priority="183" operator="equal">
      <formula>"Alta"</formula>
    </cfRule>
    <cfRule type="cellIs" dxfId="154" priority="184" operator="equal">
      <formula>"Media"</formula>
    </cfRule>
    <cfRule type="cellIs" dxfId="153" priority="185" operator="equal">
      <formula>"Baja"</formula>
    </cfRule>
    <cfRule type="cellIs" dxfId="152" priority="186" operator="equal">
      <formula>"Muy Baja"</formula>
    </cfRule>
  </conditionalFormatting>
  <conditionalFormatting sqref="AD87">
    <cfRule type="cellIs" dxfId="151" priority="177" operator="equal">
      <formula>"Catastrófico"</formula>
    </cfRule>
    <cfRule type="cellIs" dxfId="150" priority="178" operator="equal">
      <formula>"Mayor"</formula>
    </cfRule>
    <cfRule type="cellIs" dxfId="149" priority="179" operator="equal">
      <formula>"Moderado"</formula>
    </cfRule>
    <cfRule type="cellIs" dxfId="148" priority="180" operator="equal">
      <formula>"Menor"</formula>
    </cfRule>
    <cfRule type="cellIs" dxfId="147" priority="181" operator="equal">
      <formula>"Leve"</formula>
    </cfRule>
  </conditionalFormatting>
  <conditionalFormatting sqref="AF87">
    <cfRule type="cellIs" dxfId="146" priority="173" operator="equal">
      <formula>"Extremo"</formula>
    </cfRule>
    <cfRule type="cellIs" dxfId="145" priority="174" operator="equal">
      <formula>"Alto"</formula>
    </cfRule>
    <cfRule type="cellIs" dxfId="144" priority="175" operator="equal">
      <formula>"Moderado"</formula>
    </cfRule>
    <cfRule type="cellIs" dxfId="143" priority="176" operator="equal">
      <formula>"Bajo"</formula>
    </cfRule>
  </conditionalFormatting>
  <conditionalFormatting sqref="O85">
    <cfRule type="cellIs" dxfId="142" priority="163" operator="equal">
      <formula>"Catastrófico"</formula>
    </cfRule>
    <cfRule type="cellIs" dxfId="141" priority="164" operator="equal">
      <formula>"Mayor"</formula>
    </cfRule>
    <cfRule type="cellIs" dxfId="140" priority="165" operator="equal">
      <formula>"Moderado"</formula>
    </cfRule>
    <cfRule type="cellIs" dxfId="139" priority="166" operator="equal">
      <formula>"Menor"</formula>
    </cfRule>
    <cfRule type="cellIs" dxfId="138" priority="167" operator="equal">
      <formula>"Leve"</formula>
    </cfRule>
  </conditionalFormatting>
  <conditionalFormatting sqref="Q85">
    <cfRule type="cellIs" dxfId="137" priority="159" operator="equal">
      <formula>"Extremo"</formula>
    </cfRule>
    <cfRule type="cellIs" dxfId="136" priority="160" operator="equal">
      <formula>"Alto"</formula>
    </cfRule>
    <cfRule type="cellIs" dxfId="135" priority="161" operator="equal">
      <formula>"Moderado"</formula>
    </cfRule>
    <cfRule type="cellIs" dxfId="134" priority="162" operator="equal">
      <formula>"Bajo"</formula>
    </cfRule>
  </conditionalFormatting>
  <conditionalFormatting sqref="N85:N87">
    <cfRule type="containsText" dxfId="133" priority="158" operator="containsText" text="❌">
      <formula>NOT(ISERROR(SEARCH("❌",N85)))</formula>
    </cfRule>
  </conditionalFormatting>
  <conditionalFormatting sqref="AB101:AB102">
    <cfRule type="cellIs" dxfId="132" priority="153" operator="equal">
      <formula>"Muy Alta"</formula>
    </cfRule>
    <cfRule type="cellIs" dxfId="131" priority="154" operator="equal">
      <formula>"Alta"</formula>
    </cfRule>
    <cfRule type="cellIs" dxfId="130" priority="155" operator="equal">
      <formula>"Media"</formula>
    </cfRule>
    <cfRule type="cellIs" dxfId="129" priority="156" operator="equal">
      <formula>"Baja"</formula>
    </cfRule>
    <cfRule type="cellIs" dxfId="128" priority="157" operator="equal">
      <formula>"Muy Baja"</formula>
    </cfRule>
  </conditionalFormatting>
  <conditionalFormatting sqref="AD101:AD102">
    <cfRule type="cellIs" dxfId="127" priority="148" operator="equal">
      <formula>"Catastrófico"</formula>
    </cfRule>
    <cfRule type="cellIs" dxfId="126" priority="149" operator="equal">
      <formula>"Mayor"</formula>
    </cfRule>
    <cfRule type="cellIs" dxfId="125" priority="150" operator="equal">
      <formula>"Moderado"</formula>
    </cfRule>
    <cfRule type="cellIs" dxfId="124" priority="151" operator="equal">
      <formula>"Menor"</formula>
    </cfRule>
    <cfRule type="cellIs" dxfId="123" priority="152" operator="equal">
      <formula>"Leve"</formula>
    </cfRule>
  </conditionalFormatting>
  <conditionalFormatting sqref="AF101:AF102">
    <cfRule type="cellIs" dxfId="122" priority="144" operator="equal">
      <formula>"Extremo"</formula>
    </cfRule>
    <cfRule type="cellIs" dxfId="121" priority="145" operator="equal">
      <formula>"Alto"</formula>
    </cfRule>
    <cfRule type="cellIs" dxfId="120" priority="146" operator="equal">
      <formula>"Moderado"</formula>
    </cfRule>
    <cfRule type="cellIs" dxfId="119" priority="147" operator="equal">
      <formula>"Bajo"</formula>
    </cfRule>
  </conditionalFormatting>
  <conditionalFormatting sqref="AF99">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9">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9">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103:AB105">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103:AD105">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103:AF105">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103">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103">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103">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103">
    <cfRule type="containsText" dxfId="76" priority="73" operator="containsText" text="❌">
      <formula>NOT(ISERROR(SEARCH("❌",N103)))</formula>
    </cfRule>
  </conditionalFormatting>
  <conditionalFormatting sqref="AB103:AB105">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103:AD105">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103:AF105">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103">
    <cfRule type="containsText" dxfId="61" priority="58" operator="containsText" text="❌">
      <formula>NOT(ISERROR(SEARCH("❌",N103)))</formula>
    </cfRule>
  </conditionalFormatting>
  <conditionalFormatting sqref="AB70">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70">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70">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71">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71">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71">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72">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72">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72">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70">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70">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70">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70:N72">
    <cfRule type="containsText" dxfId="4" priority="1" operator="containsText" text="❌">
      <formula>NOT(ISERROR(SEARCH("❌",N70)))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AM133:AM156 AM16:AM125</xm:sqref>
        </x14:dataValidation>
        <x14:dataValidation type="list" allowBlank="1" showInputMessage="1" showErrorMessage="1">
          <x14:formula1>
            <xm:f>'Opciones Tratamiento'!$B$13:$B$19</xm:f>
          </x14:formula1>
          <xm:sqref>I7 I10 I13 I106 I16 I19 I22 I25 I28 I31 I34 I37 I40 I43 I46 I49 I52 I55 I109 I58 I61 I64 I67 I73 I76 I79 I82 I88 I91 I94 I97:I98 I142 I127 I112 I115 I118 I121 I124 I130 I133 I136 I139 I145 I148 I151 I154 I85 I100:I102 I70</xm:sqref>
        </x14:dataValidation>
        <x14:dataValidation type="list" allowBlank="1" showInputMessage="1" showErrorMessage="1">
          <x14:formula1>
            <xm:f>'Opciones Tratamiento'!$E$2:$E$4</xm:f>
          </x14:formula1>
          <xm:sqref>E7 E10 E13 E106 E16 E19 E22 E25 E28 E31 E34 E37 E40 E43 E46 E49 E52 E55 E109 E58 E61 E64 E67 E73 E76 E79 E82 E88 E91 E94 E97:E98 E142 E127 E112 E115 E118 E121 E124 E130 E133 E136 E139 E145 E148 E151 E154 E85 E100:E102 E70</xm:sqref>
        </x14:dataValidation>
        <x14:dataValidation type="list" allowBlank="1" showInputMessage="1" showErrorMessage="1">
          <x14:formula1>
            <xm:f>'Tabla Impacto'!$F$210:$F$221</xm:f>
          </x14:formula1>
          <xm:sqref>M7 M10 M13 M151 M16 M19 M22 M25 M28 M31 M34 M37 M40 M43 M46 M49 M52 M55 M154 M58 M61 M64 M67 M73 M145 M148 M76 M79 M82 M85 M88 M91 M94 M97:M98 M142 M106 M109 M112 M115 M118 M121 M124 M127 M130 M133 M136 M139 M100 M70</xm:sqref>
        </x14:dataValidation>
        <x14:dataValidation type="list" allowBlank="1" showInputMessage="1" showErrorMessage="1">
          <x14:formula1>
            <xm:f>'Tabla Valoración controles'!$D$4:$D$6</xm:f>
          </x14:formula1>
          <xm:sqref>U106:U156 U100:U102 U7:U98</xm:sqref>
        </x14:dataValidation>
        <x14:dataValidation type="list" allowBlank="1" showInputMessage="1" showErrorMessage="1">
          <x14:formula1>
            <xm:f>'Tabla Valoración controles'!$D$7:$D$8</xm:f>
          </x14:formula1>
          <xm:sqref>V106:V156 V100:V102 V7:V98</xm:sqref>
        </x14:dataValidation>
        <x14:dataValidation type="list" allowBlank="1" showInputMessage="1" showErrorMessage="1">
          <x14:formula1>
            <xm:f>'Tabla Valoración controles'!$D$9:$D$10</xm:f>
          </x14:formula1>
          <xm:sqref>X106:X156 X100:X102 X7:X98</xm:sqref>
        </x14:dataValidation>
        <x14:dataValidation type="list" allowBlank="1" showInputMessage="1" showErrorMessage="1">
          <x14:formula1>
            <xm:f>'Tabla Valoración controles'!$D$11:$D$12</xm:f>
          </x14:formula1>
          <xm:sqref>Y106:Y156 Y100:Y102 Y7:Y98</xm:sqref>
        </x14:dataValidation>
        <x14:dataValidation type="list" allowBlank="1" showInputMessage="1" showErrorMessage="1">
          <x14:formula1>
            <xm:f>'Tabla Valoración controles'!$D$13:$D$14</xm:f>
          </x14:formula1>
          <xm:sqref>Z106:Z156 Z100:Z102 Z7:Z98</xm:sqref>
        </x14:dataValidation>
        <x14:dataValidation type="list" allowBlank="1" showInputMessage="1" showErrorMessage="1">
          <x14:formula1>
            <xm:f>'Opciones Tratamiento'!$B$2:$B$5</xm:f>
          </x14:formula1>
          <xm:sqref>AG106:AG156 AG100:AG102 AG7:AG98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topLeftCell="E1" zoomScale="40" zoomScaleNormal="40" workbookViewId="0">
      <selection activeCell="AJ64" sqref="AJ64:AK65"/>
    </sheetView>
  </sheetViews>
  <sheetFormatPr baseColWidth="10" defaultRowHeight="14.5" x14ac:dyDescent="0.35"/>
  <cols>
    <col min="2" max="9" width="5.7265625" customWidth="1"/>
    <col min="10" max="59" width="8.7265625" customWidth="1"/>
    <col min="61" max="65" width="5.7265625" customWidth="1"/>
    <col min="66" max="66" width="20.7265625" customWidth="1"/>
  </cols>
  <sheetData>
    <row r="1" spans="1:119"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18" customHeight="1" x14ac:dyDescent="0.35">
      <c r="A2" s="56"/>
      <c r="B2" s="469" t="s">
        <v>135</v>
      </c>
      <c r="C2" s="469"/>
      <c r="D2" s="469"/>
      <c r="E2" s="469"/>
      <c r="F2" s="469"/>
      <c r="G2" s="469"/>
      <c r="H2" s="469"/>
      <c r="I2" s="469"/>
      <c r="J2" s="310" t="s">
        <v>2</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1:119" ht="18.75" customHeight="1" x14ac:dyDescent="0.35">
      <c r="A3" s="56"/>
      <c r="B3" s="469"/>
      <c r="C3" s="469"/>
      <c r="D3" s="469"/>
      <c r="E3" s="469"/>
      <c r="F3" s="469"/>
      <c r="G3" s="469"/>
      <c r="H3" s="469"/>
      <c r="I3" s="469"/>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row>
    <row r="4" spans="1:119" ht="15" customHeight="1" x14ac:dyDescent="0.35">
      <c r="A4" s="56"/>
      <c r="B4" s="469"/>
      <c r="C4" s="469"/>
      <c r="D4" s="469"/>
      <c r="E4" s="469"/>
      <c r="F4" s="469"/>
      <c r="G4" s="469"/>
      <c r="H4" s="469"/>
      <c r="I4" s="469"/>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row>
    <row r="5" spans="1:119"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row>
    <row r="6" spans="1:119" ht="15" customHeight="1" x14ac:dyDescent="0.35">
      <c r="A6" s="56"/>
      <c r="B6" s="311" t="s">
        <v>4</v>
      </c>
      <c r="C6" s="311"/>
      <c r="D6" s="312"/>
      <c r="E6" s="470" t="s">
        <v>107</v>
      </c>
      <c r="F6" s="471"/>
      <c r="G6" s="471"/>
      <c r="H6" s="471"/>
      <c r="I6" s="472"/>
      <c r="J6" s="480" t="str">
        <f>IF(AND('Mapa final'!$K$7="Muy Alta",'Mapa final'!$O$7="Leve"),CONCATENATE("R",'Mapa final'!$A$7),"")</f>
        <v/>
      </c>
      <c r="K6" s="481"/>
      <c r="L6" s="481" t="str">
        <f>IF(AND('Mapa final'!$K$10="Muy Alta",'Mapa final'!$O$10="Leve"),CONCATENATE("R",'Mapa final'!$A$10),"")</f>
        <v/>
      </c>
      <c r="M6" s="481"/>
      <c r="N6" s="481" t="str">
        <f>IF(AND('Mapa final'!$K$13="Muy Alta",'Mapa final'!$O$13="Leve"),CONCATENATE("R",'Mapa final'!$A$13),"")</f>
        <v/>
      </c>
      <c r="O6" s="481"/>
      <c r="P6" s="481" t="e">
        <f>IF(AND('Mapa final'!#REF!="Muy Alta",'Mapa final'!#REF!="Leve"),CONCATENATE("R",'Mapa final'!#REF!),"")</f>
        <v>#REF!</v>
      </c>
      <c r="Q6" s="481"/>
      <c r="R6" s="481" t="str">
        <f>IF(AND('Mapa final'!$K$16="Muy Alta",'Mapa final'!$O$16="Leve"),CONCATENATE("R",'Mapa final'!$A$16),"")</f>
        <v/>
      </c>
      <c r="S6" s="481"/>
      <c r="T6" s="499" t="str">
        <f>IF(AND('Mapa final'!$K$7="Muy Alta",'Mapa final'!$O$7="Menor"),CONCATENATE("R",'Mapa final'!$A$7),"")</f>
        <v/>
      </c>
      <c r="U6" s="500"/>
      <c r="V6" s="500" t="str">
        <f>IF(AND('Mapa final'!$K$10="Muy Alta",'Mapa final'!$O$10="Menor"),CONCATENATE("R",'Mapa final'!$A$10),"")</f>
        <v/>
      </c>
      <c r="W6" s="500"/>
      <c r="X6" s="500" t="str">
        <f>IF(AND('Mapa final'!$K$13="Muy Alta",'Mapa final'!$O$13="Menor"),CONCATENATE("R",'Mapa final'!$A$13),"")</f>
        <v/>
      </c>
      <c r="Y6" s="500"/>
      <c r="Z6" s="500" t="e">
        <f>IF(AND('Mapa final'!#REF!="Muy Alta",'Mapa final'!#REF!="Menor"),CONCATENATE("R",'Mapa final'!#REF!),"")</f>
        <v>#REF!</v>
      </c>
      <c r="AA6" s="500"/>
      <c r="AB6" s="500" t="str">
        <f>IF(AND('Mapa final'!$K$16="Muy Alta",'Mapa final'!$O$16="Menor"),CONCATENATE("R",'Mapa final'!$A$16),"")</f>
        <v/>
      </c>
      <c r="AC6" s="501"/>
      <c r="AD6" s="499" t="str">
        <f>IF(AND('Mapa final'!$K$7="Muy Alta",'Mapa final'!$O$7="Moderado"),CONCATENATE("R",'Mapa final'!$A$7),"")</f>
        <v/>
      </c>
      <c r="AE6" s="500"/>
      <c r="AF6" s="500" t="str">
        <f>IF(AND('Mapa final'!$K$10="Muy Alta",'Mapa final'!$O$10="Moderado"),CONCATENATE("R",'Mapa final'!$A$10),"")</f>
        <v/>
      </c>
      <c r="AG6" s="500"/>
      <c r="AH6" s="500" t="str">
        <f>IF(AND('Mapa final'!$K$13="Muy Alta",'Mapa final'!$O$13="Moderado"),CONCATENATE("R",'Mapa final'!$A$13),"")</f>
        <v/>
      </c>
      <c r="AI6" s="500"/>
      <c r="AJ6" s="500" t="e">
        <f>IF(AND('Mapa final'!#REF!="Muy Alta",'Mapa final'!#REF!="Moderado"),CONCATENATE("R",'Mapa final'!#REF!),"")</f>
        <v>#REF!</v>
      </c>
      <c r="AK6" s="500"/>
      <c r="AL6" s="500" t="str">
        <f>IF(AND('Mapa final'!$K$16="Muy Alta",'Mapa final'!$O$16="Moderado"),CONCATENATE("R",'Mapa final'!$A$16),"")</f>
        <v/>
      </c>
      <c r="AM6" s="501"/>
      <c r="AN6" s="499" t="str">
        <f>IF(AND('Mapa final'!$K$7="Muy Alta",'Mapa final'!$O$7="Mayor"),CONCATENATE("R",'Mapa final'!$A$7),"")</f>
        <v/>
      </c>
      <c r="AO6" s="500"/>
      <c r="AP6" s="500" t="str">
        <f>IF(AND('Mapa final'!$K$10="Muy Alta",'Mapa final'!$O$10="Mayor"),CONCATENATE("R",'Mapa final'!$A$10),"")</f>
        <v/>
      </c>
      <c r="AQ6" s="500"/>
      <c r="AR6" s="500" t="str">
        <f>IF(AND('Mapa final'!$K$13="Muy Alta",'Mapa final'!$O$13="Mayor"),CONCATENATE("R",'Mapa final'!$A$13),"")</f>
        <v/>
      </c>
      <c r="AS6" s="500"/>
      <c r="AT6" s="500" t="e">
        <f>IF(AND('Mapa final'!#REF!="Muy Alta",'Mapa final'!#REF!="Mayor"),CONCATENATE("R",'Mapa final'!#REF!),"")</f>
        <v>#REF!</v>
      </c>
      <c r="AU6" s="500"/>
      <c r="AV6" s="500" t="str">
        <f>IF(AND('Mapa final'!$K$16="Muy Alta",'Mapa final'!$O$16="Mayor"),CONCATENATE("R",'Mapa final'!$A$16),"")</f>
        <v/>
      </c>
      <c r="AW6" s="501"/>
      <c r="AX6" s="491" t="str">
        <f>IF(AND('Mapa final'!$K$7="Muy Alta",'Mapa final'!$O$7="Catastrófico"),CONCATENATE("R",'Mapa final'!$A$7),"")</f>
        <v/>
      </c>
      <c r="AY6" s="492"/>
      <c r="AZ6" s="492" t="str">
        <f>IF(AND('Mapa final'!$K$10="Muy Alta",'Mapa final'!$O$10="Catastrófico"),CONCATENATE("R",'Mapa final'!$A$10),"")</f>
        <v/>
      </c>
      <c r="BA6" s="492"/>
      <c r="BB6" s="492" t="str">
        <f>IF(AND('Mapa final'!$K$13="Muy Alta",'Mapa final'!$O$13="Catastrófico"),CONCATENATE("R",'Mapa final'!$A$13),"")</f>
        <v/>
      </c>
      <c r="BC6" s="492"/>
      <c r="BD6" s="492" t="e">
        <f>IF(AND('Mapa final'!#REF!="Muy Alta",'Mapa final'!#REF!="Catastrófico"),CONCATENATE("R",'Mapa final'!#REF!),"")</f>
        <v>#REF!</v>
      </c>
      <c r="BE6" s="492"/>
      <c r="BF6" s="492" t="str">
        <f>IF(AND('Mapa final'!$K$16="Muy Alta",'Mapa final'!$O$16="Catastrófico"),CONCATENATE("R",'Mapa final'!$A$16),"")</f>
        <v/>
      </c>
      <c r="BG6" s="493"/>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row>
    <row r="7" spans="1:119" ht="15" customHeight="1" x14ac:dyDescent="0.35">
      <c r="A7" s="56"/>
      <c r="B7" s="311"/>
      <c r="C7" s="311"/>
      <c r="D7" s="312"/>
      <c r="E7" s="473"/>
      <c r="F7" s="474"/>
      <c r="G7" s="474"/>
      <c r="H7" s="474"/>
      <c r="I7" s="475"/>
      <c r="J7" s="482"/>
      <c r="K7" s="455"/>
      <c r="L7" s="455"/>
      <c r="M7" s="455"/>
      <c r="N7" s="455"/>
      <c r="O7" s="455"/>
      <c r="P7" s="455"/>
      <c r="Q7" s="455"/>
      <c r="R7" s="455"/>
      <c r="S7" s="455"/>
      <c r="T7" s="496"/>
      <c r="U7" s="455"/>
      <c r="V7" s="455"/>
      <c r="W7" s="455"/>
      <c r="X7" s="455"/>
      <c r="Y7" s="455"/>
      <c r="Z7" s="455"/>
      <c r="AA7" s="455"/>
      <c r="AB7" s="455"/>
      <c r="AC7" s="495"/>
      <c r="AD7" s="496"/>
      <c r="AE7" s="455"/>
      <c r="AF7" s="455"/>
      <c r="AG7" s="455"/>
      <c r="AH7" s="455"/>
      <c r="AI7" s="455"/>
      <c r="AJ7" s="455"/>
      <c r="AK7" s="455"/>
      <c r="AL7" s="455"/>
      <c r="AM7" s="495"/>
      <c r="AN7" s="496"/>
      <c r="AO7" s="455"/>
      <c r="AP7" s="455"/>
      <c r="AQ7" s="455"/>
      <c r="AR7" s="455"/>
      <c r="AS7" s="455"/>
      <c r="AT7" s="455"/>
      <c r="AU7" s="455"/>
      <c r="AV7" s="455"/>
      <c r="AW7" s="495"/>
      <c r="AX7" s="487"/>
      <c r="AY7" s="485"/>
      <c r="AZ7" s="485"/>
      <c r="BA7" s="485"/>
      <c r="BB7" s="485"/>
      <c r="BC7" s="485"/>
      <c r="BD7" s="485"/>
      <c r="BE7" s="485"/>
      <c r="BF7" s="485"/>
      <c r="BG7" s="48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row>
    <row r="8" spans="1:119" ht="15" customHeight="1" x14ac:dyDescent="0.35">
      <c r="A8" s="56"/>
      <c r="B8" s="311"/>
      <c r="C8" s="311"/>
      <c r="D8" s="312"/>
      <c r="E8" s="473"/>
      <c r="F8" s="474"/>
      <c r="G8" s="474"/>
      <c r="H8" s="474"/>
      <c r="I8" s="475"/>
      <c r="J8" s="482" t="str">
        <f>IF(AND('Mapa final'!$K$19="Muy Alta",'Mapa final'!$O$19="Leve"),CONCATENATE("R",'Mapa final'!$A$19),"")</f>
        <v/>
      </c>
      <c r="K8" s="455"/>
      <c r="L8" s="455" t="str">
        <f>IF(AND('Mapa final'!$K$22="Muy Alta",'Mapa final'!$O$22="Leve"),CONCATENATE("R",'Mapa final'!$A$22),"")</f>
        <v/>
      </c>
      <c r="M8" s="455"/>
      <c r="N8" s="455" t="str">
        <f>IF(AND('Mapa final'!$K$25="Muy Alta",'Mapa final'!$O$25="Leve"),CONCATENATE("R",'Mapa final'!$A$25),"")</f>
        <v/>
      </c>
      <c r="O8" s="455"/>
      <c r="P8" s="455" t="str">
        <f>IF(AND('Mapa final'!$K$28="Muy Alta",'Mapa final'!$O$28="Leve"),CONCATENATE("R",'Mapa final'!$A$28),"")</f>
        <v/>
      </c>
      <c r="Q8" s="455"/>
      <c r="R8" s="455" t="str">
        <f>IF(AND('Mapa final'!$K$31="Muy Alta",'Mapa final'!$O$31="Leve"),CONCATENATE("R",'Mapa final'!$A$31),"")</f>
        <v/>
      </c>
      <c r="S8" s="455"/>
      <c r="T8" s="496" t="str">
        <f>IF(AND('Mapa final'!$K$19="Muy Alta",'Mapa final'!$O$19="Menor"),CONCATENATE("R",'Mapa final'!$A$19),"")</f>
        <v/>
      </c>
      <c r="U8" s="455"/>
      <c r="V8" s="455" t="str">
        <f>IF(AND('Mapa final'!$K$22="Muy Alta",'Mapa final'!$O$22="Menor"),CONCATENATE("R",'Mapa final'!$A$22),"")</f>
        <v/>
      </c>
      <c r="W8" s="455"/>
      <c r="X8" s="455" t="str">
        <f>IF(AND('Mapa final'!$K$25="Muy Alta",'Mapa final'!$O$25="Menor"),CONCATENATE("R",'Mapa final'!$A$25),"")</f>
        <v/>
      </c>
      <c r="Y8" s="455"/>
      <c r="Z8" s="455" t="str">
        <f>IF(AND('Mapa final'!$K$28="Muy Alta",'Mapa final'!$O$28="Menor"),CONCATENATE("R",'Mapa final'!$A$28),"")</f>
        <v/>
      </c>
      <c r="AA8" s="455"/>
      <c r="AB8" s="455" t="str">
        <f>IF(AND('Mapa final'!$K$31="Muy Alta",'Mapa final'!$O$31="Menor"),CONCATENATE("R",'Mapa final'!$A$31),"")</f>
        <v/>
      </c>
      <c r="AC8" s="495"/>
      <c r="AD8" s="496" t="str">
        <f>IF(AND('Mapa final'!$K$19="Muy Alta",'Mapa final'!$O$19="Moderado"),CONCATENATE("R",'Mapa final'!$A$19),"")</f>
        <v/>
      </c>
      <c r="AE8" s="455"/>
      <c r="AF8" s="455" t="str">
        <f>IF(AND('Mapa final'!$K$22="Muy Alta",'Mapa final'!$O$22="Moderado"),CONCATENATE("R",'Mapa final'!$A$22),"")</f>
        <v/>
      </c>
      <c r="AG8" s="455"/>
      <c r="AH8" s="455" t="str">
        <f>IF(AND('Mapa final'!$K$25="Muy Alta",'Mapa final'!$O$25="Moderado"),CONCATENATE("R",'Mapa final'!$A$25),"")</f>
        <v/>
      </c>
      <c r="AI8" s="455"/>
      <c r="AJ8" s="455" t="str">
        <f>IF(AND('Mapa final'!$K$28="Muy Alta",'Mapa final'!$O$28="Moderado"),CONCATENATE("R",'Mapa final'!$A$28),"")</f>
        <v/>
      </c>
      <c r="AK8" s="455"/>
      <c r="AL8" s="455" t="str">
        <f>IF(AND('Mapa final'!$K$31="Muy Alta",'Mapa final'!$O$31="Moderado"),CONCATENATE("R",'Mapa final'!$A$31),"")</f>
        <v/>
      </c>
      <c r="AM8" s="495"/>
      <c r="AN8" s="496" t="str">
        <f>IF(AND('Mapa final'!$K$19="Muy Alta",'Mapa final'!$O$19="Mayor"),CONCATENATE("R",'Mapa final'!$A$19),"")</f>
        <v/>
      </c>
      <c r="AO8" s="455"/>
      <c r="AP8" s="455" t="str">
        <f>IF(AND('Mapa final'!$K$22="Muy Alta",'Mapa final'!$O$22="Mayor"),CONCATENATE("R",'Mapa final'!$A$22),"")</f>
        <v/>
      </c>
      <c r="AQ8" s="455"/>
      <c r="AR8" s="455" t="str">
        <f>IF(AND('Mapa final'!$K$25="Muy Alta",'Mapa final'!$O$25="Mayor"),CONCATENATE("R",'Mapa final'!$A$25),"")</f>
        <v/>
      </c>
      <c r="AS8" s="455"/>
      <c r="AT8" s="455" t="str">
        <f>IF(AND('Mapa final'!$K$28="Muy Alta",'Mapa final'!$O$28="Mayor"),CONCATENATE("R",'Mapa final'!$A$28),"")</f>
        <v/>
      </c>
      <c r="AU8" s="455"/>
      <c r="AV8" s="455" t="str">
        <f>IF(AND('Mapa final'!$K$31="Muy Alta",'Mapa final'!$O$31="Mayor"),CONCATENATE("R",'Mapa final'!$A$31),"")</f>
        <v/>
      </c>
      <c r="AW8" s="495"/>
      <c r="AX8" s="487" t="str">
        <f>IF(AND('Mapa final'!$K$19="Muy Alta",'Mapa final'!$O$19="Catastrófico"),CONCATENATE("R",'Mapa final'!$A$19),"")</f>
        <v/>
      </c>
      <c r="AY8" s="485"/>
      <c r="AZ8" s="485" t="str">
        <f>IF(AND('Mapa final'!$K$22="Muy Alta",'Mapa final'!$O$22="Catastrófico"),CONCATENATE("R",'Mapa final'!$A$22),"")</f>
        <v/>
      </c>
      <c r="BA8" s="485"/>
      <c r="BB8" s="485" t="str">
        <f>IF(AND('Mapa final'!$K$25="Muy Alta",'Mapa final'!$O$25="Catastrófico"),CONCATENATE("R",'Mapa final'!$A$25),"")</f>
        <v/>
      </c>
      <c r="BC8" s="485"/>
      <c r="BD8" s="485" t="str">
        <f>IF(AND('Mapa final'!$K$28="Muy Alta",'Mapa final'!$O$28="Catastrófico"),CONCATENATE("R",'Mapa final'!$A$28),"")</f>
        <v/>
      </c>
      <c r="BE8" s="485"/>
      <c r="BF8" s="485" t="str">
        <f>IF(AND('Mapa final'!$K$31="Muy Alta",'Mapa final'!$O$31="Catastrófico"),CONCATENATE("R",'Mapa final'!$A$31),"")</f>
        <v/>
      </c>
      <c r="BG8" s="48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19" ht="15" customHeight="1" x14ac:dyDescent="0.35">
      <c r="A9" s="56"/>
      <c r="B9" s="311"/>
      <c r="C9" s="311"/>
      <c r="D9" s="312"/>
      <c r="E9" s="473"/>
      <c r="F9" s="474"/>
      <c r="G9" s="474"/>
      <c r="H9" s="474"/>
      <c r="I9" s="475"/>
      <c r="J9" s="482"/>
      <c r="K9" s="455"/>
      <c r="L9" s="455"/>
      <c r="M9" s="455"/>
      <c r="N9" s="455"/>
      <c r="O9" s="455"/>
      <c r="P9" s="455"/>
      <c r="Q9" s="455"/>
      <c r="R9" s="455"/>
      <c r="S9" s="455"/>
      <c r="T9" s="496"/>
      <c r="U9" s="455"/>
      <c r="V9" s="455"/>
      <c r="W9" s="455"/>
      <c r="X9" s="455"/>
      <c r="Y9" s="455"/>
      <c r="Z9" s="455"/>
      <c r="AA9" s="455"/>
      <c r="AB9" s="455"/>
      <c r="AC9" s="495"/>
      <c r="AD9" s="496"/>
      <c r="AE9" s="455"/>
      <c r="AF9" s="455"/>
      <c r="AG9" s="455"/>
      <c r="AH9" s="455"/>
      <c r="AI9" s="455"/>
      <c r="AJ9" s="455"/>
      <c r="AK9" s="455"/>
      <c r="AL9" s="455"/>
      <c r="AM9" s="495"/>
      <c r="AN9" s="496"/>
      <c r="AO9" s="455"/>
      <c r="AP9" s="455"/>
      <c r="AQ9" s="455"/>
      <c r="AR9" s="455"/>
      <c r="AS9" s="455"/>
      <c r="AT9" s="455"/>
      <c r="AU9" s="455"/>
      <c r="AV9" s="455"/>
      <c r="AW9" s="495"/>
      <c r="AX9" s="487"/>
      <c r="AY9" s="485"/>
      <c r="AZ9" s="485"/>
      <c r="BA9" s="485"/>
      <c r="BB9" s="485"/>
      <c r="BC9" s="485"/>
      <c r="BD9" s="485"/>
      <c r="BE9" s="485"/>
      <c r="BF9" s="485"/>
      <c r="BG9" s="48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19" ht="15" customHeight="1" x14ac:dyDescent="0.35">
      <c r="A10" s="56"/>
      <c r="B10" s="311"/>
      <c r="C10" s="311"/>
      <c r="D10" s="312"/>
      <c r="E10" s="473"/>
      <c r="F10" s="474"/>
      <c r="G10" s="474"/>
      <c r="H10" s="474"/>
      <c r="I10" s="475"/>
      <c r="J10" s="482" t="str">
        <f>IF(AND('Mapa final'!$K$34="Muy Alta",'Mapa final'!$O$34="Leve"),CONCATENATE("R",'Mapa final'!$A$34),"")</f>
        <v/>
      </c>
      <c r="K10" s="455"/>
      <c r="L10" s="455" t="str">
        <f>IF(AND('Mapa final'!$K$37="Muy Alta",'Mapa final'!$O$37="Leve"),CONCATENATE("R",'Mapa final'!$A$37),"")</f>
        <v/>
      </c>
      <c r="M10" s="455"/>
      <c r="N10" s="455" t="str">
        <f>IF(AND('Mapa final'!$K$40="Muy Alta",'Mapa final'!$O$40="Leve"),CONCATENATE("R",'Mapa final'!$A$40),"")</f>
        <v/>
      </c>
      <c r="O10" s="455"/>
      <c r="P10" s="455" t="str">
        <f>IF(AND('Mapa final'!$K$43="Muy Alta",'Mapa final'!$O$43="Leve"),CONCATENATE("R",'Mapa final'!$A$43),"")</f>
        <v/>
      </c>
      <c r="Q10" s="455"/>
      <c r="R10" s="455" t="str">
        <f>IF(AND('Mapa final'!$K$46="Muy Alta",'Mapa final'!$O$46="Leve"),CONCATENATE("R",'Mapa final'!$A$46),"")</f>
        <v/>
      </c>
      <c r="S10" s="455"/>
      <c r="T10" s="496" t="str">
        <f>IF(AND('Mapa final'!$K$34="Muy Alta",'Mapa final'!$O$34="Menor"),CONCATENATE("R",'Mapa final'!$A$34),"")</f>
        <v/>
      </c>
      <c r="U10" s="455"/>
      <c r="V10" s="455" t="str">
        <f>IF(AND('Mapa final'!$K$37="Muy Alta",'Mapa final'!$O$37="Menor"),CONCATENATE("R",'Mapa final'!$A$37),"")</f>
        <v/>
      </c>
      <c r="W10" s="455"/>
      <c r="X10" s="455" t="str">
        <f>IF(AND('Mapa final'!$K$40="Muy Alta",'Mapa final'!$O$40="Menor"),CONCATENATE("R",'Mapa final'!$A$40),"")</f>
        <v/>
      </c>
      <c r="Y10" s="455"/>
      <c r="Z10" s="455" t="str">
        <f>IF(AND('Mapa final'!$K$43="Muy Alta",'Mapa final'!$O$43="Menor"),CONCATENATE("R",'Mapa final'!$A$43),"")</f>
        <v/>
      </c>
      <c r="AA10" s="455"/>
      <c r="AB10" s="455" t="str">
        <f>IF(AND('Mapa final'!$K$46="Muy Alta",'Mapa final'!$O$46="Menor"),CONCATENATE("R",'Mapa final'!$A$46),"")</f>
        <v/>
      </c>
      <c r="AC10" s="495"/>
      <c r="AD10" s="496" t="str">
        <f>IF(AND('Mapa final'!$K$34="Muy Alta",'Mapa final'!$O$34="Moderado"),CONCATENATE("R",'Mapa final'!$A$34),"")</f>
        <v/>
      </c>
      <c r="AE10" s="455"/>
      <c r="AF10" s="455" t="str">
        <f>IF(AND('Mapa final'!$K$37="Muy Alta",'Mapa final'!$O$37="Moderado"),CONCATENATE("R",'Mapa final'!$A$37),"")</f>
        <v/>
      </c>
      <c r="AG10" s="455"/>
      <c r="AH10" s="455" t="str">
        <f>IF(AND('Mapa final'!$K$40="Muy Alta",'Mapa final'!$O$40="Moderado"),CONCATENATE("R",'Mapa final'!$A$40),"")</f>
        <v/>
      </c>
      <c r="AI10" s="455"/>
      <c r="AJ10" s="455" t="str">
        <f>IF(AND('Mapa final'!$K$43="Muy Alta",'Mapa final'!$O$43="Moderado"),CONCATENATE("R",'Mapa final'!$A$43),"")</f>
        <v/>
      </c>
      <c r="AK10" s="455"/>
      <c r="AL10" s="455" t="str">
        <f>IF(AND('Mapa final'!$K$46="Muy Alta",'Mapa final'!$O$46="Moderado"),CONCATENATE("R",'Mapa final'!$A$46),"")</f>
        <v/>
      </c>
      <c r="AM10" s="495"/>
      <c r="AN10" s="496" t="str">
        <f>IF(AND('Mapa final'!$K$34="Muy Alta",'Mapa final'!$O$34="Mayor"),CONCATENATE("R",'Mapa final'!$A$34),"")</f>
        <v/>
      </c>
      <c r="AO10" s="455"/>
      <c r="AP10" s="455" t="str">
        <f>IF(AND('Mapa final'!$K$37="Muy Alta",'Mapa final'!$O$37="Mayor"),CONCATENATE("R",'Mapa final'!$A$37),"")</f>
        <v/>
      </c>
      <c r="AQ10" s="455"/>
      <c r="AR10" s="455" t="str">
        <f>IF(AND('Mapa final'!$K$40="Muy Alta",'Mapa final'!$O$40="Mayor"),CONCATENATE("R",'Mapa final'!$A$40),"")</f>
        <v/>
      </c>
      <c r="AS10" s="455"/>
      <c r="AT10" s="455" t="str">
        <f>IF(AND('Mapa final'!$K$43="Muy Alta",'Mapa final'!$O$43="Mayor"),CONCATENATE("R",'Mapa final'!$A$43),"")</f>
        <v/>
      </c>
      <c r="AU10" s="455"/>
      <c r="AV10" s="455" t="str">
        <f>IF(AND('Mapa final'!$K$46="Muy Alta",'Mapa final'!$O$46="Mayor"),CONCATENATE("R",'Mapa final'!$A$46),"")</f>
        <v/>
      </c>
      <c r="AW10" s="495"/>
      <c r="AX10" s="487" t="str">
        <f>IF(AND('Mapa final'!$K$34="Muy Alta",'Mapa final'!$O$34="Catastrófico"),CONCATENATE("R",'Mapa final'!$A$34),"")</f>
        <v/>
      </c>
      <c r="AY10" s="485"/>
      <c r="AZ10" s="485" t="str">
        <f>IF(AND('Mapa final'!$K$37="Muy Alta",'Mapa final'!$O$37="Catastrófico"),CONCATENATE("R",'Mapa final'!$A$37),"")</f>
        <v/>
      </c>
      <c r="BA10" s="485"/>
      <c r="BB10" s="485" t="str">
        <f>IF(AND('Mapa final'!$K$40="Muy Alta",'Mapa final'!$O$40="Catastrófico"),CONCATENATE("R",'Mapa final'!$A$40),"")</f>
        <v/>
      </c>
      <c r="BC10" s="485"/>
      <c r="BD10" s="485" t="str">
        <f>IF(AND('Mapa final'!$K$43="Muy Alta",'Mapa final'!$O$43="Catastrófico"),CONCATENATE("R",'Mapa final'!$A$43),"")</f>
        <v/>
      </c>
      <c r="BE10" s="485"/>
      <c r="BF10" s="485" t="str">
        <f>IF(AND('Mapa final'!$K$46="Muy Alta",'Mapa final'!$O$46="Catastrófico"),CONCATENATE("R",'Mapa final'!$A$46),"")</f>
        <v/>
      </c>
      <c r="BG10" s="48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19" ht="15" customHeight="1" x14ac:dyDescent="0.35">
      <c r="A11" s="56"/>
      <c r="B11" s="311"/>
      <c r="C11" s="311"/>
      <c r="D11" s="312"/>
      <c r="E11" s="473"/>
      <c r="F11" s="474"/>
      <c r="G11" s="474"/>
      <c r="H11" s="474"/>
      <c r="I11" s="475"/>
      <c r="J11" s="482"/>
      <c r="K11" s="455"/>
      <c r="L11" s="455"/>
      <c r="M11" s="455"/>
      <c r="N11" s="455"/>
      <c r="O11" s="455"/>
      <c r="P11" s="455"/>
      <c r="Q11" s="455"/>
      <c r="R11" s="455"/>
      <c r="S11" s="455"/>
      <c r="T11" s="496"/>
      <c r="U11" s="455"/>
      <c r="V11" s="455"/>
      <c r="W11" s="455"/>
      <c r="X11" s="455"/>
      <c r="Y11" s="455"/>
      <c r="Z11" s="455"/>
      <c r="AA11" s="455"/>
      <c r="AB11" s="455"/>
      <c r="AC11" s="495"/>
      <c r="AD11" s="496"/>
      <c r="AE11" s="455"/>
      <c r="AF11" s="455"/>
      <c r="AG11" s="455"/>
      <c r="AH11" s="455"/>
      <c r="AI11" s="455"/>
      <c r="AJ11" s="455"/>
      <c r="AK11" s="455"/>
      <c r="AL11" s="455"/>
      <c r="AM11" s="495"/>
      <c r="AN11" s="496"/>
      <c r="AO11" s="455"/>
      <c r="AP11" s="455"/>
      <c r="AQ11" s="455"/>
      <c r="AR11" s="455"/>
      <c r="AS11" s="455"/>
      <c r="AT11" s="455"/>
      <c r="AU11" s="455"/>
      <c r="AV11" s="455"/>
      <c r="AW11" s="495"/>
      <c r="AX11" s="487"/>
      <c r="AY11" s="485"/>
      <c r="AZ11" s="485"/>
      <c r="BA11" s="485"/>
      <c r="BB11" s="485"/>
      <c r="BC11" s="485"/>
      <c r="BD11" s="485"/>
      <c r="BE11" s="485"/>
      <c r="BF11" s="485"/>
      <c r="BG11" s="48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row>
    <row r="12" spans="1:119" ht="15" customHeight="1" x14ac:dyDescent="0.35">
      <c r="A12" s="56"/>
      <c r="B12" s="311"/>
      <c r="C12" s="311"/>
      <c r="D12" s="312"/>
      <c r="E12" s="473"/>
      <c r="F12" s="474"/>
      <c r="G12" s="474"/>
      <c r="H12" s="474"/>
      <c r="I12" s="475"/>
      <c r="J12" s="455" t="str">
        <f>IF(AND('Mapa final'!$K$49="Muy Alta",'Mapa final'!$O$49="Leve"),CONCATENATE("R",'Mapa final'!$A$49),"")</f>
        <v/>
      </c>
      <c r="K12" s="455"/>
      <c r="L12" s="455" t="str">
        <f>IF(AND('Mapa final'!$K$52="Muy Alta",'Mapa final'!$O$52="Leve"),CONCATENATE("R",'Mapa final'!$A$52),"")</f>
        <v/>
      </c>
      <c r="M12" s="455"/>
      <c r="N12" s="455" t="str">
        <f>IF(AND('Mapa final'!$K$55="Muy Alta",'Mapa final'!$O$55="Leve"),CONCATENATE("R",'Mapa final'!$A$55),"")</f>
        <v/>
      </c>
      <c r="O12" s="455"/>
      <c r="P12" s="455" t="str">
        <f>IF(AND('Mapa final'!$K$58="Muy Alta",'Mapa final'!$O$58="Leve"),CONCATENATE("R",'Mapa final'!$A$58),"")</f>
        <v/>
      </c>
      <c r="Q12" s="455"/>
      <c r="R12" s="455" t="str">
        <f>IF(AND('Mapa final'!$K$61="Muy Alta",'Mapa final'!$O$61="Leve"),CONCATENATE("R",'Mapa final'!$A$61),"")</f>
        <v/>
      </c>
      <c r="S12" s="455"/>
      <c r="T12" s="496" t="str">
        <f>IF(AND('Mapa final'!$K$49="Muy Alta",'Mapa final'!$O$49="Menor"),CONCATENATE("R",'Mapa final'!$A$49),"")</f>
        <v/>
      </c>
      <c r="U12" s="455"/>
      <c r="V12" s="455" t="str">
        <f>IF(AND('Mapa final'!$K$52="Muy Alta",'Mapa final'!$O$52="Menor"),CONCATENATE("R",'Mapa final'!$A$52),"")</f>
        <v/>
      </c>
      <c r="W12" s="455"/>
      <c r="X12" s="455" t="str">
        <f>IF(AND('Mapa final'!$K$55="Muy Alta",'Mapa final'!$O$55="Menor"),CONCATENATE("R",'Mapa final'!$A$55),"")</f>
        <v/>
      </c>
      <c r="Y12" s="455"/>
      <c r="Z12" s="455" t="str">
        <f>IF(AND('Mapa final'!$K$58="Muy Alta",'Mapa final'!$O$58="Menor"),CONCATENATE("R",'Mapa final'!$A$58),"")</f>
        <v/>
      </c>
      <c r="AA12" s="455"/>
      <c r="AB12" s="455" t="str">
        <f>IF(AND('Mapa final'!$K$61="Muy Alta",'Mapa final'!$O$61="Menor"),CONCATENATE("R",'Mapa final'!$A$61),"")</f>
        <v/>
      </c>
      <c r="AC12" s="495"/>
      <c r="AD12" s="496" t="str">
        <f>IF(AND('Mapa final'!$K$49="Muy Alta",'Mapa final'!$O$49="Moderado"),CONCATENATE("R",'Mapa final'!$A$49),"")</f>
        <v/>
      </c>
      <c r="AE12" s="455"/>
      <c r="AF12" s="455" t="str">
        <f>IF(AND('Mapa final'!$K$52="Muy Alta",'Mapa final'!$O$52="Moderado"),CONCATENATE("R",'Mapa final'!$A$52),"")</f>
        <v/>
      </c>
      <c r="AG12" s="455"/>
      <c r="AH12" s="455" t="str">
        <f>IF(AND('Mapa final'!$K$55="Muy Alta",'Mapa final'!$O$55="Moderado"),CONCATENATE("R",'Mapa final'!$A$55),"")</f>
        <v/>
      </c>
      <c r="AI12" s="455"/>
      <c r="AJ12" s="455" t="str">
        <f>IF(AND('Mapa final'!$K$58="Muy Alta",'Mapa final'!$O$58="Moderado"),CONCATENATE("R",'Mapa final'!$A$58),"")</f>
        <v/>
      </c>
      <c r="AK12" s="455"/>
      <c r="AL12" s="455" t="str">
        <f>IF(AND('Mapa final'!$K$61="Muy Alta",'Mapa final'!$O$61="Moderado"),CONCATENATE("R",'Mapa final'!$A$61),"")</f>
        <v/>
      </c>
      <c r="AM12" s="495"/>
      <c r="AN12" s="496" t="str">
        <f>IF(AND('Mapa final'!$K$49="Muy Alta",'Mapa final'!$O$49="Mayor"),CONCATENATE("R",'Mapa final'!$A$49),"")</f>
        <v/>
      </c>
      <c r="AO12" s="455"/>
      <c r="AP12" s="455" t="str">
        <f>IF(AND('Mapa final'!$K$52="Muy Alta",'Mapa final'!$O$52="Mayor"),CONCATENATE("R",'Mapa final'!$A$52),"")</f>
        <v>R16</v>
      </c>
      <c r="AQ12" s="455"/>
      <c r="AR12" s="455" t="str">
        <f>IF(AND('Mapa final'!$K$55="Muy Alta",'Mapa final'!$O$55="Mayor"),CONCATENATE("R",'Mapa final'!$A$55),"")</f>
        <v/>
      </c>
      <c r="AS12" s="455"/>
      <c r="AT12" s="455" t="str">
        <f>IF(AND('Mapa final'!$K$58="Muy Alta",'Mapa final'!$O$58="Mayor"),CONCATENATE("R",'Mapa final'!$A$58),"")</f>
        <v/>
      </c>
      <c r="AU12" s="455"/>
      <c r="AV12" s="455" t="str">
        <f>IF(AND('Mapa final'!$K$61="Muy Alta",'Mapa final'!$O$61="Mayor"),CONCATENATE("R",'Mapa final'!$A$61),"")</f>
        <v/>
      </c>
      <c r="AW12" s="495"/>
      <c r="AX12" s="487" t="str">
        <f>IF(AND('Mapa final'!$K$49="Muy Alta",'Mapa final'!$O$49="Catastrófico"),CONCATENATE("R",'Mapa final'!$A$49),"")</f>
        <v/>
      </c>
      <c r="AY12" s="485"/>
      <c r="AZ12" s="485" t="str">
        <f>IF(AND('Mapa final'!$K$52="Muy Alta",'Mapa final'!$O$52="Catastrófico"),CONCATENATE("R",'Mapa final'!$A$52),"")</f>
        <v/>
      </c>
      <c r="BA12" s="485"/>
      <c r="BB12" s="485" t="str">
        <f>IF(AND('Mapa final'!$K$55="Muy Alta",'Mapa final'!$O$55="Catastrófico"),CONCATENATE("R",'Mapa final'!$A$55),"")</f>
        <v/>
      </c>
      <c r="BC12" s="485"/>
      <c r="BD12" s="485" t="str">
        <f>IF(AND('Mapa final'!$K$58="Muy Alta",'Mapa final'!$O$58="Catastrófico"),CONCATENATE("R",'Mapa final'!$A$58),"")</f>
        <v/>
      </c>
      <c r="BE12" s="485"/>
      <c r="BF12" s="485" t="str">
        <f>IF(AND('Mapa final'!$K$61="Muy Alta",'Mapa final'!$O$61="Catastrófico"),CONCATENATE("R",'Mapa final'!$A$61),"")</f>
        <v/>
      </c>
      <c r="BG12" s="48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row>
    <row r="13" spans="1:119" ht="15" customHeight="1" thickBot="1" x14ac:dyDescent="0.4">
      <c r="A13" s="56"/>
      <c r="B13" s="311"/>
      <c r="C13" s="311"/>
      <c r="D13" s="312"/>
      <c r="E13" s="473"/>
      <c r="F13" s="474"/>
      <c r="G13" s="474"/>
      <c r="H13" s="474"/>
      <c r="I13" s="475"/>
      <c r="J13" s="455"/>
      <c r="K13" s="455"/>
      <c r="L13" s="455"/>
      <c r="M13" s="455"/>
      <c r="N13" s="455"/>
      <c r="O13" s="455"/>
      <c r="P13" s="455"/>
      <c r="Q13" s="455"/>
      <c r="R13" s="455"/>
      <c r="S13" s="455"/>
      <c r="T13" s="496"/>
      <c r="U13" s="455"/>
      <c r="V13" s="455"/>
      <c r="W13" s="455"/>
      <c r="X13" s="455"/>
      <c r="Y13" s="455"/>
      <c r="Z13" s="455"/>
      <c r="AA13" s="455"/>
      <c r="AB13" s="455"/>
      <c r="AC13" s="495"/>
      <c r="AD13" s="496"/>
      <c r="AE13" s="455"/>
      <c r="AF13" s="455"/>
      <c r="AG13" s="455"/>
      <c r="AH13" s="455"/>
      <c r="AI13" s="455"/>
      <c r="AJ13" s="455"/>
      <c r="AK13" s="455"/>
      <c r="AL13" s="455"/>
      <c r="AM13" s="495"/>
      <c r="AN13" s="496"/>
      <c r="AO13" s="455"/>
      <c r="AP13" s="455"/>
      <c r="AQ13" s="455"/>
      <c r="AR13" s="455"/>
      <c r="AS13" s="455"/>
      <c r="AT13" s="455"/>
      <c r="AU13" s="455"/>
      <c r="AV13" s="455"/>
      <c r="AW13" s="495"/>
      <c r="AX13" s="487"/>
      <c r="AY13" s="485"/>
      <c r="AZ13" s="485"/>
      <c r="BA13" s="485"/>
      <c r="BB13" s="485"/>
      <c r="BC13" s="485"/>
      <c r="BD13" s="485"/>
      <c r="BE13" s="485"/>
      <c r="BF13" s="485"/>
      <c r="BG13" s="48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19" ht="15" customHeight="1" x14ac:dyDescent="0.35">
      <c r="A14" s="56"/>
      <c r="B14" s="311"/>
      <c r="C14" s="311"/>
      <c r="D14" s="312"/>
      <c r="E14" s="473"/>
      <c r="F14" s="474"/>
      <c r="G14" s="474"/>
      <c r="H14" s="474"/>
      <c r="I14" s="475"/>
      <c r="J14" s="455" t="str">
        <f>IF(AND('Mapa final'!$K$64="Muy Alta",'Mapa final'!$O$64="Leve"),CONCATENATE("R",'Mapa final'!$A$64),"")</f>
        <v/>
      </c>
      <c r="K14" s="455"/>
      <c r="L14" s="455" t="str">
        <f>IF(AND('Mapa final'!$K$67="Muy Alta",'Mapa final'!$O$67="Leve"),CONCATENATE("R",'Mapa final'!$A$67),"")</f>
        <v/>
      </c>
      <c r="M14" s="455"/>
      <c r="N14" s="455" t="str">
        <f>IF(AND('Mapa final'!$K$73="Muy Alta",'Mapa final'!$O$73="Leve"),CONCATENATE("R",'Mapa final'!$A$73),"")</f>
        <v/>
      </c>
      <c r="O14" s="455"/>
      <c r="P14" s="455" t="str">
        <f>IF(AND('Mapa final'!$K$76="Muy Alta",'Mapa final'!$O$76="Leve"),CONCATENATE("R",'Mapa final'!$A$76),"")</f>
        <v/>
      </c>
      <c r="Q14" s="455"/>
      <c r="R14" s="455" t="str">
        <f>IF(AND('Mapa final'!$K$79="Muy Alta",'Mapa final'!$O$79="Leve"),CONCATENATE("R",'Mapa final'!$A$79),"")</f>
        <v/>
      </c>
      <c r="S14" s="455"/>
      <c r="T14" s="496" t="str">
        <f>IF(AND('Mapa final'!$K$64="Muy Alta",'Mapa final'!$O$64="Menor"),CONCATENATE("R",'Mapa final'!$A$64),"")</f>
        <v/>
      </c>
      <c r="U14" s="455"/>
      <c r="V14" s="455" t="str">
        <f>IF(AND('Mapa final'!$K$67="Muy Alta",'Mapa final'!$O$67="Menor"),CONCATENATE("R",'Mapa final'!$A$67),"")</f>
        <v/>
      </c>
      <c r="W14" s="455"/>
      <c r="X14" s="455" t="str">
        <f>IF(AND('Mapa final'!$K$73="Muy Alta",'Mapa final'!$O$73="Menor"),CONCATENATE("R",'Mapa final'!$A$73),"")</f>
        <v/>
      </c>
      <c r="Y14" s="455"/>
      <c r="Z14" s="455" t="str">
        <f>IF(AND('Mapa final'!$K$76="Muy Alta",'Mapa final'!$O$76="Menor"),CONCATENATE("R",'Mapa final'!$A$76),"")</f>
        <v/>
      </c>
      <c r="AA14" s="455"/>
      <c r="AB14" s="455" t="str">
        <f>IF(AND('Mapa final'!$K$79="Muy Alta",'Mapa final'!$O$79="Menor"),CONCATENATE("R",'Mapa final'!$A$79),"")</f>
        <v/>
      </c>
      <c r="AC14" s="495"/>
      <c r="AD14" s="496" t="str">
        <f>IF(AND('Mapa final'!$K$64="Muy Alta",'Mapa final'!$O$64="Moderado"),CONCATENATE("R",'Mapa final'!$A$64),"")</f>
        <v/>
      </c>
      <c r="AE14" s="455"/>
      <c r="AF14" s="455" t="str">
        <f>IF(AND('Mapa final'!$K$67="Muy Alta",'Mapa final'!$O$67="Moderado"),CONCATENATE("R",'Mapa final'!$A$67),"")</f>
        <v/>
      </c>
      <c r="AG14" s="455"/>
      <c r="AH14" s="455" t="str">
        <f>IF(AND('Mapa final'!$K$73="Muy Alta",'Mapa final'!$O$73="Moderado"),CONCATENATE("R",'Mapa final'!$A$73),"")</f>
        <v/>
      </c>
      <c r="AI14" s="455"/>
      <c r="AJ14" s="455" t="str">
        <f>IF(AND('Mapa final'!$K$76="Muy Alta",'Mapa final'!$O$76="Moderado"),CONCATENATE("R",'Mapa final'!$A$76),"")</f>
        <v/>
      </c>
      <c r="AK14" s="455"/>
      <c r="AL14" s="455" t="str">
        <f>IF(AND('Mapa final'!$K$79="Muy Alta",'Mapa final'!$O$79="Moderado"),CONCATENATE("R",'Mapa final'!$A$79),"")</f>
        <v/>
      </c>
      <c r="AM14" s="495"/>
      <c r="AN14" s="496" t="str">
        <f>IF(AND('Mapa final'!$K$64="Muy Alta",'Mapa final'!$O$64="Mayor"),CONCATENATE("R",'Mapa final'!$A$64),"")</f>
        <v/>
      </c>
      <c r="AO14" s="455"/>
      <c r="AP14" s="455" t="str">
        <f>IF(AND('Mapa final'!$K$67="Muy Alta",'Mapa final'!$O$67="Mayor"),CONCATENATE("R",'Mapa final'!$A$67),"")</f>
        <v/>
      </c>
      <c r="AQ14" s="455"/>
      <c r="AR14" s="455" t="str">
        <f>IF(AND('Mapa final'!$K$73="Muy Alta",'Mapa final'!$O$73="Mayor"),CONCATENATE("R",'Mapa final'!$A$73),"")</f>
        <v/>
      </c>
      <c r="AS14" s="455"/>
      <c r="AT14" s="455" t="str">
        <f>IF(AND('Mapa final'!$K$76="Muy Alta",'Mapa final'!$O$76="Mayor"),CONCATENATE("R",'Mapa final'!$A$76),"")</f>
        <v/>
      </c>
      <c r="AU14" s="455"/>
      <c r="AV14" s="455" t="str">
        <f>IF(AND('Mapa final'!$K$79="Muy Alta",'Mapa final'!$O$79="Mayor"),CONCATENATE("R",'Mapa final'!$A$79),"")</f>
        <v/>
      </c>
      <c r="AW14" s="495"/>
      <c r="AX14" s="487" t="str">
        <f>IF(AND('Mapa final'!$K$64="Muy Alta",'Mapa final'!$O$64="Catastrófico"),CONCATENATE("R",'Mapa final'!$A$64),"")</f>
        <v/>
      </c>
      <c r="AY14" s="485"/>
      <c r="AZ14" s="485" t="str">
        <f>IF(AND('Mapa final'!$K$67="Muy Alta",'Mapa final'!$O$67="Catastrófico"),CONCATENATE("R",'Mapa final'!$A$67),"")</f>
        <v/>
      </c>
      <c r="BA14" s="485"/>
      <c r="BB14" s="485" t="str">
        <f>IF(AND('Mapa final'!$K$73="Muy Alta",'Mapa final'!$O$73="Catastrófico"),CONCATENATE("R",'Mapa final'!$A$73),"")</f>
        <v/>
      </c>
      <c r="BC14" s="485"/>
      <c r="BD14" s="485" t="str">
        <f>IF(AND('Mapa final'!$K$76="Muy Alta",'Mapa final'!$O$76="Catastrófico"),CONCATENATE("R",'Mapa final'!$A$76),"")</f>
        <v/>
      </c>
      <c r="BE14" s="485"/>
      <c r="BF14" s="485" t="str">
        <f>IF(AND('Mapa final'!$K$79="Muy Alta",'Mapa final'!$O$79="Catastrófico"),CONCATENATE("R",'Mapa final'!$A$79),"")</f>
        <v/>
      </c>
      <c r="BG14" s="486"/>
      <c r="BH14" s="56"/>
      <c r="BI14" s="506" t="s">
        <v>73</v>
      </c>
      <c r="BJ14" s="507"/>
      <c r="BK14" s="507"/>
      <c r="BL14" s="507"/>
      <c r="BM14" s="507"/>
      <c r="BN14" s="508"/>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19" ht="15" customHeight="1" x14ac:dyDescent="0.35">
      <c r="A15" s="56"/>
      <c r="B15" s="311"/>
      <c r="C15" s="311"/>
      <c r="D15" s="312"/>
      <c r="E15" s="473"/>
      <c r="F15" s="474"/>
      <c r="G15" s="474"/>
      <c r="H15" s="474"/>
      <c r="I15" s="475"/>
      <c r="J15" s="455"/>
      <c r="K15" s="455"/>
      <c r="L15" s="455"/>
      <c r="M15" s="455"/>
      <c r="N15" s="455"/>
      <c r="O15" s="455"/>
      <c r="P15" s="455"/>
      <c r="Q15" s="455"/>
      <c r="R15" s="455"/>
      <c r="S15" s="455"/>
      <c r="T15" s="496"/>
      <c r="U15" s="455"/>
      <c r="V15" s="455"/>
      <c r="W15" s="455"/>
      <c r="X15" s="455"/>
      <c r="Y15" s="455"/>
      <c r="Z15" s="455"/>
      <c r="AA15" s="455"/>
      <c r="AB15" s="455"/>
      <c r="AC15" s="495"/>
      <c r="AD15" s="496"/>
      <c r="AE15" s="455"/>
      <c r="AF15" s="455"/>
      <c r="AG15" s="455"/>
      <c r="AH15" s="455"/>
      <c r="AI15" s="455"/>
      <c r="AJ15" s="455"/>
      <c r="AK15" s="455"/>
      <c r="AL15" s="455"/>
      <c r="AM15" s="495"/>
      <c r="AN15" s="496"/>
      <c r="AO15" s="455"/>
      <c r="AP15" s="455"/>
      <c r="AQ15" s="455"/>
      <c r="AR15" s="455"/>
      <c r="AS15" s="455"/>
      <c r="AT15" s="455"/>
      <c r="AU15" s="455"/>
      <c r="AV15" s="455"/>
      <c r="AW15" s="495"/>
      <c r="AX15" s="487"/>
      <c r="AY15" s="485"/>
      <c r="AZ15" s="485"/>
      <c r="BA15" s="485"/>
      <c r="BB15" s="485"/>
      <c r="BC15" s="485"/>
      <c r="BD15" s="485"/>
      <c r="BE15" s="485"/>
      <c r="BF15" s="485"/>
      <c r="BG15" s="486"/>
      <c r="BH15" s="56"/>
      <c r="BI15" s="509"/>
      <c r="BJ15" s="510"/>
      <c r="BK15" s="510"/>
      <c r="BL15" s="510"/>
      <c r="BM15" s="510"/>
      <c r="BN15" s="511"/>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19" ht="15" customHeight="1" x14ac:dyDescent="0.35">
      <c r="A16" s="56"/>
      <c r="B16" s="311"/>
      <c r="C16" s="311"/>
      <c r="D16" s="312"/>
      <c r="E16" s="473"/>
      <c r="F16" s="474"/>
      <c r="G16" s="474"/>
      <c r="H16" s="474"/>
      <c r="I16" s="475"/>
      <c r="J16" s="455" t="str">
        <f>IF(AND('Mapa final'!$K$82="Muy Alta",'Mapa final'!$O$82="Leve"),CONCATENATE("R",'Mapa final'!$A$82),"")</f>
        <v/>
      </c>
      <c r="K16" s="455"/>
      <c r="L16" s="455" t="str">
        <f>IF(AND('Mapa final'!$K$85="Muy Alta",'Mapa final'!$O$85="Leve"),CONCATENATE("R",'Mapa final'!$A$85),"")</f>
        <v/>
      </c>
      <c r="M16" s="455"/>
      <c r="N16" s="455" t="str">
        <f>IF(AND('Mapa final'!$K$88="Muy Alta",'Mapa final'!$O$88="Leve"),CONCATENATE("R",'Mapa final'!$A$88),"")</f>
        <v/>
      </c>
      <c r="O16" s="455"/>
      <c r="P16" s="455" t="str">
        <f>IF(AND('Mapa final'!$K$91="Muy Alta",'Mapa final'!$O$91="Leve"),CONCATENATE("R",'Mapa final'!$A$91),"")</f>
        <v/>
      </c>
      <c r="Q16" s="455"/>
      <c r="R16" s="455" t="str">
        <f>IF(AND('Mapa final'!$K$94="Muy Alta",'Mapa final'!$O$94="Leve"),CONCATENATE("R",'Mapa final'!$A$94),"")</f>
        <v/>
      </c>
      <c r="S16" s="455"/>
      <c r="T16" s="496" t="str">
        <f>IF(AND('Mapa final'!$K$82="Muy Alta",'Mapa final'!$O$82="Menor"),CONCATENATE("R",'Mapa final'!$A$82),"")</f>
        <v/>
      </c>
      <c r="U16" s="455"/>
      <c r="V16" s="455" t="str">
        <f>IF(AND('Mapa final'!$K$85="Muy Alta",'Mapa final'!$O$85="Menor"),CONCATENATE("R",'Mapa final'!$A$85),"")</f>
        <v/>
      </c>
      <c r="W16" s="455"/>
      <c r="X16" s="455" t="str">
        <f>IF(AND('Mapa final'!$K$88="Muy Alta",'Mapa final'!$O$88="Menor"),CONCATENATE("R",'Mapa final'!$A$88),"")</f>
        <v/>
      </c>
      <c r="Y16" s="455"/>
      <c r="Z16" s="455" t="str">
        <f>IF(AND('Mapa final'!$K$91="Muy Alta",'Mapa final'!$O$91="Menor"),CONCATENATE("R",'Mapa final'!$A$91),"")</f>
        <v/>
      </c>
      <c r="AA16" s="455"/>
      <c r="AB16" s="455" t="str">
        <f>IF(AND('Mapa final'!$K$94="Muy Alta",'Mapa final'!$O$94="Menor"),CONCATENATE("R",'Mapa final'!$A$94),"")</f>
        <v/>
      </c>
      <c r="AC16" s="495"/>
      <c r="AD16" s="496" t="str">
        <f>IF(AND('Mapa final'!$K$82="Muy Alta",'Mapa final'!$O$82="Moderado"),CONCATENATE("R",'Mapa final'!$A$82),"")</f>
        <v/>
      </c>
      <c r="AE16" s="455"/>
      <c r="AF16" s="455" t="str">
        <f>IF(AND('Mapa final'!$K$85="Muy Alta",'Mapa final'!$O$85="Moderado"),CONCATENATE("R",'Mapa final'!$A$85),"")</f>
        <v/>
      </c>
      <c r="AG16" s="455"/>
      <c r="AH16" s="455" t="str">
        <f>IF(AND('Mapa final'!$K$88="Muy Alta",'Mapa final'!$O$88="Moderado"),CONCATENATE("R",'Mapa final'!$A$88),"")</f>
        <v/>
      </c>
      <c r="AI16" s="455"/>
      <c r="AJ16" s="455" t="str">
        <f>IF(AND('Mapa final'!$K$91="Muy Alta",'Mapa final'!$O$91="Moderado"),CONCATENATE("R",'Mapa final'!$A$91),"")</f>
        <v/>
      </c>
      <c r="AK16" s="455"/>
      <c r="AL16" s="455" t="str">
        <f>IF(AND('Mapa final'!$K$94="Muy Alta",'Mapa final'!$O$94="Moderado"),CONCATENATE("R",'Mapa final'!$A$94),"")</f>
        <v/>
      </c>
      <c r="AM16" s="495"/>
      <c r="AN16" s="496" t="str">
        <f>IF(AND('Mapa final'!$K$82="Muy Alta",'Mapa final'!$O$82="Mayor"),CONCATENATE("R",'Mapa final'!$A$82),"")</f>
        <v/>
      </c>
      <c r="AO16" s="455"/>
      <c r="AP16" s="455" t="str">
        <f>IF(AND('Mapa final'!$K$85="Muy Alta",'Mapa final'!$O$85="Mayor"),CONCATENATE("R",'Mapa final'!$A$85),"")</f>
        <v/>
      </c>
      <c r="AQ16" s="455"/>
      <c r="AR16" s="455" t="str">
        <f>IF(AND('Mapa final'!$K$88="Muy Alta",'Mapa final'!$O$88="Mayor"),CONCATENATE("R",'Mapa final'!$A$88),"")</f>
        <v/>
      </c>
      <c r="AS16" s="455"/>
      <c r="AT16" s="455" t="str">
        <f>IF(AND('Mapa final'!$K$91="Muy Alta",'Mapa final'!$O$91="Mayor"),CONCATENATE("R",'Mapa final'!$A$91),"")</f>
        <v/>
      </c>
      <c r="AU16" s="455"/>
      <c r="AV16" s="455" t="str">
        <f>IF(AND('Mapa final'!$K$94="Muy Alta",'Mapa final'!$O$94="Mayor"),CONCATENATE("R",'Mapa final'!$A$94),"")</f>
        <v/>
      </c>
      <c r="AW16" s="495"/>
      <c r="AX16" s="487" t="str">
        <f>IF(AND('Mapa final'!$K$82="Muy Alta",'Mapa final'!$O$82="Catastrófico"),CONCATENATE("R",'Mapa final'!$A$82),"")</f>
        <v/>
      </c>
      <c r="AY16" s="485"/>
      <c r="AZ16" s="485" t="str">
        <f>IF(AND('Mapa final'!$K$85="Muy Alta",'Mapa final'!$O$85="Catastrófico"),CONCATENATE("R",'Mapa final'!$A$85),"")</f>
        <v/>
      </c>
      <c r="BA16" s="485"/>
      <c r="BB16" s="485" t="str">
        <f>IF(AND('Mapa final'!$K$88="Muy Alta",'Mapa final'!$O$88="Catastrófico"),CONCATENATE("R",'Mapa final'!$A$88),"")</f>
        <v/>
      </c>
      <c r="BC16" s="485"/>
      <c r="BD16" s="485" t="str">
        <f>IF(AND('Mapa final'!$K$91="Muy Alta",'Mapa final'!$O$91="Catastrófico"),CONCATENATE("R",'Mapa final'!$A$91),"")</f>
        <v/>
      </c>
      <c r="BE16" s="485"/>
      <c r="BF16" s="485" t="str">
        <f>IF(AND('Mapa final'!$K$94="Muy Alta",'Mapa final'!$O$94="Catastrófico"),CONCATENATE("R",'Mapa final'!$A$94),"")</f>
        <v/>
      </c>
      <c r="BG16" s="486"/>
      <c r="BH16" s="56"/>
      <c r="BI16" s="509"/>
      <c r="BJ16" s="510"/>
      <c r="BK16" s="510"/>
      <c r="BL16" s="510"/>
      <c r="BM16" s="510"/>
      <c r="BN16" s="511"/>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5" customHeight="1" x14ac:dyDescent="0.35">
      <c r="A17" s="56"/>
      <c r="B17" s="311"/>
      <c r="C17" s="311"/>
      <c r="D17" s="312"/>
      <c r="E17" s="473"/>
      <c r="F17" s="474"/>
      <c r="G17" s="474"/>
      <c r="H17" s="474"/>
      <c r="I17" s="475"/>
      <c r="J17" s="455"/>
      <c r="K17" s="455"/>
      <c r="L17" s="455"/>
      <c r="M17" s="455"/>
      <c r="N17" s="455"/>
      <c r="O17" s="455"/>
      <c r="P17" s="455"/>
      <c r="Q17" s="455"/>
      <c r="R17" s="455"/>
      <c r="S17" s="455"/>
      <c r="T17" s="496"/>
      <c r="U17" s="455"/>
      <c r="V17" s="455"/>
      <c r="W17" s="455"/>
      <c r="X17" s="455"/>
      <c r="Y17" s="455"/>
      <c r="Z17" s="455"/>
      <c r="AA17" s="455"/>
      <c r="AB17" s="455"/>
      <c r="AC17" s="495"/>
      <c r="AD17" s="496"/>
      <c r="AE17" s="455"/>
      <c r="AF17" s="455"/>
      <c r="AG17" s="455"/>
      <c r="AH17" s="455"/>
      <c r="AI17" s="455"/>
      <c r="AJ17" s="455"/>
      <c r="AK17" s="455"/>
      <c r="AL17" s="455"/>
      <c r="AM17" s="495"/>
      <c r="AN17" s="496"/>
      <c r="AO17" s="455"/>
      <c r="AP17" s="455"/>
      <c r="AQ17" s="455"/>
      <c r="AR17" s="455"/>
      <c r="AS17" s="455"/>
      <c r="AT17" s="455"/>
      <c r="AU17" s="455"/>
      <c r="AV17" s="455"/>
      <c r="AW17" s="495"/>
      <c r="AX17" s="487"/>
      <c r="AY17" s="485"/>
      <c r="AZ17" s="485"/>
      <c r="BA17" s="485"/>
      <c r="BB17" s="485"/>
      <c r="BC17" s="485"/>
      <c r="BD17" s="485"/>
      <c r="BE17" s="485"/>
      <c r="BF17" s="485"/>
      <c r="BG17" s="486"/>
      <c r="BH17" s="56"/>
      <c r="BI17" s="509"/>
      <c r="BJ17" s="510"/>
      <c r="BK17" s="510"/>
      <c r="BL17" s="510"/>
      <c r="BM17" s="510"/>
      <c r="BN17" s="511"/>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5" customHeight="1" x14ac:dyDescent="0.35">
      <c r="A18" s="56"/>
      <c r="B18" s="311"/>
      <c r="C18" s="311"/>
      <c r="D18" s="312"/>
      <c r="E18" s="473"/>
      <c r="F18" s="474"/>
      <c r="G18" s="474"/>
      <c r="H18" s="474"/>
      <c r="I18" s="475"/>
      <c r="J18" s="455" t="str">
        <f>IF(AND('Mapa final'!$K$97="Muy Alta",'Mapa final'!$O$97="Leve"),CONCATENATE("R",'Mapa final'!$A$97),"")</f>
        <v/>
      </c>
      <c r="K18" s="455"/>
      <c r="L18" s="455" t="str">
        <f>IF(AND('Mapa final'!$K$100="Muy Alta",'Mapa final'!$O$100="Leve"),CONCATENATE("R",'Mapa final'!$A$100),"")</f>
        <v/>
      </c>
      <c r="M18" s="455"/>
      <c r="N18" s="455" t="str">
        <f>IF(AND('Mapa final'!$K$103="Muy Alta",'Mapa final'!$O$103="Leve"),CONCATENATE("R",'Mapa final'!$A$103),"")</f>
        <v/>
      </c>
      <c r="O18" s="455"/>
      <c r="P18" s="455" t="str">
        <f>IF(AND('Mapa final'!$K$106="Muy Alta",'Mapa final'!$O$106="Leve"),CONCATENATE("R",'Mapa final'!$A$106),"")</f>
        <v/>
      </c>
      <c r="Q18" s="455"/>
      <c r="R18" s="455" t="str">
        <f>IF(AND('Mapa final'!$K$109="Muy Alta",'Mapa final'!$O$109="Leve"),CONCATENATE("R",'Mapa final'!$A$109),"")</f>
        <v/>
      </c>
      <c r="S18" s="455"/>
      <c r="T18" s="496" t="str">
        <f>IF(AND('Mapa final'!$K$97="Muy Alta",'Mapa final'!$O$97="Menor"),CONCATENATE("R",'Mapa final'!$A$97),"")</f>
        <v/>
      </c>
      <c r="U18" s="455"/>
      <c r="V18" s="455" t="str">
        <f>IF(AND('Mapa final'!$K$100="Muy Alta",'Mapa final'!$O$100="Menor"),CONCATENATE("R",'Mapa final'!$A$100),"")</f>
        <v/>
      </c>
      <c r="W18" s="455"/>
      <c r="X18" s="455" t="str">
        <f>IF(AND('Mapa final'!$K$103="Muy Alta",'Mapa final'!$O$103="Menor"),CONCATENATE("R",'Mapa final'!$A$103),"")</f>
        <v/>
      </c>
      <c r="Y18" s="455"/>
      <c r="Z18" s="455" t="str">
        <f>IF(AND('Mapa final'!$K$106="Muy Alta",'Mapa final'!$O$106="Menor"),CONCATENATE("R",'Mapa final'!$A$106),"")</f>
        <v/>
      </c>
      <c r="AA18" s="455"/>
      <c r="AB18" s="455" t="str">
        <f>IF(AND('Mapa final'!$K$109="Muy Alta",'Mapa final'!$O$109="Menor"),CONCATENATE("R",'Mapa final'!$A$109),"")</f>
        <v/>
      </c>
      <c r="AC18" s="495"/>
      <c r="AD18" s="496" t="str">
        <f>IF(AND('Mapa final'!$K$97="Muy Alta",'Mapa final'!$O$97="Moderado"),CONCATENATE("R",'Mapa final'!$A$97),"")</f>
        <v/>
      </c>
      <c r="AE18" s="455"/>
      <c r="AF18" s="455" t="str">
        <f>IF(AND('Mapa final'!$K$100="Muy Alta",'Mapa final'!$O$100="Moderado"),CONCATENATE("R",'Mapa final'!$A$100),"")</f>
        <v/>
      </c>
      <c r="AG18" s="455"/>
      <c r="AH18" s="455" t="str">
        <f>IF(AND('Mapa final'!$K$103="Muy Alta",'Mapa final'!$O$103="Moderado"),CONCATENATE("R",'Mapa final'!$A$103),"")</f>
        <v/>
      </c>
      <c r="AI18" s="455"/>
      <c r="AJ18" s="455" t="str">
        <f>IF(AND('Mapa final'!$K$106="Muy Alta",'Mapa final'!$O$106="Moderado"),CONCATENATE("R",'Mapa final'!$A$106),"")</f>
        <v/>
      </c>
      <c r="AK18" s="455"/>
      <c r="AL18" s="455" t="str">
        <f>IF(AND('Mapa final'!$K$109="Muy Alta",'Mapa final'!$O$109="Moderado"),CONCATENATE("R",'Mapa final'!$A$109),"")</f>
        <v/>
      </c>
      <c r="AM18" s="495"/>
      <c r="AN18" s="496" t="str">
        <f>IF(AND('Mapa final'!$K$97="Muy Alta",'Mapa final'!$O$97="Mayor"),CONCATENATE("R",'Mapa final'!$A$97),"")</f>
        <v/>
      </c>
      <c r="AO18" s="455"/>
      <c r="AP18" s="455" t="str">
        <f>IF(AND('Mapa final'!$K$100="Muy Alta",'Mapa final'!$O$100="Mayor"),CONCATENATE("R",'Mapa final'!$A$100),"")</f>
        <v/>
      </c>
      <c r="AQ18" s="455"/>
      <c r="AR18" s="455" t="str">
        <f>IF(AND('Mapa final'!$K$103="Muy Alta",'Mapa final'!$O$103="Mayor"),CONCATENATE("R",'Mapa final'!$A$103),"")</f>
        <v/>
      </c>
      <c r="AS18" s="455"/>
      <c r="AT18" s="455" t="str">
        <f>IF(AND('Mapa final'!$K$106="Muy Alta",'Mapa final'!$O$106="Mayor"),CONCATENATE("R",'Mapa final'!$A$106),"")</f>
        <v/>
      </c>
      <c r="AU18" s="455"/>
      <c r="AV18" s="455" t="str">
        <f>IF(AND('Mapa final'!$K$109="Muy Alta",'Mapa final'!$O$109="Mayor"),CONCATENATE("R",'Mapa final'!$A$109),"")</f>
        <v/>
      </c>
      <c r="AW18" s="495"/>
      <c r="AX18" s="487" t="str">
        <f>IF(AND('Mapa final'!$K$97="Muy Alta",'Mapa final'!$O$97="Catastrófico"),CONCATENATE("R",'Mapa final'!$A$97),"")</f>
        <v/>
      </c>
      <c r="AY18" s="485"/>
      <c r="AZ18" s="485" t="str">
        <f>IF(AND('Mapa final'!$K$100="Muy Alta",'Mapa final'!$O$100="Catastrófico"),CONCATENATE("R",'Mapa final'!$A$100),"")</f>
        <v/>
      </c>
      <c r="BA18" s="485"/>
      <c r="BB18" s="485" t="str">
        <f>IF(AND('Mapa final'!$K$103="Muy Alta",'Mapa final'!$O$103="Catastrófico"),CONCATENATE("R",'Mapa final'!$A$103),"")</f>
        <v/>
      </c>
      <c r="BC18" s="485"/>
      <c r="BD18" s="485" t="str">
        <f>IF(AND('Mapa final'!$K$106="Muy Alta",'Mapa final'!$O$106="Catastrófico"),CONCATENATE("R",'Mapa final'!$A$106),"")</f>
        <v/>
      </c>
      <c r="BE18" s="485"/>
      <c r="BF18" s="485" t="str">
        <f>IF(AND('Mapa final'!$K$109="Muy Alta",'Mapa final'!$O$109="Catastrófico"),CONCATENATE("R",'Mapa final'!$A$109),"")</f>
        <v/>
      </c>
      <c r="BG18" s="486"/>
      <c r="BH18" s="56"/>
      <c r="BI18" s="509"/>
      <c r="BJ18" s="510"/>
      <c r="BK18" s="510"/>
      <c r="BL18" s="510"/>
      <c r="BM18" s="510"/>
      <c r="BN18" s="511"/>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5" customHeight="1" x14ac:dyDescent="0.35">
      <c r="A19" s="56"/>
      <c r="B19" s="311"/>
      <c r="C19" s="311"/>
      <c r="D19" s="312"/>
      <c r="E19" s="473"/>
      <c r="F19" s="474"/>
      <c r="G19" s="474"/>
      <c r="H19" s="474"/>
      <c r="I19" s="475"/>
      <c r="J19" s="455"/>
      <c r="K19" s="455"/>
      <c r="L19" s="455"/>
      <c r="M19" s="455"/>
      <c r="N19" s="455"/>
      <c r="O19" s="455"/>
      <c r="P19" s="455"/>
      <c r="Q19" s="455"/>
      <c r="R19" s="455"/>
      <c r="S19" s="455"/>
      <c r="T19" s="496"/>
      <c r="U19" s="455"/>
      <c r="V19" s="455"/>
      <c r="W19" s="455"/>
      <c r="X19" s="455"/>
      <c r="Y19" s="455"/>
      <c r="Z19" s="455"/>
      <c r="AA19" s="455"/>
      <c r="AB19" s="455"/>
      <c r="AC19" s="495"/>
      <c r="AD19" s="496"/>
      <c r="AE19" s="455"/>
      <c r="AF19" s="455"/>
      <c r="AG19" s="455"/>
      <c r="AH19" s="455"/>
      <c r="AI19" s="455"/>
      <c r="AJ19" s="455"/>
      <c r="AK19" s="455"/>
      <c r="AL19" s="455"/>
      <c r="AM19" s="495"/>
      <c r="AN19" s="496"/>
      <c r="AO19" s="455"/>
      <c r="AP19" s="455"/>
      <c r="AQ19" s="455"/>
      <c r="AR19" s="455"/>
      <c r="AS19" s="455"/>
      <c r="AT19" s="455"/>
      <c r="AU19" s="455"/>
      <c r="AV19" s="455"/>
      <c r="AW19" s="495"/>
      <c r="AX19" s="487"/>
      <c r="AY19" s="485"/>
      <c r="AZ19" s="485"/>
      <c r="BA19" s="485"/>
      <c r="BB19" s="485"/>
      <c r="BC19" s="485"/>
      <c r="BD19" s="485"/>
      <c r="BE19" s="485"/>
      <c r="BF19" s="485"/>
      <c r="BG19" s="486"/>
      <c r="BH19" s="56"/>
      <c r="BI19" s="509"/>
      <c r="BJ19" s="510"/>
      <c r="BK19" s="510"/>
      <c r="BL19" s="510"/>
      <c r="BM19" s="510"/>
      <c r="BN19" s="511"/>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5" customHeight="1" x14ac:dyDescent="0.35">
      <c r="A20" s="56"/>
      <c r="B20" s="311"/>
      <c r="C20" s="311"/>
      <c r="D20" s="312"/>
      <c r="E20" s="473"/>
      <c r="F20" s="474"/>
      <c r="G20" s="474"/>
      <c r="H20" s="474"/>
      <c r="I20" s="475"/>
      <c r="J20" s="455" t="str">
        <f>IF(AND('Mapa final'!$K$112="Muy Alta",'Mapa final'!$O$112="Leve"),CONCATENATE("R",'Mapa final'!$A$112),"")</f>
        <v/>
      </c>
      <c r="K20" s="455"/>
      <c r="L20" s="455" t="str">
        <f>IF(AND('Mapa final'!$K$115="Muy Alta",'Mapa final'!$O$115="Leve"),CONCATENATE("R",'Mapa final'!$A$115),"")</f>
        <v/>
      </c>
      <c r="M20" s="455"/>
      <c r="N20" s="455" t="str">
        <f>IF(AND('Mapa final'!$K$118="Muy Alta",'Mapa final'!$O$118="Leve"),CONCATENATE("R",'Mapa final'!$A$118),"")</f>
        <v/>
      </c>
      <c r="O20" s="455"/>
      <c r="P20" s="455" t="str">
        <f>IF(AND('Mapa final'!$K$121="Muy Alta",'Mapa final'!$O$121="Leve"),CONCATENATE("R",'Mapa final'!$A$121),"")</f>
        <v/>
      </c>
      <c r="Q20" s="455"/>
      <c r="R20" s="455" t="str">
        <f>IF(AND('Mapa final'!$K$124="Muy Alta",'Mapa final'!$O$124="Leve"),CONCATENATE("R",'Mapa final'!$A$124),"")</f>
        <v/>
      </c>
      <c r="S20" s="455"/>
      <c r="T20" s="496" t="str">
        <f>IF(AND('Mapa final'!$K$112="Muy Alta",'Mapa final'!$O$112="Menor"),CONCATENATE("R",'Mapa final'!$A$112),"")</f>
        <v/>
      </c>
      <c r="U20" s="455"/>
      <c r="V20" s="455" t="str">
        <f>IF(AND('Mapa final'!$K$115="Muy Alta",'Mapa final'!$O$115="Menor"),CONCATENATE("R",'Mapa final'!$A$115),"")</f>
        <v/>
      </c>
      <c r="W20" s="455"/>
      <c r="X20" s="455" t="str">
        <f>IF(AND('Mapa final'!$K$118="Muy Alta",'Mapa final'!$O$118="Menor"),CONCATENATE("R",'Mapa final'!$A$118),"")</f>
        <v/>
      </c>
      <c r="Y20" s="455"/>
      <c r="Z20" s="455" t="str">
        <f>IF(AND('Mapa final'!$K$121="Muy Alta",'Mapa final'!$O$121="Menor"),CONCATENATE("R",'Mapa final'!$A$121),"")</f>
        <v/>
      </c>
      <c r="AA20" s="455"/>
      <c r="AB20" s="455" t="str">
        <f>IF(AND('Mapa final'!$K$124="Muy Alta",'Mapa final'!$O$124="Menor"),CONCATENATE("R",'Mapa final'!$A$124),"")</f>
        <v/>
      </c>
      <c r="AC20" s="495"/>
      <c r="AD20" s="496" t="str">
        <f>IF(AND('Mapa final'!$K$112="Muy Alta",'Mapa final'!$O$112="Moderado"),CONCATENATE("R",'Mapa final'!$A$112),"")</f>
        <v/>
      </c>
      <c r="AE20" s="455"/>
      <c r="AF20" s="455" t="str">
        <f>IF(AND('Mapa final'!$K$115="Muy Alta",'Mapa final'!$O$115="Moderado"),CONCATENATE("R",'Mapa final'!$A$115),"")</f>
        <v/>
      </c>
      <c r="AG20" s="455"/>
      <c r="AH20" s="455" t="str">
        <f>IF(AND('Mapa final'!$K$118="Muy Alta",'Mapa final'!$O$118="Moderado"),CONCATENATE("R",'Mapa final'!$A$118),"")</f>
        <v/>
      </c>
      <c r="AI20" s="455"/>
      <c r="AJ20" s="455" t="str">
        <f>IF(AND('Mapa final'!$K$121="Muy Alta",'Mapa final'!$O$121="Moderado"),CONCATENATE("R",'Mapa final'!$A$121),"")</f>
        <v/>
      </c>
      <c r="AK20" s="455"/>
      <c r="AL20" s="455" t="str">
        <f>IF(AND('Mapa final'!$K$124="Muy Alta",'Mapa final'!$O$124="Moderado"),CONCATENATE("R",'Mapa final'!$A$124),"")</f>
        <v/>
      </c>
      <c r="AM20" s="495"/>
      <c r="AN20" s="496" t="str">
        <f>IF(AND('Mapa final'!$K$112="Muy Alta",'Mapa final'!$O$112="Mayor"),CONCATENATE("R",'Mapa final'!$A$112),"")</f>
        <v/>
      </c>
      <c r="AO20" s="455"/>
      <c r="AP20" s="455" t="str">
        <f>IF(AND('Mapa final'!$K$115="Muy Alta",'Mapa final'!$O$115="Mayor"),CONCATENATE("R",'Mapa final'!$A$115),"")</f>
        <v/>
      </c>
      <c r="AQ20" s="455"/>
      <c r="AR20" s="455" t="str">
        <f>IF(AND('Mapa final'!$K$118="Muy Alta",'Mapa final'!$O$118="Mayor"),CONCATENATE("R",'Mapa final'!$A$118),"")</f>
        <v/>
      </c>
      <c r="AS20" s="455"/>
      <c r="AT20" s="455" t="str">
        <f>IF(AND('Mapa final'!$K$121="Muy Alta",'Mapa final'!$O$121="Mayor"),CONCATENATE("R",'Mapa final'!$A$121),"")</f>
        <v/>
      </c>
      <c r="AU20" s="455"/>
      <c r="AV20" s="455" t="str">
        <f>IF(AND('Mapa final'!$K$124="Muy Alta",'Mapa final'!$O$124="Mayor"),CONCATENATE("R",'Mapa final'!$A$124),"")</f>
        <v/>
      </c>
      <c r="AW20" s="495"/>
      <c r="AX20" s="487" t="str">
        <f>IF(AND('Mapa final'!$K$112="Muy Alta",'Mapa final'!$O$112="Catastrófico"),CONCATENATE("R",'Mapa final'!$A$112),"")</f>
        <v/>
      </c>
      <c r="AY20" s="485"/>
      <c r="AZ20" s="485" t="str">
        <f>IF(AND('Mapa final'!$K$115="Muy Alta",'Mapa final'!$O$115="Catastrófico"),CONCATENATE("R",'Mapa final'!$A$115),"")</f>
        <v/>
      </c>
      <c r="BA20" s="485"/>
      <c r="BB20" s="485" t="str">
        <f>IF(AND('Mapa final'!$K$118="Muy Alta",'Mapa final'!$O$118="Catastrófico"),CONCATENATE("R",'Mapa final'!$A$118),"")</f>
        <v/>
      </c>
      <c r="BC20" s="485"/>
      <c r="BD20" s="485" t="str">
        <f>IF(AND('Mapa final'!$K$121="Muy Alta",'Mapa final'!$O$121="Catastrófico"),CONCATENATE("R",'Mapa final'!$A$121),"")</f>
        <v/>
      </c>
      <c r="BE20" s="485"/>
      <c r="BF20" s="485" t="str">
        <f>IF(AND('Mapa final'!$K$124="Muy Alta",'Mapa final'!$O$124="Catastrófico"),CONCATENATE("R",'Mapa final'!$A$124),"")</f>
        <v/>
      </c>
      <c r="BG20" s="486"/>
      <c r="BH20" s="56"/>
      <c r="BI20" s="509"/>
      <c r="BJ20" s="510"/>
      <c r="BK20" s="510"/>
      <c r="BL20" s="510"/>
      <c r="BM20" s="510"/>
      <c r="BN20" s="511"/>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5" customHeight="1" x14ac:dyDescent="0.35">
      <c r="A21" s="56"/>
      <c r="B21" s="311"/>
      <c r="C21" s="311"/>
      <c r="D21" s="312"/>
      <c r="E21" s="473"/>
      <c r="F21" s="474"/>
      <c r="G21" s="474"/>
      <c r="H21" s="474"/>
      <c r="I21" s="475"/>
      <c r="J21" s="455"/>
      <c r="K21" s="455"/>
      <c r="L21" s="455"/>
      <c r="M21" s="455"/>
      <c r="N21" s="455"/>
      <c r="O21" s="455"/>
      <c r="P21" s="455"/>
      <c r="Q21" s="455"/>
      <c r="R21" s="455"/>
      <c r="S21" s="455"/>
      <c r="T21" s="496"/>
      <c r="U21" s="455"/>
      <c r="V21" s="455"/>
      <c r="W21" s="455"/>
      <c r="X21" s="455"/>
      <c r="Y21" s="455"/>
      <c r="Z21" s="455"/>
      <c r="AA21" s="455"/>
      <c r="AB21" s="455"/>
      <c r="AC21" s="495"/>
      <c r="AD21" s="496"/>
      <c r="AE21" s="455"/>
      <c r="AF21" s="455"/>
      <c r="AG21" s="455"/>
      <c r="AH21" s="455"/>
      <c r="AI21" s="455"/>
      <c r="AJ21" s="455"/>
      <c r="AK21" s="455"/>
      <c r="AL21" s="455"/>
      <c r="AM21" s="495"/>
      <c r="AN21" s="496"/>
      <c r="AO21" s="455"/>
      <c r="AP21" s="455"/>
      <c r="AQ21" s="455"/>
      <c r="AR21" s="455"/>
      <c r="AS21" s="455"/>
      <c r="AT21" s="455"/>
      <c r="AU21" s="455"/>
      <c r="AV21" s="455"/>
      <c r="AW21" s="495"/>
      <c r="AX21" s="487"/>
      <c r="AY21" s="485"/>
      <c r="AZ21" s="485"/>
      <c r="BA21" s="485"/>
      <c r="BB21" s="485"/>
      <c r="BC21" s="485"/>
      <c r="BD21" s="485"/>
      <c r="BE21" s="485"/>
      <c r="BF21" s="485"/>
      <c r="BG21" s="486"/>
      <c r="BH21" s="56"/>
      <c r="BI21" s="509"/>
      <c r="BJ21" s="510"/>
      <c r="BK21" s="510"/>
      <c r="BL21" s="510"/>
      <c r="BM21" s="510"/>
      <c r="BN21" s="511"/>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5" customHeight="1" x14ac:dyDescent="0.35">
      <c r="A22" s="56"/>
      <c r="B22" s="311"/>
      <c r="C22" s="311"/>
      <c r="D22" s="312"/>
      <c r="E22" s="473"/>
      <c r="F22" s="474"/>
      <c r="G22" s="474"/>
      <c r="H22" s="474"/>
      <c r="I22" s="475"/>
      <c r="J22" s="455" t="str">
        <f>IF(AND('Mapa final'!$K$127="Muy Alta",'Mapa final'!$O$127="Leve"),CONCATENATE("R",'Mapa final'!$A$127),"")</f>
        <v/>
      </c>
      <c r="K22" s="455"/>
      <c r="L22" s="455" t="str">
        <f>IF(AND('Mapa final'!$K$130="Muy Alta",'Mapa final'!$O$130="Leve"),CONCATENATE("R",'Mapa final'!$A$130),"")</f>
        <v/>
      </c>
      <c r="M22" s="455"/>
      <c r="N22" s="455" t="str">
        <f>IF(AND('Mapa final'!$K$133="Muy Alta",'Mapa final'!$O$133="Leve"),CONCATENATE("R",'Mapa final'!$A$133),"")</f>
        <v/>
      </c>
      <c r="O22" s="455"/>
      <c r="P22" s="455" t="str">
        <f>IF(AND('Mapa final'!$K$136="Muy Alta",'Mapa final'!$O$136="Leve"),CONCATENATE("R",'Mapa final'!$A$136),"")</f>
        <v/>
      </c>
      <c r="Q22" s="455"/>
      <c r="R22" s="455" t="str">
        <f>IF(AND('Mapa final'!$K$139="Muy Alta",'Mapa final'!$O$139="Leve"),CONCATENATE("R",'Mapa final'!$A$139),"")</f>
        <v/>
      </c>
      <c r="S22" s="455"/>
      <c r="T22" s="496" t="str">
        <f>IF(AND('Mapa final'!$K$127="Muy Alta",'Mapa final'!$O$127="Menor"),CONCATENATE("R",'Mapa final'!$A$127),"")</f>
        <v/>
      </c>
      <c r="U22" s="455"/>
      <c r="V22" s="455" t="str">
        <f>IF(AND('Mapa final'!$K$130="Muy Alta",'Mapa final'!$O$130="Menor"),CONCATENATE("R",'Mapa final'!$A$130),"")</f>
        <v/>
      </c>
      <c r="W22" s="455"/>
      <c r="X22" s="455" t="str">
        <f>IF(AND('Mapa final'!$K$133="Muy Alta",'Mapa final'!$O$133="Menor"),CONCATENATE("R",'Mapa final'!$A$133),"")</f>
        <v/>
      </c>
      <c r="Y22" s="455"/>
      <c r="Z22" s="455" t="str">
        <f>IF(AND('Mapa final'!$K$136="Muy Alta",'Mapa final'!$O$136="Menor"),CONCATENATE("R",'Mapa final'!$A$136),"")</f>
        <v/>
      </c>
      <c r="AA22" s="455"/>
      <c r="AB22" s="455" t="str">
        <f>IF(AND('Mapa final'!$K$139="Muy Alta",'Mapa final'!$O$139="Menor"),CONCATENATE("R",'Mapa final'!$A$139),"")</f>
        <v/>
      </c>
      <c r="AC22" s="495"/>
      <c r="AD22" s="496" t="str">
        <f>IF(AND('Mapa final'!$K$127="Muy Alta",'Mapa final'!$O$127="Moderado"),CONCATENATE("R",'Mapa final'!$A$127),"")</f>
        <v/>
      </c>
      <c r="AE22" s="455"/>
      <c r="AF22" s="455" t="str">
        <f>IF(AND('Mapa final'!$K$130="Muy Alta",'Mapa final'!$O$130="Moderado"),CONCATENATE("R",'Mapa final'!$A$130),"")</f>
        <v/>
      </c>
      <c r="AG22" s="455"/>
      <c r="AH22" s="455" t="str">
        <f>IF(AND('Mapa final'!$K$133="Muy Alta",'Mapa final'!$O$133="Moderado"),CONCATENATE("R",'Mapa final'!$A$133),"")</f>
        <v/>
      </c>
      <c r="AI22" s="455"/>
      <c r="AJ22" s="455" t="str">
        <f>IF(AND('Mapa final'!$K$136="Muy Alta",'Mapa final'!$O$136="Moderado"),CONCATENATE("R",'Mapa final'!$A$136),"")</f>
        <v/>
      </c>
      <c r="AK22" s="455"/>
      <c r="AL22" s="455" t="str">
        <f>IF(AND('Mapa final'!$K$139="Muy Alta",'Mapa final'!$O$139="Moderado"),CONCATENATE("R",'Mapa final'!$A$139),"")</f>
        <v/>
      </c>
      <c r="AM22" s="495"/>
      <c r="AN22" s="496" t="str">
        <f>IF(AND('Mapa final'!$K$127="Muy Alta",'Mapa final'!$O$127="Mayor"),CONCATENATE("R",'Mapa final'!$A$127),"")</f>
        <v/>
      </c>
      <c r="AO22" s="455"/>
      <c r="AP22" s="455" t="str">
        <f>IF(AND('Mapa final'!$K$130="Muy Alta",'Mapa final'!$O$130="Mayor"),CONCATENATE("R",'Mapa final'!$A$130),"")</f>
        <v/>
      </c>
      <c r="AQ22" s="455"/>
      <c r="AR22" s="455" t="str">
        <f>IF(AND('Mapa final'!$K$133="Muy Alta",'Mapa final'!$O$133="Mayor"),CONCATENATE("R",'Mapa final'!$A$133),"")</f>
        <v/>
      </c>
      <c r="AS22" s="455"/>
      <c r="AT22" s="455" t="str">
        <f>IF(AND('Mapa final'!$K$136="Muy Alta",'Mapa final'!$O$136="Mayor"),CONCATENATE("R",'Mapa final'!$A$136),"")</f>
        <v/>
      </c>
      <c r="AU22" s="455"/>
      <c r="AV22" s="455" t="str">
        <f>IF(AND('Mapa final'!$K$139="Muy Alta",'Mapa final'!$O$139="Mayor"),CONCATENATE("R",'Mapa final'!$A$139),"")</f>
        <v/>
      </c>
      <c r="AW22" s="495"/>
      <c r="AX22" s="487" t="str">
        <f>IF(AND('Mapa final'!$K$127="Muy Alta",'Mapa final'!$O$127="Catastrófico"),CONCATENATE("R",'Mapa final'!$A$127),"")</f>
        <v/>
      </c>
      <c r="AY22" s="485"/>
      <c r="AZ22" s="485" t="str">
        <f>IF(AND('Mapa final'!$K$130="Muy Alta",'Mapa final'!$O$130="Catastrófico"),CONCATENATE("R",'Mapa final'!$A$130),"")</f>
        <v/>
      </c>
      <c r="BA22" s="485"/>
      <c r="BB22" s="485" t="str">
        <f>IF(AND('Mapa final'!$K$133="Muy Alta",'Mapa final'!$O$133="Catastrófico"),CONCATENATE("R",'Mapa final'!$A$133),"")</f>
        <v/>
      </c>
      <c r="BC22" s="485"/>
      <c r="BD22" s="485" t="str">
        <f>IF(AND('Mapa final'!$K$136="Muy Alta",'Mapa final'!$O$136="Catastrófico"),CONCATENATE("R",'Mapa final'!$A$136),"")</f>
        <v/>
      </c>
      <c r="BE22" s="485"/>
      <c r="BF22" s="485" t="str">
        <f>IF(AND('Mapa final'!$K$139="Muy Alta",'Mapa final'!$O$139="Catastrófico"),CONCATENATE("R",'Mapa final'!$A$139),"")</f>
        <v/>
      </c>
      <c r="BG22" s="486"/>
      <c r="BH22" s="56"/>
      <c r="BI22" s="509"/>
      <c r="BJ22" s="510"/>
      <c r="BK22" s="510"/>
      <c r="BL22" s="510"/>
      <c r="BM22" s="510"/>
      <c r="BN22" s="511"/>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5" customHeight="1" x14ac:dyDescent="0.35">
      <c r="A23" s="56"/>
      <c r="B23" s="311"/>
      <c r="C23" s="311"/>
      <c r="D23" s="312"/>
      <c r="E23" s="473"/>
      <c r="F23" s="474"/>
      <c r="G23" s="474"/>
      <c r="H23" s="474"/>
      <c r="I23" s="475"/>
      <c r="J23" s="455"/>
      <c r="K23" s="455"/>
      <c r="L23" s="455"/>
      <c r="M23" s="455"/>
      <c r="N23" s="455"/>
      <c r="O23" s="455"/>
      <c r="P23" s="455"/>
      <c r="Q23" s="455"/>
      <c r="R23" s="455"/>
      <c r="S23" s="455"/>
      <c r="T23" s="496"/>
      <c r="U23" s="455"/>
      <c r="V23" s="455"/>
      <c r="W23" s="455"/>
      <c r="X23" s="455"/>
      <c r="Y23" s="455"/>
      <c r="Z23" s="455"/>
      <c r="AA23" s="455"/>
      <c r="AB23" s="455"/>
      <c r="AC23" s="495"/>
      <c r="AD23" s="496"/>
      <c r="AE23" s="455"/>
      <c r="AF23" s="455"/>
      <c r="AG23" s="455"/>
      <c r="AH23" s="455"/>
      <c r="AI23" s="455"/>
      <c r="AJ23" s="455"/>
      <c r="AK23" s="455"/>
      <c r="AL23" s="455"/>
      <c r="AM23" s="495"/>
      <c r="AN23" s="496"/>
      <c r="AO23" s="455"/>
      <c r="AP23" s="455"/>
      <c r="AQ23" s="455"/>
      <c r="AR23" s="455"/>
      <c r="AS23" s="455"/>
      <c r="AT23" s="455"/>
      <c r="AU23" s="455"/>
      <c r="AV23" s="455"/>
      <c r="AW23" s="495"/>
      <c r="AX23" s="487"/>
      <c r="AY23" s="485"/>
      <c r="AZ23" s="485"/>
      <c r="BA23" s="485"/>
      <c r="BB23" s="485"/>
      <c r="BC23" s="485"/>
      <c r="BD23" s="485"/>
      <c r="BE23" s="485"/>
      <c r="BF23" s="485"/>
      <c r="BG23" s="486"/>
      <c r="BH23" s="56"/>
      <c r="BI23" s="509"/>
      <c r="BJ23" s="510"/>
      <c r="BK23" s="510"/>
      <c r="BL23" s="510"/>
      <c r="BM23" s="510"/>
      <c r="BN23" s="511"/>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5" customHeight="1" x14ac:dyDescent="0.35">
      <c r="A24" s="56"/>
      <c r="B24" s="311"/>
      <c r="C24" s="311"/>
      <c r="D24" s="312"/>
      <c r="E24" s="473"/>
      <c r="F24" s="474"/>
      <c r="G24" s="474"/>
      <c r="H24" s="474"/>
      <c r="I24" s="475"/>
      <c r="J24" s="455" t="str">
        <f>IF(AND('Mapa final'!$K$142="Muy Alta",'Mapa final'!$O$142="Leve"),CONCATENATE("R",'Mapa final'!$A$142),"")</f>
        <v/>
      </c>
      <c r="K24" s="455"/>
      <c r="L24" s="455" t="str">
        <f>IF(AND('Mapa final'!$K$145="Muy Alta",'Mapa final'!$O$145="Leve"),CONCATENATE("R",'Mapa final'!$A$145),"")</f>
        <v/>
      </c>
      <c r="M24" s="455"/>
      <c r="N24" s="455" t="str">
        <f>IF(AND('Mapa final'!$K$148="Muy Alta",'Mapa final'!$O$148="Leve"),CONCATENATE("R",'Mapa final'!$A$148),"")</f>
        <v/>
      </c>
      <c r="O24" s="455"/>
      <c r="P24" s="455" t="str">
        <f>IF(AND('Mapa final'!$K$151="Muy Alta",'Mapa final'!$O$151="Leve"),CONCATENATE("R",'Mapa final'!$A$151),"")</f>
        <v/>
      </c>
      <c r="Q24" s="455"/>
      <c r="R24" s="455" t="str">
        <f>IF(AND('Mapa final'!$K$154="Muy Alta",'Mapa final'!$O$154="Leve"),CONCATENATE("R",'Mapa final'!$A$154),"")</f>
        <v/>
      </c>
      <c r="S24" s="455"/>
      <c r="T24" s="496" t="str">
        <f>IF(AND('Mapa final'!$K$142="Muy Alta",'Mapa final'!$O$142="Menor"),CONCATENATE("R",'Mapa final'!$A$142),"")</f>
        <v/>
      </c>
      <c r="U24" s="455"/>
      <c r="V24" s="455" t="str">
        <f>IF(AND('Mapa final'!$K$145="Muy Alta",'Mapa final'!$O$145="Menor"),CONCATENATE("R",'Mapa final'!$A$145),"")</f>
        <v/>
      </c>
      <c r="W24" s="455"/>
      <c r="X24" s="455" t="str">
        <f>IF(AND('Mapa final'!$K$148="Muy Alta",'Mapa final'!$O$148="Menor"),CONCATENATE("R",'Mapa final'!$A$148),"")</f>
        <v/>
      </c>
      <c r="Y24" s="455"/>
      <c r="Z24" s="455" t="str">
        <f>IF(AND('Mapa final'!$K$151="Muy Alta",'Mapa final'!$O$151="Menor"),CONCATENATE("R",'Mapa final'!$A$151),"")</f>
        <v/>
      </c>
      <c r="AA24" s="455"/>
      <c r="AB24" s="455" t="str">
        <f>IF(AND('Mapa final'!$K$154="Muy Alta",'Mapa final'!$O$154="Menor"),CONCATENATE("R",'Mapa final'!$A$154),"")</f>
        <v/>
      </c>
      <c r="AC24" s="495"/>
      <c r="AD24" s="496" t="str">
        <f>IF(AND('Mapa final'!$K$142="Muy Alta",'Mapa final'!$O$142="Moderado"),CONCATENATE("R",'Mapa final'!$A$142),"")</f>
        <v/>
      </c>
      <c r="AE24" s="455"/>
      <c r="AF24" s="455" t="str">
        <f>IF(AND('Mapa final'!$K$145="Muy Alta",'Mapa final'!$O$145="Moderado"),CONCATENATE("R",'Mapa final'!$A$145),"")</f>
        <v/>
      </c>
      <c r="AG24" s="455"/>
      <c r="AH24" s="455" t="str">
        <f>IF(AND('Mapa final'!$K$148="Muy Alta",'Mapa final'!$O$148="Moderado"),CONCATENATE("R",'Mapa final'!$A$148),"")</f>
        <v/>
      </c>
      <c r="AI24" s="455"/>
      <c r="AJ24" s="455" t="str">
        <f>IF(AND('Mapa final'!$K$151="Muy Alta",'Mapa final'!$O$151="Moderado"),CONCATENATE("R",'Mapa final'!$A$151),"")</f>
        <v/>
      </c>
      <c r="AK24" s="455"/>
      <c r="AL24" s="455" t="str">
        <f>IF(AND('Mapa final'!$K$154="Muy Alta",'Mapa final'!$O$154="Moderado"),CONCATENATE("R",'Mapa final'!$A$154),"")</f>
        <v/>
      </c>
      <c r="AM24" s="495"/>
      <c r="AN24" s="496" t="str">
        <f>IF(AND('Mapa final'!$K$142="Muy Alta",'Mapa final'!$O$142="Mayor"),CONCATENATE("R",'Mapa final'!$A$142),"")</f>
        <v/>
      </c>
      <c r="AO24" s="455"/>
      <c r="AP24" s="455" t="str">
        <f>IF(AND('Mapa final'!$K$145="Muy Alta",'Mapa final'!$O$145="Mayor"),CONCATENATE("R",'Mapa final'!$A$145),"")</f>
        <v/>
      </c>
      <c r="AQ24" s="455"/>
      <c r="AR24" s="455" t="str">
        <f>IF(AND('Mapa final'!$K$148="Muy Alta",'Mapa final'!$O$148="Mayor"),CONCATENATE("R",'Mapa final'!$A$148),"")</f>
        <v/>
      </c>
      <c r="AS24" s="455"/>
      <c r="AT24" s="455" t="str">
        <f>IF(AND('Mapa final'!$K$151="Muy Alta",'Mapa final'!$O$151="Mayor"),CONCATENATE("R",'Mapa final'!$A$151),"")</f>
        <v/>
      </c>
      <c r="AU24" s="455"/>
      <c r="AV24" s="455" t="str">
        <f>IF(AND('Mapa final'!$K$154="Muy Alta",'Mapa final'!$O$154="Mayor"),CONCATENATE("R",'Mapa final'!$A$154),"")</f>
        <v/>
      </c>
      <c r="AW24" s="495"/>
      <c r="AX24" s="487" t="str">
        <f>IF(AND('Mapa final'!$K$142="Muy Alta",'Mapa final'!$O$142="Catastrófico"),CONCATENATE("R",'Mapa final'!$A$142),"")</f>
        <v/>
      </c>
      <c r="AY24" s="485"/>
      <c r="AZ24" s="485" t="str">
        <f>IF(AND('Mapa final'!$K$145="Muy Alta",'Mapa final'!$O$145="Catastrófico"),CONCATENATE("R",'Mapa final'!$A$145),"")</f>
        <v/>
      </c>
      <c r="BA24" s="485"/>
      <c r="BB24" s="485" t="str">
        <f>IF(AND('Mapa final'!$K$148="Muy Alta",'Mapa final'!$O$148="Catastrófico"),CONCATENATE("R",'Mapa final'!$A$148),"")</f>
        <v/>
      </c>
      <c r="BC24" s="485"/>
      <c r="BD24" s="485" t="str">
        <f>IF(AND('Mapa final'!$K$151="Muy Alta",'Mapa final'!$O$151="Catastrófico"),CONCATENATE("R",'Mapa final'!$A$151),"")</f>
        <v/>
      </c>
      <c r="BE24" s="485"/>
      <c r="BF24" s="485" t="str">
        <f>IF(AND('Mapa final'!$K$154="Muy Alta",'Mapa final'!$O$154="Catastrófico"),CONCATENATE("R",'Mapa final'!$A$154),"")</f>
        <v/>
      </c>
      <c r="BG24" s="486"/>
      <c r="BH24" s="56"/>
      <c r="BI24" s="509"/>
      <c r="BJ24" s="510"/>
      <c r="BK24" s="510"/>
      <c r="BL24" s="510"/>
      <c r="BM24" s="510"/>
      <c r="BN24" s="511"/>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5.75" customHeight="1" thickBot="1" x14ac:dyDescent="0.4">
      <c r="A25" s="56"/>
      <c r="B25" s="311"/>
      <c r="C25" s="311"/>
      <c r="D25" s="312"/>
      <c r="E25" s="476"/>
      <c r="F25" s="477"/>
      <c r="G25" s="477"/>
      <c r="H25" s="477"/>
      <c r="I25" s="478"/>
      <c r="J25" s="455"/>
      <c r="K25" s="455"/>
      <c r="L25" s="455"/>
      <c r="M25" s="455"/>
      <c r="N25" s="455"/>
      <c r="O25" s="455"/>
      <c r="P25" s="455"/>
      <c r="Q25" s="455"/>
      <c r="R25" s="455"/>
      <c r="S25" s="455"/>
      <c r="T25" s="497"/>
      <c r="U25" s="494"/>
      <c r="V25" s="494"/>
      <c r="W25" s="494"/>
      <c r="X25" s="494"/>
      <c r="Y25" s="494"/>
      <c r="Z25" s="494"/>
      <c r="AA25" s="494"/>
      <c r="AB25" s="494"/>
      <c r="AC25" s="498"/>
      <c r="AD25" s="497"/>
      <c r="AE25" s="494"/>
      <c r="AF25" s="494"/>
      <c r="AG25" s="494"/>
      <c r="AH25" s="494"/>
      <c r="AI25" s="494"/>
      <c r="AJ25" s="494"/>
      <c r="AK25" s="494"/>
      <c r="AL25" s="494"/>
      <c r="AM25" s="498"/>
      <c r="AN25" s="497"/>
      <c r="AO25" s="494"/>
      <c r="AP25" s="494"/>
      <c r="AQ25" s="494"/>
      <c r="AR25" s="494"/>
      <c r="AS25" s="494"/>
      <c r="AT25" s="494"/>
      <c r="AU25" s="494"/>
      <c r="AV25" s="494"/>
      <c r="AW25" s="498"/>
      <c r="AX25" s="488"/>
      <c r="AY25" s="489"/>
      <c r="AZ25" s="489"/>
      <c r="BA25" s="489"/>
      <c r="BB25" s="489"/>
      <c r="BC25" s="489"/>
      <c r="BD25" s="489"/>
      <c r="BE25" s="489"/>
      <c r="BF25" s="489"/>
      <c r="BG25" s="490"/>
      <c r="BH25" s="56"/>
      <c r="BI25" s="509"/>
      <c r="BJ25" s="510"/>
      <c r="BK25" s="510"/>
      <c r="BL25" s="510"/>
      <c r="BM25" s="510"/>
      <c r="BN25" s="511"/>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5" customHeight="1" x14ac:dyDescent="0.35">
      <c r="A26" s="56"/>
      <c r="B26" s="311"/>
      <c r="C26" s="311"/>
      <c r="D26" s="312"/>
      <c r="E26" s="470" t="s">
        <v>106</v>
      </c>
      <c r="F26" s="471"/>
      <c r="G26" s="471"/>
      <c r="H26" s="471"/>
      <c r="I26" s="471"/>
      <c r="J26" s="483" t="str">
        <f>IF(AND('Mapa final'!$K$7="Alta",'Mapa final'!$O$7="Leve"),CONCATENATE("R",'Mapa final'!$A$7),"")</f>
        <v/>
      </c>
      <c r="K26" s="468"/>
      <c r="L26" s="468" t="str">
        <f>IF(AND('Mapa final'!$K$10="Alta",'Mapa final'!$O$10="Leve"),CONCATENATE("R",'Mapa final'!$A$10),"")</f>
        <v/>
      </c>
      <c r="M26" s="468"/>
      <c r="N26" s="468" t="str">
        <f>IF(AND('Mapa final'!$K$13="Alta",'Mapa final'!$O$13="Leve"),CONCATENATE("R",'Mapa final'!$A$13),"")</f>
        <v/>
      </c>
      <c r="O26" s="468"/>
      <c r="P26" s="468" t="e">
        <f>IF(AND('Mapa final'!#REF!="Alta",'Mapa final'!#REF!="Leve"),CONCATENATE("R",'Mapa final'!#REF!),"")</f>
        <v>#REF!</v>
      </c>
      <c r="Q26" s="468"/>
      <c r="R26" s="468" t="str">
        <f>IF(AND('Mapa final'!$K$16="Alta",'Mapa final'!$O$16="Leve"),CONCATENATE("R",'Mapa final'!$A$16),"")</f>
        <v/>
      </c>
      <c r="S26" s="484"/>
      <c r="T26" s="483" t="str">
        <f>IF(AND('Mapa final'!$K$7="Alta",'Mapa final'!$O$7="Menor"),CONCATENATE("R",'Mapa final'!$A$7),"")</f>
        <v/>
      </c>
      <c r="U26" s="468"/>
      <c r="V26" s="468" t="str">
        <f>IF(AND('Mapa final'!$K$10="Alta",'Mapa final'!$O$10="Menor"),CONCATENATE("R",'Mapa final'!$A$10),"")</f>
        <v/>
      </c>
      <c r="W26" s="468"/>
      <c r="X26" s="468" t="str">
        <f>IF(AND('Mapa final'!$K$13="Alta",'Mapa final'!$O$13="Menor"),CONCATENATE("R",'Mapa final'!$A$13),"")</f>
        <v/>
      </c>
      <c r="Y26" s="468"/>
      <c r="Z26" s="468" t="e">
        <f>IF(AND('Mapa final'!#REF!="Alta",'Mapa final'!#REF!="Menor"),CONCATENATE("R",'Mapa final'!#REF!),"")</f>
        <v>#REF!</v>
      </c>
      <c r="AA26" s="468"/>
      <c r="AB26" s="468" t="str">
        <f>IF(AND('Mapa final'!$K$16="Alta",'Mapa final'!$O$16="Menor"),CONCATENATE("R",'Mapa final'!$A$16),"")</f>
        <v/>
      </c>
      <c r="AC26" s="484"/>
      <c r="AD26" s="499" t="str">
        <f>IF(AND('Mapa final'!$K$7="Alta",'Mapa final'!$O$7="Moderado"),CONCATENATE("R",'Mapa final'!$A$7),"")</f>
        <v/>
      </c>
      <c r="AE26" s="500"/>
      <c r="AF26" s="500" t="str">
        <f>IF(AND('Mapa final'!$K$10="Alta",'Mapa final'!$O$10="Moderado"),CONCATENATE("R",'Mapa final'!$A$10),"")</f>
        <v/>
      </c>
      <c r="AG26" s="500"/>
      <c r="AH26" s="500" t="str">
        <f>IF(AND('Mapa final'!$K$13="Alta",'Mapa final'!$O$13="Moderado"),CONCATENATE("R",'Mapa final'!$A$13),"")</f>
        <v>R3</v>
      </c>
      <c r="AI26" s="500"/>
      <c r="AJ26" s="500" t="e">
        <f>IF(AND('Mapa final'!#REF!="Alta",'Mapa final'!#REF!="Moderado"),CONCATENATE("R",'Mapa final'!#REF!),"")</f>
        <v>#REF!</v>
      </c>
      <c r="AK26" s="500"/>
      <c r="AL26" s="500" t="str">
        <f>IF(AND('Mapa final'!$K$16="Alta",'Mapa final'!$O$16="Moderado"),CONCATENATE("R",'Mapa final'!$A$16),"")</f>
        <v/>
      </c>
      <c r="AM26" s="501"/>
      <c r="AN26" s="499" t="str">
        <f>IF(AND('Mapa final'!$K$7="Alta",'Mapa final'!$O$7="Mayor"),CONCATENATE("R",'Mapa final'!$A$7),"")</f>
        <v/>
      </c>
      <c r="AO26" s="500"/>
      <c r="AP26" s="500" t="str">
        <f>IF(AND('Mapa final'!$K$10="Alta",'Mapa final'!$O$10="Mayor"),CONCATENATE("R",'Mapa final'!$A$10),"")</f>
        <v/>
      </c>
      <c r="AQ26" s="500"/>
      <c r="AR26" s="500" t="str">
        <f>IF(AND('Mapa final'!$K$13="Alta",'Mapa final'!$O$13="Mayor"),CONCATENATE("R",'Mapa final'!$A$13),"")</f>
        <v/>
      </c>
      <c r="AS26" s="500"/>
      <c r="AT26" s="500" t="e">
        <f>IF(AND('Mapa final'!#REF!="Alta",'Mapa final'!#REF!="Mayor"),CONCATENATE("R",'Mapa final'!#REF!),"")</f>
        <v>#REF!</v>
      </c>
      <c r="AU26" s="500"/>
      <c r="AV26" s="500" t="str">
        <f>IF(AND('Mapa final'!$K$16="Alta",'Mapa final'!$O$16="Mayor"),CONCATENATE("R",'Mapa final'!$A$16),"")</f>
        <v/>
      </c>
      <c r="AW26" s="501"/>
      <c r="AX26" s="491" t="str">
        <f>IF(AND('Mapa final'!$K$7="Alta",'Mapa final'!$O$7="Catastrófico"),CONCATENATE("R",'Mapa final'!$A$7),"")</f>
        <v/>
      </c>
      <c r="AY26" s="492"/>
      <c r="AZ26" s="492" t="str">
        <f>IF(AND('Mapa final'!$K$10="Alta",'Mapa final'!$O$10="Catastrófico"),CONCATENATE("R",'Mapa final'!$A$10),"")</f>
        <v/>
      </c>
      <c r="BA26" s="492"/>
      <c r="BB26" s="492" t="str">
        <f>IF(AND('Mapa final'!$K$13="Alta",'Mapa final'!$O$13="Catastrófico"),CONCATENATE("R",'Mapa final'!$A$13),"")</f>
        <v/>
      </c>
      <c r="BC26" s="492"/>
      <c r="BD26" s="492" t="e">
        <f>IF(AND('Mapa final'!#REF!="Alta",'Mapa final'!#REF!="Catastrófico"),CONCATENATE("R",'Mapa final'!#REF!),"")</f>
        <v>#REF!</v>
      </c>
      <c r="BE26" s="492"/>
      <c r="BF26" s="492" t="str">
        <f>IF(AND('Mapa final'!$K$16="Alta",'Mapa final'!$O$16="Catastrófico"),CONCATENATE("R",'Mapa final'!$A$16),"")</f>
        <v/>
      </c>
      <c r="BG26" s="493"/>
      <c r="BH26" s="56"/>
      <c r="BI26" s="509"/>
      <c r="BJ26" s="510"/>
      <c r="BK26" s="510"/>
      <c r="BL26" s="510"/>
      <c r="BM26" s="510"/>
      <c r="BN26" s="511"/>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row>
    <row r="27" spans="1:100" ht="15" customHeight="1" x14ac:dyDescent="0.35">
      <c r="A27" s="56"/>
      <c r="B27" s="311"/>
      <c r="C27" s="311"/>
      <c r="D27" s="312"/>
      <c r="E27" s="473"/>
      <c r="F27" s="474"/>
      <c r="G27" s="474"/>
      <c r="H27" s="474"/>
      <c r="I27" s="479"/>
      <c r="J27" s="462"/>
      <c r="K27" s="463"/>
      <c r="L27" s="463"/>
      <c r="M27" s="463"/>
      <c r="N27" s="463"/>
      <c r="O27" s="463"/>
      <c r="P27" s="463"/>
      <c r="Q27" s="463"/>
      <c r="R27" s="463"/>
      <c r="S27" s="466"/>
      <c r="T27" s="462"/>
      <c r="U27" s="463"/>
      <c r="V27" s="463"/>
      <c r="W27" s="463"/>
      <c r="X27" s="463"/>
      <c r="Y27" s="463"/>
      <c r="Z27" s="463"/>
      <c r="AA27" s="463"/>
      <c r="AB27" s="463"/>
      <c r="AC27" s="466"/>
      <c r="AD27" s="496"/>
      <c r="AE27" s="455"/>
      <c r="AF27" s="455"/>
      <c r="AG27" s="455"/>
      <c r="AH27" s="455"/>
      <c r="AI27" s="455"/>
      <c r="AJ27" s="455"/>
      <c r="AK27" s="455"/>
      <c r="AL27" s="455"/>
      <c r="AM27" s="495"/>
      <c r="AN27" s="496"/>
      <c r="AO27" s="455"/>
      <c r="AP27" s="455"/>
      <c r="AQ27" s="455"/>
      <c r="AR27" s="455"/>
      <c r="AS27" s="455"/>
      <c r="AT27" s="455"/>
      <c r="AU27" s="455"/>
      <c r="AV27" s="455"/>
      <c r="AW27" s="495"/>
      <c r="AX27" s="487"/>
      <c r="AY27" s="485"/>
      <c r="AZ27" s="485"/>
      <c r="BA27" s="485"/>
      <c r="BB27" s="485"/>
      <c r="BC27" s="485"/>
      <c r="BD27" s="485"/>
      <c r="BE27" s="485"/>
      <c r="BF27" s="485"/>
      <c r="BG27" s="486"/>
      <c r="BH27" s="56"/>
      <c r="BI27" s="509"/>
      <c r="BJ27" s="510"/>
      <c r="BK27" s="510"/>
      <c r="BL27" s="510"/>
      <c r="BM27" s="510"/>
      <c r="BN27" s="511"/>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row>
    <row r="28" spans="1:100" ht="15" customHeight="1" x14ac:dyDescent="0.35">
      <c r="A28" s="56"/>
      <c r="B28" s="311"/>
      <c r="C28" s="311"/>
      <c r="D28" s="312"/>
      <c r="E28" s="473"/>
      <c r="F28" s="474"/>
      <c r="G28" s="474"/>
      <c r="H28" s="474"/>
      <c r="I28" s="479"/>
      <c r="J28" s="462" t="str">
        <f>IF(AND('Mapa final'!$K$19="Alta",'Mapa final'!$O$19="Leve"),CONCATENATE("R",'Mapa final'!$A$19),"")</f>
        <v/>
      </c>
      <c r="K28" s="463"/>
      <c r="L28" s="463" t="str">
        <f>IF(AND('Mapa final'!$K$22="Alta",'Mapa final'!$O$22="Leve"),CONCATENATE("R",'Mapa final'!$A$22),"")</f>
        <v/>
      </c>
      <c r="M28" s="463"/>
      <c r="N28" s="463" t="str">
        <f>IF(AND('Mapa final'!$K$25="Alta",'Mapa final'!$O$25="Leve"),CONCATENATE("R",'Mapa final'!$A$25),"")</f>
        <v/>
      </c>
      <c r="O28" s="463"/>
      <c r="P28" s="463" t="str">
        <f>IF(AND('Mapa final'!$K$28="Alta",'Mapa final'!$O$28="Leve"),CONCATENATE("R",'Mapa final'!$A$28),"")</f>
        <v/>
      </c>
      <c r="Q28" s="463"/>
      <c r="R28" s="463" t="str">
        <f>IF(AND('Mapa final'!$K$31="Alta",'Mapa final'!$O$31="Leve"),CONCATENATE("R",'Mapa final'!$A$31),"")</f>
        <v/>
      </c>
      <c r="S28" s="466"/>
      <c r="T28" s="462" t="str">
        <f>IF(AND('Mapa final'!$K$19="Alta",'Mapa final'!$O$19="Menor"),CONCATENATE("R",'Mapa final'!$A$19),"")</f>
        <v/>
      </c>
      <c r="U28" s="463"/>
      <c r="V28" s="463" t="str">
        <f>IF(AND('Mapa final'!$K$22="Alta",'Mapa final'!$O$22="Menor"),CONCATENATE("R",'Mapa final'!$A$22),"")</f>
        <v/>
      </c>
      <c r="W28" s="463"/>
      <c r="X28" s="463" t="str">
        <f>IF(AND('Mapa final'!$K$25="Alta",'Mapa final'!$O$25="Menor"),CONCATENATE("R",'Mapa final'!$A$25),"")</f>
        <v/>
      </c>
      <c r="Y28" s="463"/>
      <c r="Z28" s="463" t="str">
        <f>IF(AND('Mapa final'!$K$28="Alta",'Mapa final'!$O$28="Menor"),CONCATENATE("R",'Mapa final'!$A$28),"")</f>
        <v/>
      </c>
      <c r="AA28" s="463"/>
      <c r="AB28" s="463" t="str">
        <f>IF(AND('Mapa final'!$K$31="Alta",'Mapa final'!$O$31="Menor"),CONCATENATE("R",'Mapa final'!$A$31),"")</f>
        <v/>
      </c>
      <c r="AC28" s="466"/>
      <c r="AD28" s="496" t="str">
        <f>IF(AND('Mapa final'!$K$19="Alta",'Mapa final'!$O$19="Moderado"),CONCATENATE("R",'Mapa final'!$A$19),"")</f>
        <v/>
      </c>
      <c r="AE28" s="455"/>
      <c r="AF28" s="455" t="str">
        <f>IF(AND('Mapa final'!$K$22="Alta",'Mapa final'!$O$22="Moderado"),CONCATENATE("R",'Mapa final'!$A$22),"")</f>
        <v/>
      </c>
      <c r="AG28" s="455"/>
      <c r="AH28" s="455" t="str">
        <f>IF(AND('Mapa final'!$K$25="Alta",'Mapa final'!$O$25="Moderado"),CONCATENATE("R",'Mapa final'!$A$25),"")</f>
        <v>R7</v>
      </c>
      <c r="AI28" s="455"/>
      <c r="AJ28" s="455" t="str">
        <f>IF(AND('Mapa final'!$K$28="Alta",'Mapa final'!$O$28="Moderado"),CONCATENATE("R",'Mapa final'!$A$28),"")</f>
        <v/>
      </c>
      <c r="AK28" s="455"/>
      <c r="AL28" s="455" t="str">
        <f>IF(AND('Mapa final'!$K$31="Alta",'Mapa final'!$O$31="Moderado"),CONCATENATE("R",'Mapa final'!$A$31),"")</f>
        <v>R9</v>
      </c>
      <c r="AM28" s="495"/>
      <c r="AN28" s="496" t="str">
        <f>IF(AND('Mapa final'!$K$19="Alta",'Mapa final'!$O$19="Mayor"),CONCATENATE("R",'Mapa final'!$A$19),"")</f>
        <v/>
      </c>
      <c r="AO28" s="455"/>
      <c r="AP28" s="455" t="str">
        <f>IF(AND('Mapa final'!$K$22="Alta",'Mapa final'!$O$22="Mayor"),CONCATENATE("R",'Mapa final'!$A$22),"")</f>
        <v/>
      </c>
      <c r="AQ28" s="455"/>
      <c r="AR28" s="455" t="str">
        <f>IF(AND('Mapa final'!$K$25="Alta",'Mapa final'!$O$25="Mayor"),CONCATENATE("R",'Mapa final'!$A$25),"")</f>
        <v/>
      </c>
      <c r="AS28" s="455"/>
      <c r="AT28" s="455" t="str">
        <f>IF(AND('Mapa final'!$K$28="Alta",'Mapa final'!$O$28="Mayor"),CONCATENATE("R",'Mapa final'!$A$28),"")</f>
        <v>R8</v>
      </c>
      <c r="AU28" s="455"/>
      <c r="AV28" s="455" t="str">
        <f>IF(AND('Mapa final'!$K$31="Alta",'Mapa final'!$O$31="Mayor"),CONCATENATE("R",'Mapa final'!$A$31),"")</f>
        <v/>
      </c>
      <c r="AW28" s="495"/>
      <c r="AX28" s="487" t="str">
        <f>IF(AND('Mapa final'!$K$19="Alta",'Mapa final'!$O$19="Catastrófico"),CONCATENATE("R",'Mapa final'!$A$19),"")</f>
        <v/>
      </c>
      <c r="AY28" s="485"/>
      <c r="AZ28" s="485" t="str">
        <f>IF(AND('Mapa final'!$K$22="Alta",'Mapa final'!$O$22="Catastrófico"),CONCATENATE("R",'Mapa final'!$A$22),"")</f>
        <v/>
      </c>
      <c r="BA28" s="485"/>
      <c r="BB28" s="485" t="str">
        <f>IF(AND('Mapa final'!$K$25="Alta",'Mapa final'!$O$25="Catastrófico"),CONCATENATE("R",'Mapa final'!$A$25),"")</f>
        <v/>
      </c>
      <c r="BC28" s="485"/>
      <c r="BD28" s="485" t="str">
        <f>IF(AND('Mapa final'!$K$28="Alta",'Mapa final'!$O$28="Catastrófico"),CONCATENATE("R",'Mapa final'!$A$28),"")</f>
        <v/>
      </c>
      <c r="BE28" s="485"/>
      <c r="BF28" s="485" t="str">
        <f>IF(AND('Mapa final'!$K$31="Alta",'Mapa final'!$O$31="Catastrófico"),CONCATENATE("R",'Mapa final'!$A$31),"")</f>
        <v/>
      </c>
      <c r="BG28" s="486"/>
      <c r="BH28" s="56"/>
      <c r="BI28" s="509"/>
      <c r="BJ28" s="510"/>
      <c r="BK28" s="510"/>
      <c r="BL28" s="510"/>
      <c r="BM28" s="510"/>
      <c r="BN28" s="511"/>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row>
    <row r="29" spans="1:100" ht="15" customHeight="1" x14ac:dyDescent="0.35">
      <c r="A29" s="56"/>
      <c r="B29" s="311"/>
      <c r="C29" s="311"/>
      <c r="D29" s="312"/>
      <c r="E29" s="473"/>
      <c r="F29" s="474"/>
      <c r="G29" s="474"/>
      <c r="H29" s="474"/>
      <c r="I29" s="479"/>
      <c r="J29" s="462"/>
      <c r="K29" s="463"/>
      <c r="L29" s="463"/>
      <c r="M29" s="463"/>
      <c r="N29" s="463"/>
      <c r="O29" s="463"/>
      <c r="P29" s="463"/>
      <c r="Q29" s="463"/>
      <c r="R29" s="463"/>
      <c r="S29" s="466"/>
      <c r="T29" s="462"/>
      <c r="U29" s="463"/>
      <c r="V29" s="463"/>
      <c r="W29" s="463"/>
      <c r="X29" s="463"/>
      <c r="Y29" s="463"/>
      <c r="Z29" s="463"/>
      <c r="AA29" s="463"/>
      <c r="AB29" s="463"/>
      <c r="AC29" s="466"/>
      <c r="AD29" s="496"/>
      <c r="AE29" s="455"/>
      <c r="AF29" s="455"/>
      <c r="AG29" s="455"/>
      <c r="AH29" s="455"/>
      <c r="AI29" s="455"/>
      <c r="AJ29" s="455"/>
      <c r="AK29" s="455"/>
      <c r="AL29" s="455"/>
      <c r="AM29" s="495"/>
      <c r="AN29" s="496"/>
      <c r="AO29" s="455"/>
      <c r="AP29" s="455"/>
      <c r="AQ29" s="455"/>
      <c r="AR29" s="455"/>
      <c r="AS29" s="455"/>
      <c r="AT29" s="455"/>
      <c r="AU29" s="455"/>
      <c r="AV29" s="455"/>
      <c r="AW29" s="495"/>
      <c r="AX29" s="487"/>
      <c r="AY29" s="485"/>
      <c r="AZ29" s="485"/>
      <c r="BA29" s="485"/>
      <c r="BB29" s="485"/>
      <c r="BC29" s="485"/>
      <c r="BD29" s="485"/>
      <c r="BE29" s="485"/>
      <c r="BF29" s="485"/>
      <c r="BG29" s="486"/>
      <c r="BH29" s="56"/>
      <c r="BI29" s="509"/>
      <c r="BJ29" s="510"/>
      <c r="BK29" s="510"/>
      <c r="BL29" s="510"/>
      <c r="BM29" s="510"/>
      <c r="BN29" s="511"/>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row>
    <row r="30" spans="1:100" ht="15" customHeight="1" x14ac:dyDescent="0.35">
      <c r="A30" s="56"/>
      <c r="B30" s="311"/>
      <c r="C30" s="311"/>
      <c r="D30" s="312"/>
      <c r="E30" s="473"/>
      <c r="F30" s="474"/>
      <c r="G30" s="474"/>
      <c r="H30" s="474"/>
      <c r="I30" s="479"/>
      <c r="J30" s="462" t="str">
        <f>IF(AND('Mapa final'!$K$34="Alta",'Mapa final'!$O$34="Leve"),CONCATENATE("R",'Mapa final'!$A$34),"")</f>
        <v/>
      </c>
      <c r="K30" s="463"/>
      <c r="L30" s="463" t="str">
        <f>IF(AND('Mapa final'!$K$37="Alta",'Mapa final'!$O$37="Leve"),CONCATENATE("R",'Mapa final'!$A$37),"")</f>
        <v/>
      </c>
      <c r="M30" s="463"/>
      <c r="N30" s="463" t="str">
        <f>IF(AND('Mapa final'!$K$40="Alta",'Mapa final'!$O$40="Leve"),CONCATENATE("R",'Mapa final'!$A$40),"")</f>
        <v/>
      </c>
      <c r="O30" s="463"/>
      <c r="P30" s="463" t="str">
        <f>IF(AND('Mapa final'!$K$43="Alta",'Mapa final'!$O$43="Leve"),CONCATENATE("R",'Mapa final'!$A$43),"")</f>
        <v/>
      </c>
      <c r="Q30" s="463"/>
      <c r="R30" s="463" t="str">
        <f>IF(AND('Mapa final'!$K$46="Alta",'Mapa final'!$O$46="Leve"),CONCATENATE("R",'Mapa final'!$A$46),"")</f>
        <v/>
      </c>
      <c r="S30" s="466"/>
      <c r="T30" s="462" t="str">
        <f>IF(AND('Mapa final'!$K$34="Alta",'Mapa final'!$O$34="Menor"),CONCATENATE("R",'Mapa final'!$A$34),"")</f>
        <v/>
      </c>
      <c r="U30" s="463"/>
      <c r="V30" s="463" t="str">
        <f>IF(AND('Mapa final'!$K$37="Alta",'Mapa final'!$O$37="Menor"),CONCATENATE("R",'Mapa final'!$A$37),"")</f>
        <v/>
      </c>
      <c r="W30" s="463"/>
      <c r="X30" s="463" t="str">
        <f>IF(AND('Mapa final'!$K$40="Alta",'Mapa final'!$O$40="Menor"),CONCATENATE("R",'Mapa final'!$A$40),"")</f>
        <v/>
      </c>
      <c r="Y30" s="463"/>
      <c r="Z30" s="463" t="str">
        <f>IF(AND('Mapa final'!$K$43="Alta",'Mapa final'!$O$43="Menor"),CONCATENATE("R",'Mapa final'!$A$43),"")</f>
        <v/>
      </c>
      <c r="AA30" s="463"/>
      <c r="AB30" s="463" t="str">
        <f>IF(AND('Mapa final'!$K$46="Alta",'Mapa final'!$O$46="Menor"),CONCATENATE("R",'Mapa final'!$A$46),"")</f>
        <v/>
      </c>
      <c r="AC30" s="466"/>
      <c r="AD30" s="496" t="str">
        <f>IF(AND('Mapa final'!$K$34="Alta",'Mapa final'!$O$34="Moderado"),CONCATENATE("R",'Mapa final'!$A$34),"")</f>
        <v/>
      </c>
      <c r="AE30" s="455"/>
      <c r="AF30" s="455" t="str">
        <f>IF(AND('Mapa final'!$K$37="Alta",'Mapa final'!$O$37="Moderado"),CONCATENATE("R",'Mapa final'!$A$37),"")</f>
        <v/>
      </c>
      <c r="AG30" s="455"/>
      <c r="AH30" s="455" t="str">
        <f>IF(AND('Mapa final'!$K$40="Alta",'Mapa final'!$O$40="Moderado"),CONCATENATE("R",'Mapa final'!$A$40),"")</f>
        <v/>
      </c>
      <c r="AI30" s="455"/>
      <c r="AJ30" s="455" t="str">
        <f>IF(AND('Mapa final'!$K$43="Alta",'Mapa final'!$O$43="Moderado"),CONCATENATE("R",'Mapa final'!$A$43),"")</f>
        <v/>
      </c>
      <c r="AK30" s="455"/>
      <c r="AL30" s="455" t="str">
        <f>IF(AND('Mapa final'!$K$46="Alta",'Mapa final'!$O$46="Moderado"),CONCATENATE("R",'Mapa final'!$A$46),"")</f>
        <v>R14</v>
      </c>
      <c r="AM30" s="495"/>
      <c r="AN30" s="496" t="str">
        <f>IF(AND('Mapa final'!$K$34="Alta",'Mapa final'!$O$34="Mayor"),CONCATENATE("R",'Mapa final'!$A$34),"")</f>
        <v/>
      </c>
      <c r="AO30" s="455"/>
      <c r="AP30" s="455" t="str">
        <f>IF(AND('Mapa final'!$K$37="Alta",'Mapa final'!$O$37="Mayor"),CONCATENATE("R",'Mapa final'!$A$37),"")</f>
        <v/>
      </c>
      <c r="AQ30" s="455"/>
      <c r="AR30" s="455" t="str">
        <f>IF(AND('Mapa final'!$K$40="Alta",'Mapa final'!$O$40="Mayor"),CONCATENATE("R",'Mapa final'!$A$40),"")</f>
        <v/>
      </c>
      <c r="AS30" s="455"/>
      <c r="AT30" s="455" t="str">
        <f>IF(AND('Mapa final'!$K$43="Alta",'Mapa final'!$O$43="Mayor"),CONCATENATE("R",'Mapa final'!$A$43),"")</f>
        <v/>
      </c>
      <c r="AU30" s="455"/>
      <c r="AV30" s="455" t="str">
        <f>IF(AND('Mapa final'!$K$46="Alta",'Mapa final'!$O$46="Mayor"),CONCATENATE("R",'Mapa final'!$A$46),"")</f>
        <v/>
      </c>
      <c r="AW30" s="495"/>
      <c r="AX30" s="487" t="str">
        <f>IF(AND('Mapa final'!$K$34="Alta",'Mapa final'!$O$34="Catastrófico"),CONCATENATE("R",'Mapa final'!$A$34),"")</f>
        <v/>
      </c>
      <c r="AY30" s="485"/>
      <c r="AZ30" s="485" t="str">
        <f>IF(AND('Mapa final'!$K$37="Alta",'Mapa final'!$O$37="Catastrófico"),CONCATENATE("R",'Mapa final'!$A$37),"")</f>
        <v/>
      </c>
      <c r="BA30" s="485"/>
      <c r="BB30" s="485" t="str">
        <f>IF(AND('Mapa final'!$K$40="Alta",'Mapa final'!$O$40="Catastrófico"),CONCATENATE("R",'Mapa final'!$A$40),"")</f>
        <v/>
      </c>
      <c r="BC30" s="485"/>
      <c r="BD30" s="485" t="str">
        <f>IF(AND('Mapa final'!$K$43="Alta",'Mapa final'!$O$43="Catastrófico"),CONCATENATE("R",'Mapa final'!$A$43),"")</f>
        <v/>
      </c>
      <c r="BE30" s="485"/>
      <c r="BF30" s="485" t="str">
        <f>IF(AND('Mapa final'!$K$46="Alta",'Mapa final'!$O$46="Catastrófico"),CONCATENATE("R",'Mapa final'!$A$46),"")</f>
        <v/>
      </c>
      <c r="BG30" s="486"/>
      <c r="BH30" s="56"/>
      <c r="BI30" s="509"/>
      <c r="BJ30" s="510"/>
      <c r="BK30" s="510"/>
      <c r="BL30" s="510"/>
      <c r="BM30" s="510"/>
      <c r="BN30" s="511"/>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row>
    <row r="31" spans="1:100" ht="15" customHeight="1" x14ac:dyDescent="0.35">
      <c r="A31" s="56"/>
      <c r="B31" s="311"/>
      <c r="C31" s="311"/>
      <c r="D31" s="312"/>
      <c r="E31" s="473"/>
      <c r="F31" s="474"/>
      <c r="G31" s="474"/>
      <c r="H31" s="474"/>
      <c r="I31" s="479"/>
      <c r="J31" s="462"/>
      <c r="K31" s="463"/>
      <c r="L31" s="463"/>
      <c r="M31" s="463"/>
      <c r="N31" s="463"/>
      <c r="O31" s="463"/>
      <c r="P31" s="463"/>
      <c r="Q31" s="463"/>
      <c r="R31" s="463"/>
      <c r="S31" s="466"/>
      <c r="T31" s="462"/>
      <c r="U31" s="463"/>
      <c r="V31" s="463"/>
      <c r="W31" s="463"/>
      <c r="X31" s="463"/>
      <c r="Y31" s="463"/>
      <c r="Z31" s="463"/>
      <c r="AA31" s="463"/>
      <c r="AB31" s="463"/>
      <c r="AC31" s="466"/>
      <c r="AD31" s="496"/>
      <c r="AE31" s="455"/>
      <c r="AF31" s="455"/>
      <c r="AG31" s="455"/>
      <c r="AH31" s="455"/>
      <c r="AI31" s="455"/>
      <c r="AJ31" s="455"/>
      <c r="AK31" s="455"/>
      <c r="AL31" s="455"/>
      <c r="AM31" s="495"/>
      <c r="AN31" s="496"/>
      <c r="AO31" s="455"/>
      <c r="AP31" s="455"/>
      <c r="AQ31" s="455"/>
      <c r="AR31" s="455"/>
      <c r="AS31" s="455"/>
      <c r="AT31" s="455"/>
      <c r="AU31" s="455"/>
      <c r="AV31" s="455"/>
      <c r="AW31" s="495"/>
      <c r="AX31" s="487"/>
      <c r="AY31" s="485"/>
      <c r="AZ31" s="485"/>
      <c r="BA31" s="485"/>
      <c r="BB31" s="485"/>
      <c r="BC31" s="485"/>
      <c r="BD31" s="485"/>
      <c r="BE31" s="485"/>
      <c r="BF31" s="485"/>
      <c r="BG31" s="486"/>
      <c r="BH31" s="56"/>
      <c r="BI31" s="509"/>
      <c r="BJ31" s="510"/>
      <c r="BK31" s="510"/>
      <c r="BL31" s="510"/>
      <c r="BM31" s="510"/>
      <c r="BN31" s="511"/>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row>
    <row r="32" spans="1:100" ht="15" customHeight="1" x14ac:dyDescent="0.35">
      <c r="A32" s="56"/>
      <c r="B32" s="311"/>
      <c r="C32" s="311"/>
      <c r="D32" s="312"/>
      <c r="E32" s="473"/>
      <c r="F32" s="474"/>
      <c r="G32" s="474"/>
      <c r="H32" s="474"/>
      <c r="I32" s="479"/>
      <c r="J32" s="462" t="str">
        <f>IF(AND('Mapa final'!$K$49="Alta",'Mapa final'!$O$49="Leve"),CONCATENATE("R",'Mapa final'!$A$49),"")</f>
        <v/>
      </c>
      <c r="K32" s="463"/>
      <c r="L32" s="463" t="str">
        <f>IF(AND('Mapa final'!$K$52="Alta",'Mapa final'!$O$52="Leve"),CONCATENATE("R",'Mapa final'!$A$52),"")</f>
        <v/>
      </c>
      <c r="M32" s="463"/>
      <c r="N32" s="463" t="str">
        <f>IF(AND('Mapa final'!$K$55="Alta",'Mapa final'!$O$55="Leve"),CONCATENATE("R",'Mapa final'!$A$55),"")</f>
        <v/>
      </c>
      <c r="O32" s="463"/>
      <c r="P32" s="463" t="str">
        <f>IF(AND('Mapa final'!$K$58="Alta",'Mapa final'!$O$58="Leve"),CONCATENATE("R",'Mapa final'!$A$58),"")</f>
        <v/>
      </c>
      <c r="Q32" s="463"/>
      <c r="R32" s="463" t="str">
        <f>IF(AND('Mapa final'!$K$61="Alta",'Mapa final'!$O$61="Leve"),CONCATENATE("R",'Mapa final'!$A$61),"")</f>
        <v/>
      </c>
      <c r="S32" s="466"/>
      <c r="T32" s="462" t="str">
        <f>IF(AND('Mapa final'!$K$49="Alta",'Mapa final'!$O$49="Menor"),CONCATENATE("R",'Mapa final'!$A$49),"")</f>
        <v/>
      </c>
      <c r="U32" s="463"/>
      <c r="V32" s="463" t="str">
        <f>IF(AND('Mapa final'!$K$52="Alta",'Mapa final'!$O$52="Menor"),CONCATENATE("R",'Mapa final'!$A$52),"")</f>
        <v/>
      </c>
      <c r="W32" s="463"/>
      <c r="X32" s="463" t="str">
        <f>IF(AND('Mapa final'!$K$55="Alta",'Mapa final'!$O$55="Menor"),CONCATENATE("R",'Mapa final'!$A$55),"")</f>
        <v/>
      </c>
      <c r="Y32" s="463"/>
      <c r="Z32" s="463" t="str">
        <f>IF(AND('Mapa final'!$K$58="Alta",'Mapa final'!$O$58="Menor"),CONCATENATE("R",'Mapa final'!$A$58),"")</f>
        <v/>
      </c>
      <c r="AA32" s="463"/>
      <c r="AB32" s="463" t="str">
        <f>IF(AND('Mapa final'!$K$61="Alta",'Mapa final'!$O$61="Menor"),CONCATENATE("R",'Mapa final'!$A$61),"")</f>
        <v/>
      </c>
      <c r="AC32" s="466"/>
      <c r="AD32" s="496" t="str">
        <f>IF(AND('Mapa final'!$K$49="Alta",'Mapa final'!$O$49="Moderado"),CONCATENATE("R",'Mapa final'!$A$49),"")</f>
        <v/>
      </c>
      <c r="AE32" s="455"/>
      <c r="AF32" s="455" t="str">
        <f>IF(AND('Mapa final'!$K$52="Alta",'Mapa final'!$O$52="Moderado"),CONCATENATE("R",'Mapa final'!$A$52),"")</f>
        <v/>
      </c>
      <c r="AG32" s="455"/>
      <c r="AH32" s="455" t="str">
        <f>IF(AND('Mapa final'!$K$55="Alta",'Mapa final'!$O$55="Moderado"),CONCATENATE("R",'Mapa final'!$A$55),"")</f>
        <v/>
      </c>
      <c r="AI32" s="455"/>
      <c r="AJ32" s="455" t="str">
        <f>IF(AND('Mapa final'!$K$58="Alta",'Mapa final'!$O$58="Moderado"),CONCATENATE("R",'Mapa final'!$A$58),"")</f>
        <v/>
      </c>
      <c r="AK32" s="455"/>
      <c r="AL32" s="455" t="str">
        <f>IF(AND('Mapa final'!$K$61="Alta",'Mapa final'!$O$61="Moderado"),CONCATENATE("R",'Mapa final'!$A$61),"")</f>
        <v/>
      </c>
      <c r="AM32" s="495"/>
      <c r="AN32" s="496" t="str">
        <f>IF(AND('Mapa final'!$K$49="Alta",'Mapa final'!$O$49="Mayor"),CONCATENATE("R",'Mapa final'!$A$49),"")</f>
        <v/>
      </c>
      <c r="AO32" s="455"/>
      <c r="AP32" s="455" t="str">
        <f>IF(AND('Mapa final'!$K$52="Alta",'Mapa final'!$O$52="Mayor"),CONCATENATE("R",'Mapa final'!$A$52),"")</f>
        <v/>
      </c>
      <c r="AQ32" s="455"/>
      <c r="AR32" s="455" t="str">
        <f>IF(AND('Mapa final'!$K$55="Alta",'Mapa final'!$O$55="Mayor"),CONCATENATE("R",'Mapa final'!$A$55),"")</f>
        <v/>
      </c>
      <c r="AS32" s="455"/>
      <c r="AT32" s="455" t="str">
        <f>IF(AND('Mapa final'!$K$58="Alta",'Mapa final'!$O$58="Mayor"),CONCATENATE("R",'Mapa final'!$A$58),"")</f>
        <v/>
      </c>
      <c r="AU32" s="455"/>
      <c r="AV32" s="455" t="str">
        <f>IF(AND('Mapa final'!$K$61="Alta",'Mapa final'!$O$61="Mayor"),CONCATENATE("R",'Mapa final'!$A$61),"")</f>
        <v/>
      </c>
      <c r="AW32" s="495"/>
      <c r="AX32" s="487" t="str">
        <f>IF(AND('Mapa final'!$K$49="Alta",'Mapa final'!$O$49="Catastrófico"),CONCATENATE("R",'Mapa final'!$A$49),"")</f>
        <v/>
      </c>
      <c r="AY32" s="485"/>
      <c r="AZ32" s="485" t="str">
        <f>IF(AND('Mapa final'!$K$52="Alta",'Mapa final'!$O$52="Catastrófico"),CONCATENATE("R",'Mapa final'!$A$52),"")</f>
        <v/>
      </c>
      <c r="BA32" s="485"/>
      <c r="BB32" s="485" t="str">
        <f>IF(AND('Mapa final'!$K$55="Alta",'Mapa final'!$O$55="Catastrófico"),CONCATENATE("R",'Mapa final'!$A$55),"")</f>
        <v/>
      </c>
      <c r="BC32" s="485"/>
      <c r="BD32" s="485" t="str">
        <f>IF(AND('Mapa final'!$K$58="Alta",'Mapa final'!$O$58="Catastrófico"),CONCATENATE("R",'Mapa final'!$A$58),"")</f>
        <v/>
      </c>
      <c r="BE32" s="485"/>
      <c r="BF32" s="485" t="str">
        <f>IF(AND('Mapa final'!$K$61="Alta",'Mapa final'!$O$61="Catastrófico"),CONCATENATE("R",'Mapa final'!$A$61),"")</f>
        <v/>
      </c>
      <c r="BG32" s="486"/>
      <c r="BH32" s="56"/>
      <c r="BI32" s="509"/>
      <c r="BJ32" s="510"/>
      <c r="BK32" s="510"/>
      <c r="BL32" s="510"/>
      <c r="BM32" s="510"/>
      <c r="BN32" s="511"/>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row>
    <row r="33" spans="1:100" ht="15" customHeight="1" thickBot="1" x14ac:dyDescent="0.4">
      <c r="A33" s="56"/>
      <c r="B33" s="311"/>
      <c r="C33" s="311"/>
      <c r="D33" s="312"/>
      <c r="E33" s="473"/>
      <c r="F33" s="474"/>
      <c r="G33" s="474"/>
      <c r="H33" s="474"/>
      <c r="I33" s="479"/>
      <c r="J33" s="462"/>
      <c r="K33" s="463"/>
      <c r="L33" s="463"/>
      <c r="M33" s="463"/>
      <c r="N33" s="463"/>
      <c r="O33" s="463"/>
      <c r="P33" s="463"/>
      <c r="Q33" s="463"/>
      <c r="R33" s="463"/>
      <c r="S33" s="466"/>
      <c r="T33" s="462"/>
      <c r="U33" s="463"/>
      <c r="V33" s="463"/>
      <c r="W33" s="463"/>
      <c r="X33" s="463"/>
      <c r="Y33" s="463"/>
      <c r="Z33" s="463"/>
      <c r="AA33" s="463"/>
      <c r="AB33" s="463"/>
      <c r="AC33" s="466"/>
      <c r="AD33" s="496"/>
      <c r="AE33" s="455"/>
      <c r="AF33" s="455"/>
      <c r="AG33" s="455"/>
      <c r="AH33" s="455"/>
      <c r="AI33" s="455"/>
      <c r="AJ33" s="455"/>
      <c r="AK33" s="455"/>
      <c r="AL33" s="455"/>
      <c r="AM33" s="495"/>
      <c r="AN33" s="496"/>
      <c r="AO33" s="455"/>
      <c r="AP33" s="455"/>
      <c r="AQ33" s="455"/>
      <c r="AR33" s="455"/>
      <c r="AS33" s="455"/>
      <c r="AT33" s="455"/>
      <c r="AU33" s="455"/>
      <c r="AV33" s="455"/>
      <c r="AW33" s="495"/>
      <c r="AX33" s="487"/>
      <c r="AY33" s="485"/>
      <c r="AZ33" s="485"/>
      <c r="BA33" s="485"/>
      <c r="BB33" s="485"/>
      <c r="BC33" s="485"/>
      <c r="BD33" s="485"/>
      <c r="BE33" s="485"/>
      <c r="BF33" s="485"/>
      <c r="BG33" s="486"/>
      <c r="BH33" s="56"/>
      <c r="BI33" s="512"/>
      <c r="BJ33" s="513"/>
      <c r="BK33" s="513"/>
      <c r="BL33" s="513"/>
      <c r="BM33" s="513"/>
      <c r="BN33" s="514"/>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row>
    <row r="34" spans="1:100" ht="15" customHeight="1" x14ac:dyDescent="0.35">
      <c r="A34" s="56"/>
      <c r="B34" s="311"/>
      <c r="C34" s="311"/>
      <c r="D34" s="312"/>
      <c r="E34" s="473"/>
      <c r="F34" s="474"/>
      <c r="G34" s="474"/>
      <c r="H34" s="474"/>
      <c r="I34" s="479"/>
      <c r="J34" s="462" t="str">
        <f>IF(AND('Mapa final'!$K$64="Alta",'Mapa final'!$O$64="Leve"),CONCATENATE("R",'Mapa final'!$A$64),"")</f>
        <v/>
      </c>
      <c r="K34" s="463"/>
      <c r="L34" s="463" t="str">
        <f>IF(AND('Mapa final'!$K$67="Alta",'Mapa final'!$O$67="Leve"),CONCATENATE("R",'Mapa final'!$A$67),"")</f>
        <v/>
      </c>
      <c r="M34" s="463"/>
      <c r="N34" s="463" t="str">
        <f>IF(AND('Mapa final'!$K$73="Alta",'Mapa final'!$O$73="Leve"),CONCATENATE("R",'Mapa final'!$A$73),"")</f>
        <v/>
      </c>
      <c r="O34" s="463"/>
      <c r="P34" s="463" t="str">
        <f>IF(AND('Mapa final'!$K$76="Alta",'Mapa final'!$O$76="Leve"),CONCATENATE("R",'Mapa final'!$A$76),"")</f>
        <v/>
      </c>
      <c r="Q34" s="463"/>
      <c r="R34" s="463" t="str">
        <f>IF(AND('Mapa final'!$K$79="Alta",'Mapa final'!$O$79="Leve"),CONCATENATE("R",'Mapa final'!$A$79),"")</f>
        <v/>
      </c>
      <c r="S34" s="466"/>
      <c r="T34" s="462" t="str">
        <f>IF(AND('Mapa final'!$K$64="Alta",'Mapa final'!$O$64="Menor"),CONCATENATE("R",'Mapa final'!$A$64),"")</f>
        <v/>
      </c>
      <c r="U34" s="463"/>
      <c r="V34" s="463" t="str">
        <f>IF(AND('Mapa final'!$K$67="Alta",'Mapa final'!$O$67="Menor"),CONCATENATE("R",'Mapa final'!$A$67),"")</f>
        <v/>
      </c>
      <c r="W34" s="463"/>
      <c r="X34" s="463" t="str">
        <f>IF(AND('Mapa final'!$K$73="Alta",'Mapa final'!$O$73="Menor"),CONCATENATE("R",'Mapa final'!$A$73),"")</f>
        <v/>
      </c>
      <c r="Y34" s="463"/>
      <c r="Z34" s="463" t="str">
        <f>IF(AND('Mapa final'!$K$76="Alta",'Mapa final'!$O$76="Menor"),CONCATENATE("R",'Mapa final'!$A$76),"")</f>
        <v/>
      </c>
      <c r="AA34" s="463"/>
      <c r="AB34" s="463" t="str">
        <f>IF(AND('Mapa final'!$K$79="Alta",'Mapa final'!$O$79="Menor"),CONCATENATE("R",'Mapa final'!$A$79),"")</f>
        <v/>
      </c>
      <c r="AC34" s="466"/>
      <c r="AD34" s="496" t="str">
        <f>IF(AND('Mapa final'!$K$64="Alta",'Mapa final'!$O$64="Moderado"),CONCATENATE("R",'Mapa final'!$A$64),"")</f>
        <v/>
      </c>
      <c r="AE34" s="455"/>
      <c r="AF34" s="455" t="str">
        <f>IF(AND('Mapa final'!$K$67="Alta",'Mapa final'!$O$67="Moderado"),CONCATENATE("R",'Mapa final'!$A$67),"")</f>
        <v/>
      </c>
      <c r="AG34" s="455"/>
      <c r="AH34" s="455" t="str">
        <f>IF(AND('Mapa final'!$K$73="Alta",'Mapa final'!$O$73="Moderado"),CONCATENATE("R",'Mapa final'!$A$73),"")</f>
        <v/>
      </c>
      <c r="AI34" s="455"/>
      <c r="AJ34" s="455" t="str">
        <f>IF(AND('Mapa final'!$K$76="Alta",'Mapa final'!$O$76="Moderado"),CONCATENATE("R",'Mapa final'!$A$76),"")</f>
        <v/>
      </c>
      <c r="AK34" s="455"/>
      <c r="AL34" s="455" t="str">
        <f>IF(AND('Mapa final'!$K$79="Alta",'Mapa final'!$O$79="Moderado"),CONCATENATE("R",'Mapa final'!$A$79),"")</f>
        <v/>
      </c>
      <c r="AM34" s="495"/>
      <c r="AN34" s="496" t="str">
        <f>IF(AND('Mapa final'!$K$64="Alta",'Mapa final'!$O$64="Mayor"),CONCATENATE("R",'Mapa final'!$A$64),"")</f>
        <v/>
      </c>
      <c r="AO34" s="455"/>
      <c r="AP34" s="455" t="str">
        <f>IF(AND('Mapa final'!$K$67="Alta",'Mapa final'!$O$67="Mayor"),CONCATENATE("R",'Mapa final'!$A$67),"")</f>
        <v/>
      </c>
      <c r="AQ34" s="455"/>
      <c r="AR34" s="455" t="str">
        <f>IF(AND('Mapa final'!$K$73="Alta",'Mapa final'!$O$73="Mayor"),CONCATENATE("R",'Mapa final'!$A$73),"")</f>
        <v/>
      </c>
      <c r="AS34" s="455"/>
      <c r="AT34" s="455" t="str">
        <f>IF(AND('Mapa final'!$K$76="Alta",'Mapa final'!$O$76="Mayor"),CONCATENATE("R",'Mapa final'!$A$76),"")</f>
        <v/>
      </c>
      <c r="AU34" s="455"/>
      <c r="AV34" s="455" t="str">
        <f>IF(AND('Mapa final'!$K$79="Alta",'Mapa final'!$O$79="Mayor"),CONCATENATE("R",'Mapa final'!$A$79),"")</f>
        <v/>
      </c>
      <c r="AW34" s="495"/>
      <c r="AX34" s="487" t="str">
        <f>IF(AND('Mapa final'!$K$64="Alta",'Mapa final'!$O$64="Catastrófico"),CONCATENATE("R",'Mapa final'!$A$64),"")</f>
        <v/>
      </c>
      <c r="AY34" s="485"/>
      <c r="AZ34" s="485" t="str">
        <f>IF(AND('Mapa final'!$K$67="Alta",'Mapa final'!$O$67="Catastrófico"),CONCATENATE("R",'Mapa final'!$A$67),"")</f>
        <v/>
      </c>
      <c r="BA34" s="485"/>
      <c r="BB34" s="485" t="str">
        <f>IF(AND('Mapa final'!$K$73="Alta",'Mapa final'!$O$73="Catastrófico"),CONCATENATE("R",'Mapa final'!$A$73),"")</f>
        <v/>
      </c>
      <c r="BC34" s="485"/>
      <c r="BD34" s="485" t="str">
        <f>IF(AND('Mapa final'!$K$76="Alta",'Mapa final'!$O$76="Catastrófico"),CONCATENATE("R",'Mapa final'!$A$76),"")</f>
        <v/>
      </c>
      <c r="BE34" s="485"/>
      <c r="BF34" s="485" t="str">
        <f>IF(AND('Mapa final'!$K$79="Alta",'Mapa final'!$O$79="Catastrófico"),CONCATENATE("R",'Mapa final'!$A$79),"")</f>
        <v/>
      </c>
      <c r="BG34" s="486"/>
      <c r="BH34" s="56"/>
      <c r="BI34" s="515" t="s">
        <v>74</v>
      </c>
      <c r="BJ34" s="516"/>
      <c r="BK34" s="516"/>
      <c r="BL34" s="516"/>
      <c r="BM34" s="516"/>
      <c r="BN34" s="517"/>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row>
    <row r="35" spans="1:100" ht="15" customHeight="1" x14ac:dyDescent="0.35">
      <c r="A35" s="56"/>
      <c r="B35" s="311"/>
      <c r="C35" s="311"/>
      <c r="D35" s="312"/>
      <c r="E35" s="473"/>
      <c r="F35" s="474"/>
      <c r="G35" s="474"/>
      <c r="H35" s="474"/>
      <c r="I35" s="479"/>
      <c r="J35" s="462"/>
      <c r="K35" s="463"/>
      <c r="L35" s="463"/>
      <c r="M35" s="463"/>
      <c r="N35" s="463"/>
      <c r="O35" s="463"/>
      <c r="P35" s="463"/>
      <c r="Q35" s="463"/>
      <c r="R35" s="463"/>
      <c r="S35" s="466"/>
      <c r="T35" s="462"/>
      <c r="U35" s="463"/>
      <c r="V35" s="463"/>
      <c r="W35" s="463"/>
      <c r="X35" s="463"/>
      <c r="Y35" s="463"/>
      <c r="Z35" s="463"/>
      <c r="AA35" s="463"/>
      <c r="AB35" s="463"/>
      <c r="AC35" s="466"/>
      <c r="AD35" s="496"/>
      <c r="AE35" s="455"/>
      <c r="AF35" s="455"/>
      <c r="AG35" s="455"/>
      <c r="AH35" s="455"/>
      <c r="AI35" s="455"/>
      <c r="AJ35" s="455"/>
      <c r="AK35" s="455"/>
      <c r="AL35" s="455"/>
      <c r="AM35" s="495"/>
      <c r="AN35" s="496"/>
      <c r="AO35" s="455"/>
      <c r="AP35" s="455"/>
      <c r="AQ35" s="455"/>
      <c r="AR35" s="455"/>
      <c r="AS35" s="455"/>
      <c r="AT35" s="455"/>
      <c r="AU35" s="455"/>
      <c r="AV35" s="455"/>
      <c r="AW35" s="495"/>
      <c r="AX35" s="487"/>
      <c r="AY35" s="485"/>
      <c r="AZ35" s="485"/>
      <c r="BA35" s="485"/>
      <c r="BB35" s="485"/>
      <c r="BC35" s="485"/>
      <c r="BD35" s="485"/>
      <c r="BE35" s="485"/>
      <c r="BF35" s="485"/>
      <c r="BG35" s="486"/>
      <c r="BH35" s="56"/>
      <c r="BI35" s="518"/>
      <c r="BJ35" s="519"/>
      <c r="BK35" s="519"/>
      <c r="BL35" s="519"/>
      <c r="BM35" s="519"/>
      <c r="BN35" s="520"/>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row>
    <row r="36" spans="1:100" ht="15" customHeight="1" x14ac:dyDescent="0.35">
      <c r="A36" s="56"/>
      <c r="B36" s="311"/>
      <c r="C36" s="311"/>
      <c r="D36" s="312"/>
      <c r="E36" s="473"/>
      <c r="F36" s="474"/>
      <c r="G36" s="474"/>
      <c r="H36" s="474"/>
      <c r="I36" s="479"/>
      <c r="J36" s="462" t="str">
        <f>IF(AND('Mapa final'!$K$82="Alta",'Mapa final'!$O$82="Leve"),CONCATENATE("R",'Mapa final'!$A$82),"")</f>
        <v/>
      </c>
      <c r="K36" s="463"/>
      <c r="L36" s="463" t="str">
        <f>IF(AND('Mapa final'!$K$85="Alta",'Mapa final'!$O$85="Leve"),CONCATENATE("R",'Mapa final'!$A$85),"")</f>
        <v/>
      </c>
      <c r="M36" s="463"/>
      <c r="N36" s="463" t="str">
        <f>IF(AND('Mapa final'!$K$88="Alta",'Mapa final'!$O$88="Leve"),CONCATENATE("R",'Mapa final'!$A$88),"")</f>
        <v/>
      </c>
      <c r="O36" s="463"/>
      <c r="P36" s="463" t="str">
        <f>IF(AND('Mapa final'!$K$91="Alta",'Mapa final'!$O$91="Leve"),CONCATENATE("R",'Mapa final'!$A$91),"")</f>
        <v/>
      </c>
      <c r="Q36" s="463"/>
      <c r="R36" s="463" t="str">
        <f>IF(AND('Mapa final'!$K$94="Alta",'Mapa final'!$O$94="Leve"),CONCATENATE("R",'Mapa final'!$A$94),"")</f>
        <v/>
      </c>
      <c r="S36" s="466"/>
      <c r="T36" s="462" t="str">
        <f>IF(AND('Mapa final'!$K$82="Alta",'Mapa final'!$O$82="Menor"),CONCATENATE("R",'Mapa final'!$A$82),"")</f>
        <v/>
      </c>
      <c r="U36" s="463"/>
      <c r="V36" s="463" t="str">
        <f>IF(AND('Mapa final'!$K$85="Alta",'Mapa final'!$O$85="Menor"),CONCATENATE("R",'Mapa final'!$A$85),"")</f>
        <v/>
      </c>
      <c r="W36" s="463"/>
      <c r="X36" s="463" t="str">
        <f>IF(AND('Mapa final'!$K$88="Alta",'Mapa final'!$O$88="Menor"),CONCATENATE("R",'Mapa final'!$A$88),"")</f>
        <v/>
      </c>
      <c r="Y36" s="463"/>
      <c r="Z36" s="463" t="str">
        <f>IF(AND('Mapa final'!$K$91="Alta",'Mapa final'!$O$91="Menor"),CONCATENATE("R",'Mapa final'!$A$91),"")</f>
        <v/>
      </c>
      <c r="AA36" s="463"/>
      <c r="AB36" s="463" t="str">
        <f>IF(AND('Mapa final'!$K$94="Alta",'Mapa final'!$O$94="Menor"),CONCATENATE("R",'Mapa final'!$A$94),"")</f>
        <v/>
      </c>
      <c r="AC36" s="466"/>
      <c r="AD36" s="496" t="str">
        <f>IF(AND('Mapa final'!$K$82="Alta",'Mapa final'!$O$82="Moderado"),CONCATENATE("R",'Mapa final'!$A$82),"")</f>
        <v/>
      </c>
      <c r="AE36" s="455"/>
      <c r="AF36" s="455" t="str">
        <f>IF(AND('Mapa final'!$K$85="Alta",'Mapa final'!$O$85="Moderado"),CONCATENATE("R",'Mapa final'!$A$85),"")</f>
        <v/>
      </c>
      <c r="AG36" s="455"/>
      <c r="AH36" s="455" t="str">
        <f>IF(AND('Mapa final'!$K$88="Alta",'Mapa final'!$O$88="Moderado"),CONCATENATE("R",'Mapa final'!$A$88),"")</f>
        <v/>
      </c>
      <c r="AI36" s="455"/>
      <c r="AJ36" s="455" t="str">
        <f>IF(AND('Mapa final'!$K$91="Alta",'Mapa final'!$O$91="Moderado"),CONCATENATE("R",'Mapa final'!$A$91),"")</f>
        <v/>
      </c>
      <c r="AK36" s="455"/>
      <c r="AL36" s="455" t="str">
        <f>IF(AND('Mapa final'!$K$94="Alta",'Mapa final'!$O$94="Moderado"),CONCATENATE("R",'Mapa final'!$A$94),"")</f>
        <v/>
      </c>
      <c r="AM36" s="495"/>
      <c r="AN36" s="496" t="str">
        <f>IF(AND('Mapa final'!$K$82="Alta",'Mapa final'!$O$82="Mayor"),CONCATENATE("R",'Mapa final'!$A$82),"")</f>
        <v/>
      </c>
      <c r="AO36" s="455"/>
      <c r="AP36" s="455" t="str">
        <f>IF(AND('Mapa final'!$K$85="Alta",'Mapa final'!$O$85="Mayor"),CONCATENATE("R",'Mapa final'!$A$85),"")</f>
        <v/>
      </c>
      <c r="AQ36" s="455"/>
      <c r="AR36" s="455" t="str">
        <f>IF(AND('Mapa final'!$K$88="Alta",'Mapa final'!$O$88="Mayor"),CONCATENATE("R",'Mapa final'!$A$88),"")</f>
        <v/>
      </c>
      <c r="AS36" s="455"/>
      <c r="AT36" s="455" t="str">
        <f>IF(AND('Mapa final'!$K$91="Alta",'Mapa final'!$O$91="Mayor"),CONCATENATE("R",'Mapa final'!$A$91),"")</f>
        <v/>
      </c>
      <c r="AU36" s="455"/>
      <c r="AV36" s="455" t="str">
        <f>IF(AND('Mapa final'!$K$94="Alta",'Mapa final'!$O$94="Mayor"),CONCATENATE("R",'Mapa final'!$A$94),"")</f>
        <v>R30</v>
      </c>
      <c r="AW36" s="495"/>
      <c r="AX36" s="487" t="str">
        <f>IF(AND('Mapa final'!$K$82="Alta",'Mapa final'!$O$82="Catastrófico"),CONCATENATE("R",'Mapa final'!$A$82),"")</f>
        <v/>
      </c>
      <c r="AY36" s="485"/>
      <c r="AZ36" s="485" t="str">
        <f>IF(AND('Mapa final'!$K$85="Alta",'Mapa final'!$O$85="Catastrófico"),CONCATENATE("R",'Mapa final'!$A$85),"")</f>
        <v/>
      </c>
      <c r="BA36" s="485"/>
      <c r="BB36" s="485" t="str">
        <f>IF(AND('Mapa final'!$K$88="Alta",'Mapa final'!$O$88="Catastrófico"),CONCATENATE("R",'Mapa final'!$A$88),"")</f>
        <v/>
      </c>
      <c r="BC36" s="485"/>
      <c r="BD36" s="485" t="str">
        <f>IF(AND('Mapa final'!$K$91="Alta",'Mapa final'!$O$91="Catastrófico"),CONCATENATE("R",'Mapa final'!$A$91),"")</f>
        <v/>
      </c>
      <c r="BE36" s="485"/>
      <c r="BF36" s="485" t="str">
        <f>IF(AND('Mapa final'!$K$94="Alta",'Mapa final'!$O$94="Catastrófico"),CONCATENATE("R",'Mapa final'!$A$94),"")</f>
        <v/>
      </c>
      <c r="BG36" s="486"/>
      <c r="BH36" s="56"/>
      <c r="BI36" s="518"/>
      <c r="BJ36" s="519"/>
      <c r="BK36" s="519"/>
      <c r="BL36" s="519"/>
      <c r="BM36" s="519"/>
      <c r="BN36" s="520"/>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row>
    <row r="37" spans="1:100" ht="15" customHeight="1" x14ac:dyDescent="0.35">
      <c r="A37" s="56"/>
      <c r="B37" s="311"/>
      <c r="C37" s="311"/>
      <c r="D37" s="312"/>
      <c r="E37" s="473"/>
      <c r="F37" s="474"/>
      <c r="G37" s="474"/>
      <c r="H37" s="474"/>
      <c r="I37" s="479"/>
      <c r="J37" s="462"/>
      <c r="K37" s="463"/>
      <c r="L37" s="463"/>
      <c r="M37" s="463"/>
      <c r="N37" s="463"/>
      <c r="O37" s="463"/>
      <c r="P37" s="463"/>
      <c r="Q37" s="463"/>
      <c r="R37" s="463"/>
      <c r="S37" s="466"/>
      <c r="T37" s="462"/>
      <c r="U37" s="463"/>
      <c r="V37" s="463"/>
      <c r="W37" s="463"/>
      <c r="X37" s="463"/>
      <c r="Y37" s="463"/>
      <c r="Z37" s="463"/>
      <c r="AA37" s="463"/>
      <c r="AB37" s="463"/>
      <c r="AC37" s="466"/>
      <c r="AD37" s="496"/>
      <c r="AE37" s="455"/>
      <c r="AF37" s="455"/>
      <c r="AG37" s="455"/>
      <c r="AH37" s="455"/>
      <c r="AI37" s="455"/>
      <c r="AJ37" s="455"/>
      <c r="AK37" s="455"/>
      <c r="AL37" s="455"/>
      <c r="AM37" s="495"/>
      <c r="AN37" s="496"/>
      <c r="AO37" s="455"/>
      <c r="AP37" s="455"/>
      <c r="AQ37" s="455"/>
      <c r="AR37" s="455"/>
      <c r="AS37" s="455"/>
      <c r="AT37" s="455"/>
      <c r="AU37" s="455"/>
      <c r="AV37" s="455"/>
      <c r="AW37" s="495"/>
      <c r="AX37" s="487"/>
      <c r="AY37" s="485"/>
      <c r="AZ37" s="485"/>
      <c r="BA37" s="485"/>
      <c r="BB37" s="485"/>
      <c r="BC37" s="485"/>
      <c r="BD37" s="485"/>
      <c r="BE37" s="485"/>
      <c r="BF37" s="485"/>
      <c r="BG37" s="486"/>
      <c r="BH37" s="56"/>
      <c r="BI37" s="518"/>
      <c r="BJ37" s="519"/>
      <c r="BK37" s="519"/>
      <c r="BL37" s="519"/>
      <c r="BM37" s="519"/>
      <c r="BN37" s="520"/>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row>
    <row r="38" spans="1:100" ht="15" customHeight="1" x14ac:dyDescent="0.35">
      <c r="A38" s="56"/>
      <c r="B38" s="311"/>
      <c r="C38" s="311"/>
      <c r="D38" s="312"/>
      <c r="E38" s="473"/>
      <c r="F38" s="474"/>
      <c r="G38" s="474"/>
      <c r="H38" s="474"/>
      <c r="I38" s="479"/>
      <c r="J38" s="462" t="str">
        <f>IF(AND('Mapa final'!$K$97="Alta",'Mapa final'!$O$97="Leve"),CONCATENATE("R",'Mapa final'!$A$97),"")</f>
        <v/>
      </c>
      <c r="K38" s="463"/>
      <c r="L38" s="463" t="str">
        <f>IF(AND('Mapa final'!$K$100="Alta",'Mapa final'!$O$100="Leve"),CONCATENATE("R",'Mapa final'!$A$100),"")</f>
        <v/>
      </c>
      <c r="M38" s="463"/>
      <c r="N38" s="463" t="str">
        <f>IF(AND('Mapa final'!$K$103="Alta",'Mapa final'!$O$103="Leve"),CONCATENATE("R",'Mapa final'!$A$103),"")</f>
        <v/>
      </c>
      <c r="O38" s="463"/>
      <c r="P38" s="463" t="str">
        <f>IF(AND('Mapa final'!$K$106="Alta",'Mapa final'!$O$106="Leve"),CONCATENATE("R",'Mapa final'!$A$106),"")</f>
        <v/>
      </c>
      <c r="Q38" s="463"/>
      <c r="R38" s="463" t="str">
        <f>IF(AND('Mapa final'!$K$109="Alta",'Mapa final'!$O$109="Leve"),CONCATENATE("R",'Mapa final'!$A$109),"")</f>
        <v/>
      </c>
      <c r="S38" s="466"/>
      <c r="T38" s="462" t="str">
        <f>IF(AND('Mapa final'!$K$97="Alta",'Mapa final'!$O$97="Menor"),CONCATENATE("R",'Mapa final'!$A$97),"")</f>
        <v/>
      </c>
      <c r="U38" s="463"/>
      <c r="V38" s="463" t="str">
        <f>IF(AND('Mapa final'!$K$100="Alta",'Mapa final'!$O$100="Menor"),CONCATENATE("R",'Mapa final'!$A$100),"")</f>
        <v/>
      </c>
      <c r="W38" s="463"/>
      <c r="X38" s="463" t="str">
        <f>IF(AND('Mapa final'!$K$103="Alta",'Mapa final'!$O$103="Menor"),CONCATENATE("R",'Mapa final'!$A$103),"")</f>
        <v/>
      </c>
      <c r="Y38" s="463"/>
      <c r="Z38" s="463" t="str">
        <f>IF(AND('Mapa final'!$K$106="Alta",'Mapa final'!$O$106="Menor"),CONCATENATE("R",'Mapa final'!$A$106),"")</f>
        <v/>
      </c>
      <c r="AA38" s="463"/>
      <c r="AB38" s="463" t="str">
        <f>IF(AND('Mapa final'!$K$109="Alta",'Mapa final'!$O$109="Menor"),CONCATENATE("R",'Mapa final'!$A$109),"")</f>
        <v/>
      </c>
      <c r="AC38" s="466"/>
      <c r="AD38" s="496" t="str">
        <f>IF(AND('Mapa final'!$K$97="Alta",'Mapa final'!$O$97="Moderado"),CONCATENATE("R",'Mapa final'!$A$97),"")</f>
        <v/>
      </c>
      <c r="AE38" s="455"/>
      <c r="AF38" s="455" t="str">
        <f>IF(AND('Mapa final'!$K$100="Alta",'Mapa final'!$O$100="Moderado"),CONCATENATE("R",'Mapa final'!$A$100),"")</f>
        <v>R32</v>
      </c>
      <c r="AG38" s="455"/>
      <c r="AH38" s="455" t="str">
        <f>IF(AND('Mapa final'!$K$103="Alta",'Mapa final'!$O$103="Moderado"),CONCATENATE("R",'Mapa final'!$A$103),"")</f>
        <v>R33</v>
      </c>
      <c r="AI38" s="455"/>
      <c r="AJ38" s="455" t="str">
        <f>IF(AND('Mapa final'!$K$106="Alta",'Mapa final'!$O$106="Moderado"),CONCATENATE("R",'Mapa final'!$A$106),"")</f>
        <v/>
      </c>
      <c r="AK38" s="455"/>
      <c r="AL38" s="455" t="str">
        <f>IF(AND('Mapa final'!$K$109="Alta",'Mapa final'!$O$109="Moderado"),CONCATENATE("R",'Mapa final'!$A$109),"")</f>
        <v/>
      </c>
      <c r="AM38" s="495"/>
      <c r="AN38" s="496" t="str">
        <f>IF(AND('Mapa final'!$K$97="Alta",'Mapa final'!$O$97="Mayor"),CONCATENATE("R",'Mapa final'!$A$97),"")</f>
        <v/>
      </c>
      <c r="AO38" s="455"/>
      <c r="AP38" s="455" t="str">
        <f>IF(AND('Mapa final'!$K$100="Alta",'Mapa final'!$O$100="Mayor"),CONCATENATE("R",'Mapa final'!$A$100),"")</f>
        <v/>
      </c>
      <c r="AQ38" s="455"/>
      <c r="AR38" s="455" t="str">
        <f>IF(AND('Mapa final'!$K$103="Alta",'Mapa final'!$O$103="Mayor"),CONCATENATE("R",'Mapa final'!$A$103),"")</f>
        <v/>
      </c>
      <c r="AS38" s="455"/>
      <c r="AT38" s="455" t="str">
        <f>IF(AND('Mapa final'!$K$106="Alta",'Mapa final'!$O$106="Mayor"),CONCATENATE("R",'Mapa final'!$A$106),"")</f>
        <v/>
      </c>
      <c r="AU38" s="455"/>
      <c r="AV38" s="455" t="str">
        <f>IF(AND('Mapa final'!$K$109="Alta",'Mapa final'!$O$109="Mayor"),CONCATENATE("R",'Mapa final'!$A$109),"")</f>
        <v/>
      </c>
      <c r="AW38" s="495"/>
      <c r="AX38" s="487" t="str">
        <f>IF(AND('Mapa final'!$K$97="Alta",'Mapa final'!$O$97="Catastrófico"),CONCATENATE("R",'Mapa final'!$A$97),"")</f>
        <v/>
      </c>
      <c r="AY38" s="485"/>
      <c r="AZ38" s="485" t="str">
        <f>IF(AND('Mapa final'!$K$100="Alta",'Mapa final'!$O$100="Catastrófico"),CONCATENATE("R",'Mapa final'!$A$100),"")</f>
        <v/>
      </c>
      <c r="BA38" s="485"/>
      <c r="BB38" s="485" t="str">
        <f>IF(AND('Mapa final'!$K$103="Alta",'Mapa final'!$O$103="Catastrófico"),CONCATENATE("R",'Mapa final'!$A$103),"")</f>
        <v/>
      </c>
      <c r="BC38" s="485"/>
      <c r="BD38" s="485" t="str">
        <f>IF(AND('Mapa final'!$K$106="Alta",'Mapa final'!$O$106="Catastrófico"),CONCATENATE("R",'Mapa final'!$A$106),"")</f>
        <v/>
      </c>
      <c r="BE38" s="485"/>
      <c r="BF38" s="485" t="str">
        <f>IF(AND('Mapa final'!$K$109="Alta",'Mapa final'!$O$109="Catastrófico"),CONCATENATE("R",'Mapa final'!$A$109),"")</f>
        <v/>
      </c>
      <c r="BG38" s="486"/>
      <c r="BH38" s="56"/>
      <c r="BI38" s="518"/>
      <c r="BJ38" s="519"/>
      <c r="BK38" s="519"/>
      <c r="BL38" s="519"/>
      <c r="BM38" s="519"/>
      <c r="BN38" s="520"/>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row>
    <row r="39" spans="1:100" ht="15" customHeight="1" x14ac:dyDescent="0.35">
      <c r="A39" s="56"/>
      <c r="B39" s="311"/>
      <c r="C39" s="311"/>
      <c r="D39" s="312"/>
      <c r="E39" s="473"/>
      <c r="F39" s="474"/>
      <c r="G39" s="474"/>
      <c r="H39" s="474"/>
      <c r="I39" s="479"/>
      <c r="J39" s="462"/>
      <c r="K39" s="463"/>
      <c r="L39" s="463"/>
      <c r="M39" s="463"/>
      <c r="N39" s="463"/>
      <c r="O39" s="463"/>
      <c r="P39" s="463"/>
      <c r="Q39" s="463"/>
      <c r="R39" s="463"/>
      <c r="S39" s="466"/>
      <c r="T39" s="462"/>
      <c r="U39" s="463"/>
      <c r="V39" s="463"/>
      <c r="W39" s="463"/>
      <c r="X39" s="463"/>
      <c r="Y39" s="463"/>
      <c r="Z39" s="463"/>
      <c r="AA39" s="463"/>
      <c r="AB39" s="463"/>
      <c r="AC39" s="466"/>
      <c r="AD39" s="496"/>
      <c r="AE39" s="455"/>
      <c r="AF39" s="455"/>
      <c r="AG39" s="455"/>
      <c r="AH39" s="455"/>
      <c r="AI39" s="455"/>
      <c r="AJ39" s="455"/>
      <c r="AK39" s="455"/>
      <c r="AL39" s="455"/>
      <c r="AM39" s="495"/>
      <c r="AN39" s="496"/>
      <c r="AO39" s="455"/>
      <c r="AP39" s="455"/>
      <c r="AQ39" s="455"/>
      <c r="AR39" s="455"/>
      <c r="AS39" s="455"/>
      <c r="AT39" s="455"/>
      <c r="AU39" s="455"/>
      <c r="AV39" s="455"/>
      <c r="AW39" s="495"/>
      <c r="AX39" s="487"/>
      <c r="AY39" s="485"/>
      <c r="AZ39" s="485"/>
      <c r="BA39" s="485"/>
      <c r="BB39" s="485"/>
      <c r="BC39" s="485"/>
      <c r="BD39" s="485"/>
      <c r="BE39" s="485"/>
      <c r="BF39" s="485"/>
      <c r="BG39" s="486"/>
      <c r="BH39" s="56"/>
      <c r="BI39" s="518"/>
      <c r="BJ39" s="519"/>
      <c r="BK39" s="519"/>
      <c r="BL39" s="519"/>
      <c r="BM39" s="519"/>
      <c r="BN39" s="520"/>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row>
    <row r="40" spans="1:100" ht="15" customHeight="1" x14ac:dyDescent="0.35">
      <c r="A40" s="56"/>
      <c r="B40" s="311"/>
      <c r="C40" s="311"/>
      <c r="D40" s="312"/>
      <c r="E40" s="473"/>
      <c r="F40" s="474"/>
      <c r="G40" s="474"/>
      <c r="H40" s="474"/>
      <c r="I40" s="479"/>
      <c r="J40" s="462" t="str">
        <f>IF(AND('Mapa final'!$K$112="Alta",'Mapa final'!$O$112="Leve"),CONCATENATE("R",'Mapa final'!$A$112),"")</f>
        <v/>
      </c>
      <c r="K40" s="463"/>
      <c r="L40" s="463" t="str">
        <f>IF(AND('Mapa final'!$K$115="Alta",'Mapa final'!$O$115="Leve"),CONCATENATE("R",'Mapa final'!$A$115),"")</f>
        <v/>
      </c>
      <c r="M40" s="463"/>
      <c r="N40" s="463" t="str">
        <f>IF(AND('Mapa final'!$K$118="Alta",'Mapa final'!$O$118="Leve"),CONCATENATE("R",'Mapa final'!$A$118),"")</f>
        <v/>
      </c>
      <c r="O40" s="463"/>
      <c r="P40" s="463" t="str">
        <f>IF(AND('Mapa final'!$K$121="Alta",'Mapa final'!$O$121="Leve"),CONCATENATE("R",'Mapa final'!$A$121),"")</f>
        <v/>
      </c>
      <c r="Q40" s="463"/>
      <c r="R40" s="463" t="str">
        <f>IF(AND('Mapa final'!$K$124="Alta",'Mapa final'!$O$124="Leve"),CONCATENATE("R",'Mapa final'!$A$124),"")</f>
        <v/>
      </c>
      <c r="S40" s="466"/>
      <c r="T40" s="462" t="str">
        <f>IF(AND('Mapa final'!$K$112="Alta",'Mapa final'!$O$112="Menor"),CONCATENATE("R",'Mapa final'!$A$112),"")</f>
        <v/>
      </c>
      <c r="U40" s="463"/>
      <c r="V40" s="463" t="str">
        <f>IF(AND('Mapa final'!$K$115="Alta",'Mapa final'!$O$115="Menor"),CONCATENATE("R",'Mapa final'!$A$115),"")</f>
        <v/>
      </c>
      <c r="W40" s="463"/>
      <c r="X40" s="463" t="str">
        <f>IF(AND('Mapa final'!$K$118="Alta",'Mapa final'!$O$118="Menor"),CONCATENATE("R",'Mapa final'!$A$118),"")</f>
        <v/>
      </c>
      <c r="Y40" s="463"/>
      <c r="Z40" s="463" t="str">
        <f>IF(AND('Mapa final'!$K$121="Alta",'Mapa final'!$O$121="Menor"),CONCATENATE("R",'Mapa final'!$A$121),"")</f>
        <v/>
      </c>
      <c r="AA40" s="463"/>
      <c r="AB40" s="463" t="str">
        <f>IF(AND('Mapa final'!$K$124="Alta",'Mapa final'!$O$124="Menor"),CONCATENATE("R",'Mapa final'!$A$124),"")</f>
        <v/>
      </c>
      <c r="AC40" s="466"/>
      <c r="AD40" s="496" t="str">
        <f>IF(AND('Mapa final'!$K$112="Alta",'Mapa final'!$O$112="Moderado"),CONCATENATE("R",'Mapa final'!$A$112),"")</f>
        <v/>
      </c>
      <c r="AE40" s="455"/>
      <c r="AF40" s="455" t="str">
        <f>IF(AND('Mapa final'!$K$115="Alta",'Mapa final'!$O$115="Moderado"),CONCATENATE("R",'Mapa final'!$A$115),"")</f>
        <v/>
      </c>
      <c r="AG40" s="455"/>
      <c r="AH40" s="455" t="str">
        <f>IF(AND('Mapa final'!$K$118="Alta",'Mapa final'!$O$118="Moderado"),CONCATENATE("R",'Mapa final'!$A$118),"")</f>
        <v/>
      </c>
      <c r="AI40" s="455"/>
      <c r="AJ40" s="455" t="str">
        <f>IF(AND('Mapa final'!$K$121="Alta",'Mapa final'!$O$121="Moderado"),CONCATENATE("R",'Mapa final'!$A$121),"")</f>
        <v>R39</v>
      </c>
      <c r="AK40" s="455"/>
      <c r="AL40" s="455" t="str">
        <f>IF(AND('Mapa final'!$K$124="Alta",'Mapa final'!$O$124="Moderado"),CONCATENATE("R",'Mapa final'!$A$124),"")</f>
        <v/>
      </c>
      <c r="AM40" s="495"/>
      <c r="AN40" s="496" t="str">
        <f>IF(AND('Mapa final'!$K$112="Alta",'Mapa final'!$O$112="Mayor"),CONCATENATE("R",'Mapa final'!$A$112),"")</f>
        <v/>
      </c>
      <c r="AO40" s="455"/>
      <c r="AP40" s="455" t="str">
        <f>IF(AND('Mapa final'!$K$115="Alta",'Mapa final'!$O$115="Mayor"),CONCATENATE("R",'Mapa final'!$A$115),"")</f>
        <v/>
      </c>
      <c r="AQ40" s="455"/>
      <c r="AR40" s="455" t="str">
        <f>IF(AND('Mapa final'!$K$118="Alta",'Mapa final'!$O$118="Mayor"),CONCATENATE("R",'Mapa final'!$A$118),"")</f>
        <v/>
      </c>
      <c r="AS40" s="455"/>
      <c r="AT40" s="455" t="str">
        <f>IF(AND('Mapa final'!$K$121="Alta",'Mapa final'!$O$121="Mayor"),CONCATENATE("R",'Mapa final'!$A$121),"")</f>
        <v/>
      </c>
      <c r="AU40" s="455"/>
      <c r="AV40" s="455" t="str">
        <f>IF(AND('Mapa final'!$K$124="Alta",'Mapa final'!$O$124="Mayor"),CONCATENATE("R",'Mapa final'!$A$124),"")</f>
        <v/>
      </c>
      <c r="AW40" s="495"/>
      <c r="AX40" s="487" t="str">
        <f>IF(AND('Mapa final'!$K$112="Alta",'Mapa final'!$O$112="Catastrófico"),CONCATENATE("R",'Mapa final'!$A$112),"")</f>
        <v/>
      </c>
      <c r="AY40" s="485"/>
      <c r="AZ40" s="485" t="str">
        <f>IF(AND('Mapa final'!$K$115="Alta",'Mapa final'!$O$115="Catastrófico"),CONCATENATE("R",'Mapa final'!$A$115),"")</f>
        <v/>
      </c>
      <c r="BA40" s="485"/>
      <c r="BB40" s="485" t="str">
        <f>IF(AND('Mapa final'!$K$118="Alta",'Mapa final'!$O$118="Catastrófico"),CONCATENATE("R",'Mapa final'!$A$118),"")</f>
        <v/>
      </c>
      <c r="BC40" s="485"/>
      <c r="BD40" s="485" t="str">
        <f>IF(AND('Mapa final'!$K$121="Alta",'Mapa final'!$O$121="Catastrófico"),CONCATENATE("R",'Mapa final'!$A$121),"")</f>
        <v/>
      </c>
      <c r="BE40" s="485"/>
      <c r="BF40" s="485" t="str">
        <f>IF(AND('Mapa final'!$K$124="Alta",'Mapa final'!$O$124="Catastrófico"),CONCATENATE("R",'Mapa final'!$A$124),"")</f>
        <v/>
      </c>
      <c r="BG40" s="486"/>
      <c r="BH40" s="56"/>
      <c r="BI40" s="518"/>
      <c r="BJ40" s="519"/>
      <c r="BK40" s="519"/>
      <c r="BL40" s="519"/>
      <c r="BM40" s="519"/>
      <c r="BN40" s="520"/>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row>
    <row r="41" spans="1:100" ht="15" customHeight="1" x14ac:dyDescent="0.35">
      <c r="A41" s="56"/>
      <c r="B41" s="311"/>
      <c r="C41" s="311"/>
      <c r="D41" s="312"/>
      <c r="E41" s="473"/>
      <c r="F41" s="474"/>
      <c r="G41" s="474"/>
      <c r="H41" s="474"/>
      <c r="I41" s="479"/>
      <c r="J41" s="462"/>
      <c r="K41" s="463"/>
      <c r="L41" s="463"/>
      <c r="M41" s="463"/>
      <c r="N41" s="463"/>
      <c r="O41" s="463"/>
      <c r="P41" s="463"/>
      <c r="Q41" s="463"/>
      <c r="R41" s="463"/>
      <c r="S41" s="466"/>
      <c r="T41" s="462"/>
      <c r="U41" s="463"/>
      <c r="V41" s="463"/>
      <c r="W41" s="463"/>
      <c r="X41" s="463"/>
      <c r="Y41" s="463"/>
      <c r="Z41" s="463"/>
      <c r="AA41" s="463"/>
      <c r="AB41" s="463"/>
      <c r="AC41" s="466"/>
      <c r="AD41" s="496"/>
      <c r="AE41" s="455"/>
      <c r="AF41" s="455"/>
      <c r="AG41" s="455"/>
      <c r="AH41" s="455"/>
      <c r="AI41" s="455"/>
      <c r="AJ41" s="455"/>
      <c r="AK41" s="455"/>
      <c r="AL41" s="455"/>
      <c r="AM41" s="495"/>
      <c r="AN41" s="496"/>
      <c r="AO41" s="455"/>
      <c r="AP41" s="455"/>
      <c r="AQ41" s="455"/>
      <c r="AR41" s="455"/>
      <c r="AS41" s="455"/>
      <c r="AT41" s="455"/>
      <c r="AU41" s="455"/>
      <c r="AV41" s="455"/>
      <c r="AW41" s="495"/>
      <c r="AX41" s="487"/>
      <c r="AY41" s="485"/>
      <c r="AZ41" s="485"/>
      <c r="BA41" s="485"/>
      <c r="BB41" s="485"/>
      <c r="BC41" s="485"/>
      <c r="BD41" s="485"/>
      <c r="BE41" s="485"/>
      <c r="BF41" s="485"/>
      <c r="BG41" s="486"/>
      <c r="BH41" s="56"/>
      <c r="BI41" s="518"/>
      <c r="BJ41" s="519"/>
      <c r="BK41" s="519"/>
      <c r="BL41" s="519"/>
      <c r="BM41" s="519"/>
      <c r="BN41" s="520"/>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row>
    <row r="42" spans="1:100" ht="15" customHeight="1" x14ac:dyDescent="0.35">
      <c r="A42" s="56"/>
      <c r="B42" s="311"/>
      <c r="C42" s="311"/>
      <c r="D42" s="312"/>
      <c r="E42" s="473"/>
      <c r="F42" s="474"/>
      <c r="G42" s="474"/>
      <c r="H42" s="474"/>
      <c r="I42" s="479"/>
      <c r="J42" s="462" t="str">
        <f>IF(AND('Mapa final'!$K$127="Alta",'Mapa final'!$O$127="Leve"),CONCATENATE("R",'Mapa final'!$A$127),"")</f>
        <v/>
      </c>
      <c r="K42" s="463"/>
      <c r="L42" s="463" t="str">
        <f>IF(AND('Mapa final'!$K$130="Alta",'Mapa final'!$O$130="Leve"),CONCATENATE("R",'Mapa final'!$A$130),"")</f>
        <v/>
      </c>
      <c r="M42" s="463"/>
      <c r="N42" s="463" t="str">
        <f>IF(AND('Mapa final'!$K$133="Alta",'Mapa final'!$O$133="Leve"),CONCATENATE("R",'Mapa final'!$A$133),"")</f>
        <v/>
      </c>
      <c r="O42" s="463"/>
      <c r="P42" s="463" t="str">
        <f>IF(AND('Mapa final'!$K$136="Alta",'Mapa final'!$O$136="Leve"),CONCATENATE("R",'Mapa final'!$A$136),"")</f>
        <v/>
      </c>
      <c r="Q42" s="463"/>
      <c r="R42" s="463" t="str">
        <f>IF(AND('Mapa final'!$K$139="Alta",'Mapa final'!$O$139="Leve"),CONCATENATE("R",'Mapa final'!$A$139),"")</f>
        <v/>
      </c>
      <c r="S42" s="466"/>
      <c r="T42" s="462" t="str">
        <f>IF(AND('Mapa final'!$K$127="Alta",'Mapa final'!$O$127="Menor"),CONCATENATE("R",'Mapa final'!$A$127),"")</f>
        <v/>
      </c>
      <c r="U42" s="463"/>
      <c r="V42" s="463" t="str">
        <f>IF(AND('Mapa final'!$K$130="Alta",'Mapa final'!$O$130="Menor"),CONCATENATE("R",'Mapa final'!$A$130),"")</f>
        <v/>
      </c>
      <c r="W42" s="463"/>
      <c r="X42" s="463" t="str">
        <f>IF(AND('Mapa final'!$K$133="Alta",'Mapa final'!$O$133="Menor"),CONCATENATE("R",'Mapa final'!$A$133),"")</f>
        <v/>
      </c>
      <c r="Y42" s="463"/>
      <c r="Z42" s="463" t="str">
        <f>IF(AND('Mapa final'!$K$136="Alta",'Mapa final'!$O$136="Menor"),CONCATENATE("R",'Mapa final'!$A$136),"")</f>
        <v/>
      </c>
      <c r="AA42" s="463"/>
      <c r="AB42" s="463" t="str">
        <f>IF(AND('Mapa final'!$K$139="Alta",'Mapa final'!$O$139="Menor"),CONCATENATE("R",'Mapa final'!$A$139),"")</f>
        <v/>
      </c>
      <c r="AC42" s="466"/>
      <c r="AD42" s="496" t="str">
        <f>IF(AND('Mapa final'!$K$127="Alta",'Mapa final'!$O$127="Moderado"),CONCATENATE("R",'Mapa final'!$A$127),"")</f>
        <v/>
      </c>
      <c r="AE42" s="455"/>
      <c r="AF42" s="455" t="str">
        <f>IF(AND('Mapa final'!$K$130="Alta",'Mapa final'!$O$130="Moderado"),CONCATENATE("R",'Mapa final'!$A$130),"")</f>
        <v/>
      </c>
      <c r="AG42" s="455"/>
      <c r="AH42" s="455" t="str">
        <f>IF(AND('Mapa final'!$K$133="Alta",'Mapa final'!$O$133="Moderado"),CONCATENATE("R",'Mapa final'!$A$133),"")</f>
        <v/>
      </c>
      <c r="AI42" s="455"/>
      <c r="AJ42" s="455" t="str">
        <f>IF(AND('Mapa final'!$K$136="Alta",'Mapa final'!$O$136="Moderado"),CONCATENATE("R",'Mapa final'!$A$136),"")</f>
        <v/>
      </c>
      <c r="AK42" s="455"/>
      <c r="AL42" s="455" t="str">
        <f>IF(AND('Mapa final'!$K$139="Alta",'Mapa final'!$O$139="Moderado"),CONCATENATE("R",'Mapa final'!$A$139),"")</f>
        <v/>
      </c>
      <c r="AM42" s="495"/>
      <c r="AN42" s="496" t="str">
        <f>IF(AND('Mapa final'!$K$127="Alta",'Mapa final'!$O$127="Mayor"),CONCATENATE("R",'Mapa final'!$A$127),"")</f>
        <v/>
      </c>
      <c r="AO42" s="455"/>
      <c r="AP42" s="455" t="str">
        <f>IF(AND('Mapa final'!$K$130="Alta",'Mapa final'!$O$130="Mayor"),CONCATENATE("R",'Mapa final'!$A$130),"")</f>
        <v/>
      </c>
      <c r="AQ42" s="455"/>
      <c r="AR42" s="455" t="str">
        <f>IF(AND('Mapa final'!$K$133="Alta",'Mapa final'!$O$133="Mayor"),CONCATENATE("R",'Mapa final'!$A$133),"")</f>
        <v/>
      </c>
      <c r="AS42" s="455"/>
      <c r="AT42" s="455" t="str">
        <f>IF(AND('Mapa final'!$K$136="Alta",'Mapa final'!$O$136="Mayor"),CONCATENATE("R",'Mapa final'!$A$136),"")</f>
        <v/>
      </c>
      <c r="AU42" s="455"/>
      <c r="AV42" s="455" t="str">
        <f>IF(AND('Mapa final'!$K$139="Alta",'Mapa final'!$O$139="Mayor"),CONCATENATE("R",'Mapa final'!$A$139),"")</f>
        <v/>
      </c>
      <c r="AW42" s="495"/>
      <c r="AX42" s="487" t="str">
        <f>IF(AND('Mapa final'!$K$127="Alta",'Mapa final'!$O$127="Catastrófico"),CONCATENATE("R",'Mapa final'!$A$127),"")</f>
        <v/>
      </c>
      <c r="AY42" s="485"/>
      <c r="AZ42" s="485" t="str">
        <f>IF(AND('Mapa final'!$K$130="Alta",'Mapa final'!$O$130="Catastrófico"),CONCATENATE("R",'Mapa final'!$A$130),"")</f>
        <v/>
      </c>
      <c r="BA42" s="485"/>
      <c r="BB42" s="485" t="str">
        <f>IF(AND('Mapa final'!$K$133="Alta",'Mapa final'!$O$133="Catastrófico"),CONCATENATE("R",'Mapa final'!$A$133),"")</f>
        <v/>
      </c>
      <c r="BC42" s="485"/>
      <c r="BD42" s="485" t="str">
        <f>IF(AND('Mapa final'!$K$136="Alta",'Mapa final'!$O$136="Catastrófico"),CONCATENATE("R",'Mapa final'!$A$136),"")</f>
        <v/>
      </c>
      <c r="BE42" s="485"/>
      <c r="BF42" s="485" t="str">
        <f>IF(AND('Mapa final'!$K$139="Alta",'Mapa final'!$O$139="Catastrófico"),CONCATENATE("R",'Mapa final'!$A$139),"")</f>
        <v/>
      </c>
      <c r="BG42" s="486"/>
      <c r="BH42" s="56"/>
      <c r="BI42" s="518"/>
      <c r="BJ42" s="519"/>
      <c r="BK42" s="519"/>
      <c r="BL42" s="519"/>
      <c r="BM42" s="519"/>
      <c r="BN42" s="520"/>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row>
    <row r="43" spans="1:100" ht="15" customHeight="1" x14ac:dyDescent="0.35">
      <c r="A43" s="56"/>
      <c r="B43" s="311"/>
      <c r="C43" s="311"/>
      <c r="D43" s="312"/>
      <c r="E43" s="473"/>
      <c r="F43" s="474"/>
      <c r="G43" s="474"/>
      <c r="H43" s="474"/>
      <c r="I43" s="479"/>
      <c r="J43" s="462"/>
      <c r="K43" s="463"/>
      <c r="L43" s="463"/>
      <c r="M43" s="463"/>
      <c r="N43" s="463"/>
      <c r="O43" s="463"/>
      <c r="P43" s="463"/>
      <c r="Q43" s="463"/>
      <c r="R43" s="463"/>
      <c r="S43" s="466"/>
      <c r="T43" s="462"/>
      <c r="U43" s="463"/>
      <c r="V43" s="463"/>
      <c r="W43" s="463"/>
      <c r="X43" s="463"/>
      <c r="Y43" s="463"/>
      <c r="Z43" s="463"/>
      <c r="AA43" s="463"/>
      <c r="AB43" s="463"/>
      <c r="AC43" s="466"/>
      <c r="AD43" s="496"/>
      <c r="AE43" s="455"/>
      <c r="AF43" s="455"/>
      <c r="AG43" s="455"/>
      <c r="AH43" s="455"/>
      <c r="AI43" s="455"/>
      <c r="AJ43" s="455"/>
      <c r="AK43" s="455"/>
      <c r="AL43" s="455"/>
      <c r="AM43" s="495"/>
      <c r="AN43" s="496"/>
      <c r="AO43" s="455"/>
      <c r="AP43" s="455"/>
      <c r="AQ43" s="455"/>
      <c r="AR43" s="455"/>
      <c r="AS43" s="455"/>
      <c r="AT43" s="455"/>
      <c r="AU43" s="455"/>
      <c r="AV43" s="455"/>
      <c r="AW43" s="495"/>
      <c r="AX43" s="487"/>
      <c r="AY43" s="485"/>
      <c r="AZ43" s="485"/>
      <c r="BA43" s="485"/>
      <c r="BB43" s="485"/>
      <c r="BC43" s="485"/>
      <c r="BD43" s="485"/>
      <c r="BE43" s="485"/>
      <c r="BF43" s="485"/>
      <c r="BG43" s="486"/>
      <c r="BH43" s="56"/>
      <c r="BI43" s="518"/>
      <c r="BJ43" s="519"/>
      <c r="BK43" s="519"/>
      <c r="BL43" s="519"/>
      <c r="BM43" s="519"/>
      <c r="BN43" s="520"/>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row>
    <row r="44" spans="1:100" ht="15" customHeight="1" x14ac:dyDescent="0.35">
      <c r="A44" s="56"/>
      <c r="B44" s="311"/>
      <c r="C44" s="311"/>
      <c r="D44" s="312"/>
      <c r="E44" s="473"/>
      <c r="F44" s="474"/>
      <c r="G44" s="474"/>
      <c r="H44" s="474"/>
      <c r="I44" s="479"/>
      <c r="J44" s="462" t="str">
        <f>IF(AND('Mapa final'!$K$142="Alta",'Mapa final'!$O$142="Leve"),CONCATENATE("R",'Mapa final'!$A$142),"")</f>
        <v/>
      </c>
      <c r="K44" s="463"/>
      <c r="L44" s="463" t="str">
        <f>IF(AND('Mapa final'!$K$145="Alta",'Mapa final'!$O$145="Leve"),CONCATENATE("R",'Mapa final'!$A$145),"")</f>
        <v/>
      </c>
      <c r="M44" s="463"/>
      <c r="N44" s="463" t="str">
        <f>IF(AND('Mapa final'!$K$148="Alta",'Mapa final'!$O$148="Leve"),CONCATENATE("R",'Mapa final'!$A$148),"")</f>
        <v/>
      </c>
      <c r="O44" s="463"/>
      <c r="P44" s="463" t="str">
        <f>IF(AND('Mapa final'!$K$151="Alta",'Mapa final'!$O$151="Leve"),CONCATENATE("R",'Mapa final'!$A$151),"")</f>
        <v/>
      </c>
      <c r="Q44" s="463"/>
      <c r="R44" s="463" t="str">
        <f>IF(AND('Mapa final'!$K$154="Alta",'Mapa final'!$O$154="Leve"),CONCATENATE("R",'Mapa final'!$A$154),"")</f>
        <v/>
      </c>
      <c r="S44" s="466"/>
      <c r="T44" s="462" t="str">
        <f>IF(AND('Mapa final'!$K$142="Alta",'Mapa final'!$O$142="Menor"),CONCATENATE("R",'Mapa final'!$A$142),"")</f>
        <v/>
      </c>
      <c r="U44" s="463"/>
      <c r="V44" s="463" t="str">
        <f>IF(AND('Mapa final'!$K$145="Alta",'Mapa final'!$O$145="Menor"),CONCATENATE("R",'Mapa final'!$A$145),"")</f>
        <v/>
      </c>
      <c r="W44" s="463"/>
      <c r="X44" s="463" t="str">
        <f>IF(AND('Mapa final'!$K$148="Alta",'Mapa final'!$O$148="Menor"),CONCATENATE("R",'Mapa final'!$A$148),"")</f>
        <v/>
      </c>
      <c r="Y44" s="463"/>
      <c r="Z44" s="463" t="str">
        <f>IF(AND('Mapa final'!$K$151="Alta",'Mapa final'!$O$151="Menor"),CONCATENATE("R",'Mapa final'!$A$151),"")</f>
        <v/>
      </c>
      <c r="AA44" s="463"/>
      <c r="AB44" s="463" t="str">
        <f>IF(AND('Mapa final'!$K$154="Alta",'Mapa final'!$O$154="Menor"),CONCATENATE("R",'Mapa final'!$A$154),"")</f>
        <v/>
      </c>
      <c r="AC44" s="466"/>
      <c r="AD44" s="496" t="str">
        <f>IF(AND('Mapa final'!$K$142="Alta",'Mapa final'!$O$142="Moderado"),CONCATENATE("R",'Mapa final'!$A$142),"")</f>
        <v/>
      </c>
      <c r="AE44" s="455"/>
      <c r="AF44" s="455" t="str">
        <f>IF(AND('Mapa final'!$K$145="Alta",'Mapa final'!$O$145="Moderado"),CONCATENATE("R",'Mapa final'!$A$145),"")</f>
        <v/>
      </c>
      <c r="AG44" s="455"/>
      <c r="AH44" s="455" t="str">
        <f>IF(AND('Mapa final'!$K$148="Alta",'Mapa final'!$O$148="Moderado"),CONCATENATE("R",'Mapa final'!$A$148),"")</f>
        <v/>
      </c>
      <c r="AI44" s="455"/>
      <c r="AJ44" s="455" t="str">
        <f>IF(AND('Mapa final'!$K$151="Alta",'Mapa final'!$O$151="Moderado"),CONCATENATE("R",'Mapa final'!$A$151),"")</f>
        <v/>
      </c>
      <c r="AK44" s="455"/>
      <c r="AL44" s="455" t="str">
        <f>IF(AND('Mapa final'!$K$154="Alta",'Mapa final'!$O$154="Moderado"),CONCATENATE("R",'Mapa final'!$A$154),"")</f>
        <v/>
      </c>
      <c r="AM44" s="495"/>
      <c r="AN44" s="496" t="str">
        <f>IF(AND('Mapa final'!$K$142="Alta",'Mapa final'!$O$142="Mayor"),CONCATENATE("R",'Mapa final'!$A$142),"")</f>
        <v/>
      </c>
      <c r="AO44" s="455"/>
      <c r="AP44" s="455" t="str">
        <f>IF(AND('Mapa final'!$K$145="Alta",'Mapa final'!$O$145="Mayor"),CONCATENATE("R",'Mapa final'!$A$145),"")</f>
        <v/>
      </c>
      <c r="AQ44" s="455"/>
      <c r="AR44" s="455" t="str">
        <f>IF(AND('Mapa final'!$K$148="Alta",'Mapa final'!$O$148="Mayor"),CONCATENATE("R",'Mapa final'!$A$148),"")</f>
        <v/>
      </c>
      <c r="AS44" s="455"/>
      <c r="AT44" s="455" t="str">
        <f>IF(AND('Mapa final'!$K$151="Alta",'Mapa final'!$O$151="Mayor"),CONCATENATE("R",'Mapa final'!$A$151),"")</f>
        <v/>
      </c>
      <c r="AU44" s="455"/>
      <c r="AV44" s="455" t="str">
        <f>IF(AND('Mapa final'!$K$154="Alta",'Mapa final'!$O$154="Mayor"),CONCATENATE("R",'Mapa final'!$A$154),"")</f>
        <v/>
      </c>
      <c r="AW44" s="495"/>
      <c r="AX44" s="487" t="str">
        <f>IF(AND('Mapa final'!$K$142="Alta",'Mapa final'!$O$142="Catastrófico"),CONCATENATE("R",'Mapa final'!$A$142),"")</f>
        <v/>
      </c>
      <c r="AY44" s="485"/>
      <c r="AZ44" s="485" t="str">
        <f>IF(AND('Mapa final'!$K$145="Alta",'Mapa final'!$O$145="Catastrófico"),CONCATENATE("R",'Mapa final'!$A$145),"")</f>
        <v/>
      </c>
      <c r="BA44" s="485"/>
      <c r="BB44" s="485" t="str">
        <f>IF(AND('Mapa final'!$K$148="Alta",'Mapa final'!$O$148="Catastrófico"),CONCATENATE("R",'Mapa final'!$A$148),"")</f>
        <v/>
      </c>
      <c r="BC44" s="485"/>
      <c r="BD44" s="485" t="str">
        <f>IF(AND('Mapa final'!$K$151="Alta",'Mapa final'!$O$151="Catastrófico"),CONCATENATE("R",'Mapa final'!$A$151),"")</f>
        <v/>
      </c>
      <c r="BE44" s="485"/>
      <c r="BF44" s="485" t="str">
        <f>IF(AND('Mapa final'!$K$154="Alta",'Mapa final'!$O$154="Catastrófico"),CONCATENATE("R",'Mapa final'!$A$154),"")</f>
        <v/>
      </c>
      <c r="BG44" s="486"/>
      <c r="BH44" s="56"/>
      <c r="BI44" s="518"/>
      <c r="BJ44" s="519"/>
      <c r="BK44" s="519"/>
      <c r="BL44" s="519"/>
      <c r="BM44" s="519"/>
      <c r="BN44" s="520"/>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row>
    <row r="45" spans="1:100" ht="15" customHeight="1" thickBot="1" x14ac:dyDescent="0.4">
      <c r="A45" s="56"/>
      <c r="B45" s="311"/>
      <c r="C45" s="311"/>
      <c r="D45" s="312"/>
      <c r="E45" s="473"/>
      <c r="F45" s="474"/>
      <c r="G45" s="474"/>
      <c r="H45" s="474"/>
      <c r="I45" s="479"/>
      <c r="J45" s="464"/>
      <c r="K45" s="465"/>
      <c r="L45" s="465"/>
      <c r="M45" s="465"/>
      <c r="N45" s="465"/>
      <c r="O45" s="465"/>
      <c r="P45" s="465"/>
      <c r="Q45" s="465"/>
      <c r="R45" s="465"/>
      <c r="S45" s="467"/>
      <c r="T45" s="464"/>
      <c r="U45" s="465"/>
      <c r="V45" s="465"/>
      <c r="W45" s="465"/>
      <c r="X45" s="465"/>
      <c r="Y45" s="465"/>
      <c r="Z45" s="465"/>
      <c r="AA45" s="465"/>
      <c r="AB45" s="465"/>
      <c r="AC45" s="467"/>
      <c r="AD45" s="497"/>
      <c r="AE45" s="494"/>
      <c r="AF45" s="494"/>
      <c r="AG45" s="494"/>
      <c r="AH45" s="494"/>
      <c r="AI45" s="494"/>
      <c r="AJ45" s="494"/>
      <c r="AK45" s="494"/>
      <c r="AL45" s="494"/>
      <c r="AM45" s="498"/>
      <c r="AN45" s="497"/>
      <c r="AO45" s="494"/>
      <c r="AP45" s="494"/>
      <c r="AQ45" s="494"/>
      <c r="AR45" s="494"/>
      <c r="AS45" s="494"/>
      <c r="AT45" s="494"/>
      <c r="AU45" s="494"/>
      <c r="AV45" s="494"/>
      <c r="AW45" s="498"/>
      <c r="AX45" s="488"/>
      <c r="AY45" s="489"/>
      <c r="AZ45" s="489"/>
      <c r="BA45" s="489"/>
      <c r="BB45" s="489"/>
      <c r="BC45" s="489"/>
      <c r="BD45" s="489"/>
      <c r="BE45" s="489"/>
      <c r="BF45" s="489"/>
      <c r="BG45" s="490"/>
      <c r="BH45" s="56"/>
      <c r="BI45" s="518"/>
      <c r="BJ45" s="519"/>
      <c r="BK45" s="519"/>
      <c r="BL45" s="519"/>
      <c r="BM45" s="519"/>
      <c r="BN45" s="520"/>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row>
    <row r="46" spans="1:100" ht="15" customHeight="1" x14ac:dyDescent="0.35">
      <c r="A46" s="56"/>
      <c r="B46" s="311"/>
      <c r="C46" s="311"/>
      <c r="D46" s="312"/>
      <c r="E46" s="470" t="s">
        <v>108</v>
      </c>
      <c r="F46" s="471"/>
      <c r="G46" s="471"/>
      <c r="H46" s="471"/>
      <c r="I46" s="471"/>
      <c r="J46" s="483" t="str">
        <f>IF(AND('Mapa final'!$K$7="Media",'Mapa final'!$O$7="Leve"),CONCATENATE("R",'Mapa final'!$A$7),"")</f>
        <v/>
      </c>
      <c r="K46" s="468"/>
      <c r="L46" s="468" t="str">
        <f>IF(AND('Mapa final'!$K$10="Media",'Mapa final'!$O$10="Leve"),CONCATENATE("R",'Mapa final'!$A$10),"")</f>
        <v/>
      </c>
      <c r="M46" s="468"/>
      <c r="N46" s="468" t="str">
        <f>IF(AND('Mapa final'!$K$13="Media",'Mapa final'!$O$13="Leve"),CONCATENATE("R",'Mapa final'!$A$13),"")</f>
        <v/>
      </c>
      <c r="O46" s="468"/>
      <c r="P46" s="468" t="e">
        <f>IF(AND('Mapa final'!#REF!="Media",'Mapa final'!#REF!="Leve"),CONCATENATE("R",'Mapa final'!#REF!),"")</f>
        <v>#REF!</v>
      </c>
      <c r="Q46" s="468"/>
      <c r="R46" s="468" t="str">
        <f>IF(AND('Mapa final'!$K$16="Media",'Mapa final'!$O$16="Leve"),CONCATENATE("R",'Mapa final'!$A$16),"")</f>
        <v/>
      </c>
      <c r="S46" s="484"/>
      <c r="T46" s="483" t="str">
        <f>IF(AND('Mapa final'!$K$7="Media",'Mapa final'!$O$7="Menor"),CONCATENATE("R",'Mapa final'!$A$7),"")</f>
        <v/>
      </c>
      <c r="U46" s="468"/>
      <c r="V46" s="468" t="str">
        <f>IF(AND('Mapa final'!$K$10="Media",'Mapa final'!$O$10="Menor"),CONCATENATE("R",'Mapa final'!$A$10),"")</f>
        <v/>
      </c>
      <c r="W46" s="468"/>
      <c r="X46" s="468" t="str">
        <f>IF(AND('Mapa final'!$K$13="Media",'Mapa final'!$O$13="Menor"),CONCATENATE("R",'Mapa final'!$A$13),"")</f>
        <v/>
      </c>
      <c r="Y46" s="468"/>
      <c r="Z46" s="468" t="e">
        <f>IF(AND('Mapa final'!#REF!="Media",'Mapa final'!#REF!="Menor"),CONCATENATE("R",'Mapa final'!#REF!),"")</f>
        <v>#REF!</v>
      </c>
      <c r="AA46" s="468"/>
      <c r="AB46" s="468" t="str">
        <f>IF(AND('Mapa final'!$K$16="Media",'Mapa final'!$O$16="Menor"),CONCATENATE("R",'Mapa final'!$A$16),"")</f>
        <v/>
      </c>
      <c r="AC46" s="484"/>
      <c r="AD46" s="483" t="str">
        <f>IF(AND('Mapa final'!$K$7="Media",'Mapa final'!$O$7="Moderado"),CONCATENATE("R",'Mapa final'!$A$7),"")</f>
        <v/>
      </c>
      <c r="AE46" s="468"/>
      <c r="AF46" s="468" t="str">
        <f>IF(AND('Mapa final'!$K$10="Media",'Mapa final'!$O$10="Moderado"),CONCATENATE("R",'Mapa final'!$A$10),"")</f>
        <v>R2</v>
      </c>
      <c r="AG46" s="468"/>
      <c r="AH46" s="468" t="str">
        <f>IF(AND('Mapa final'!$K$13="Media",'Mapa final'!$O$13="Moderado"),CONCATENATE("R",'Mapa final'!$A$13),"")</f>
        <v/>
      </c>
      <c r="AI46" s="468"/>
      <c r="AJ46" s="468" t="e">
        <f>IF(AND('Mapa final'!#REF!="Media",'Mapa final'!#REF!="Moderado"),CONCATENATE("R",'Mapa final'!#REF!),"")</f>
        <v>#REF!</v>
      </c>
      <c r="AK46" s="468"/>
      <c r="AL46" s="468" t="str">
        <f>IF(AND('Mapa final'!$K$16="Media",'Mapa final'!$O$16="Moderado"),CONCATENATE("R",'Mapa final'!$A$16),"")</f>
        <v>R4</v>
      </c>
      <c r="AM46" s="484"/>
      <c r="AN46" s="499" t="str">
        <f>IF(AND('Mapa final'!$K$7="Media",'Mapa final'!$O$7="Mayor"),CONCATENATE("R",'Mapa final'!$A$7),"")</f>
        <v/>
      </c>
      <c r="AO46" s="500"/>
      <c r="AP46" s="500" t="str">
        <f>IF(AND('Mapa final'!$K$10="Media",'Mapa final'!$O$10="Mayor"),CONCATENATE("R",'Mapa final'!$A$10),"")</f>
        <v/>
      </c>
      <c r="AQ46" s="500"/>
      <c r="AR46" s="500" t="str">
        <f>IF(AND('Mapa final'!$K$13="Media",'Mapa final'!$O$13="Mayor"),CONCATENATE("R",'Mapa final'!$A$13),"")</f>
        <v/>
      </c>
      <c r="AS46" s="500"/>
      <c r="AT46" s="500" t="e">
        <f>IF(AND('Mapa final'!#REF!="Media",'Mapa final'!#REF!="Mayor"),CONCATENATE("R",'Mapa final'!#REF!),"")</f>
        <v>#REF!</v>
      </c>
      <c r="AU46" s="500"/>
      <c r="AV46" s="500" t="str">
        <f>IF(AND('Mapa final'!$K$16="Media",'Mapa final'!$O$16="Mayor"),CONCATENATE("R",'Mapa final'!$A$16),"")</f>
        <v/>
      </c>
      <c r="AW46" s="501"/>
      <c r="AX46" s="491" t="str">
        <f>IF(AND('Mapa final'!$K$7="Media",'Mapa final'!$O$7="Catastrófico"),CONCATENATE("R",'Mapa final'!$A$7),"")</f>
        <v/>
      </c>
      <c r="AY46" s="492"/>
      <c r="AZ46" s="492" t="str">
        <f>IF(AND('Mapa final'!$K$10="Media",'Mapa final'!$O$10="Catastrófico"),CONCATENATE("R",'Mapa final'!$A$10),"")</f>
        <v/>
      </c>
      <c r="BA46" s="492"/>
      <c r="BB46" s="492" t="str">
        <f>IF(AND('Mapa final'!$K$13="Media",'Mapa final'!$O$13="Catastrófico"),CONCATENATE("R",'Mapa final'!$A$13),"")</f>
        <v/>
      </c>
      <c r="BC46" s="492"/>
      <c r="BD46" s="492" t="e">
        <f>IF(AND('Mapa final'!#REF!="Media",'Mapa final'!#REF!="Catastrófico"),CONCATENATE("R",'Mapa final'!#REF!),"")</f>
        <v>#REF!</v>
      </c>
      <c r="BE46" s="492"/>
      <c r="BF46" s="492" t="str">
        <f>IF(AND('Mapa final'!$K$16="Media",'Mapa final'!$O$16="Catastrófico"),CONCATENATE("R",'Mapa final'!$A$16),"")</f>
        <v/>
      </c>
      <c r="BG46" s="493"/>
      <c r="BH46" s="56"/>
      <c r="BI46" s="518"/>
      <c r="BJ46" s="519"/>
      <c r="BK46" s="519"/>
      <c r="BL46" s="519"/>
      <c r="BM46" s="519"/>
      <c r="BN46" s="520"/>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row>
    <row r="47" spans="1:100" ht="15" customHeight="1" x14ac:dyDescent="0.35">
      <c r="A47" s="56"/>
      <c r="B47" s="311"/>
      <c r="C47" s="311"/>
      <c r="D47" s="312"/>
      <c r="E47" s="473"/>
      <c r="F47" s="474"/>
      <c r="G47" s="474"/>
      <c r="H47" s="474"/>
      <c r="I47" s="479"/>
      <c r="J47" s="462"/>
      <c r="K47" s="463"/>
      <c r="L47" s="463"/>
      <c r="M47" s="463"/>
      <c r="N47" s="463"/>
      <c r="O47" s="463"/>
      <c r="P47" s="463"/>
      <c r="Q47" s="463"/>
      <c r="R47" s="463"/>
      <c r="S47" s="466"/>
      <c r="T47" s="462"/>
      <c r="U47" s="463"/>
      <c r="V47" s="463"/>
      <c r="W47" s="463"/>
      <c r="X47" s="463"/>
      <c r="Y47" s="463"/>
      <c r="Z47" s="463"/>
      <c r="AA47" s="463"/>
      <c r="AB47" s="463"/>
      <c r="AC47" s="466"/>
      <c r="AD47" s="462"/>
      <c r="AE47" s="463"/>
      <c r="AF47" s="463"/>
      <c r="AG47" s="463"/>
      <c r="AH47" s="463"/>
      <c r="AI47" s="463"/>
      <c r="AJ47" s="463"/>
      <c r="AK47" s="463"/>
      <c r="AL47" s="463"/>
      <c r="AM47" s="466"/>
      <c r="AN47" s="496"/>
      <c r="AO47" s="455"/>
      <c r="AP47" s="455"/>
      <c r="AQ47" s="455"/>
      <c r="AR47" s="455"/>
      <c r="AS47" s="455"/>
      <c r="AT47" s="455"/>
      <c r="AU47" s="455"/>
      <c r="AV47" s="455"/>
      <c r="AW47" s="495"/>
      <c r="AX47" s="487"/>
      <c r="AY47" s="485"/>
      <c r="AZ47" s="485"/>
      <c r="BA47" s="485"/>
      <c r="BB47" s="485"/>
      <c r="BC47" s="485"/>
      <c r="BD47" s="485"/>
      <c r="BE47" s="485"/>
      <c r="BF47" s="485"/>
      <c r="BG47" s="486"/>
      <c r="BH47" s="56"/>
      <c r="BI47" s="518"/>
      <c r="BJ47" s="519"/>
      <c r="BK47" s="519"/>
      <c r="BL47" s="519"/>
      <c r="BM47" s="519"/>
      <c r="BN47" s="520"/>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row>
    <row r="48" spans="1:100" ht="15" customHeight="1" x14ac:dyDescent="0.35">
      <c r="A48" s="56"/>
      <c r="B48" s="311"/>
      <c r="C48" s="311"/>
      <c r="D48" s="312"/>
      <c r="E48" s="473"/>
      <c r="F48" s="474"/>
      <c r="G48" s="474"/>
      <c r="H48" s="474"/>
      <c r="I48" s="479"/>
      <c r="J48" s="462" t="str">
        <f>IF(AND('Mapa final'!$K$19="Media",'Mapa final'!$O$19="Leve"),CONCATENATE("R",'Mapa final'!$A$19),"")</f>
        <v/>
      </c>
      <c r="K48" s="463"/>
      <c r="L48" s="463" t="str">
        <f>IF(AND('Mapa final'!$K$22="Media",'Mapa final'!$O$22="Leve"),CONCATENATE("R",'Mapa final'!$A$22),"")</f>
        <v/>
      </c>
      <c r="M48" s="463"/>
      <c r="N48" s="463" t="str">
        <f>IF(AND('Mapa final'!$K$25="Media",'Mapa final'!$O$25="Leve"),CONCATENATE("R",'Mapa final'!$A$25),"")</f>
        <v/>
      </c>
      <c r="O48" s="463"/>
      <c r="P48" s="463" t="str">
        <f>IF(AND('Mapa final'!$K$28="Media",'Mapa final'!$O$28="Leve"),CONCATENATE("R",'Mapa final'!$A$28),"")</f>
        <v/>
      </c>
      <c r="Q48" s="463"/>
      <c r="R48" s="463" t="str">
        <f>IF(AND('Mapa final'!$K$31="Media",'Mapa final'!$O$31="Leve"),CONCATENATE("R",'Mapa final'!$A$31),"")</f>
        <v/>
      </c>
      <c r="S48" s="466"/>
      <c r="T48" s="462" t="str">
        <f>IF(AND('Mapa final'!$K$19="Media",'Mapa final'!$O$19="Menor"),CONCATENATE("R",'Mapa final'!$A$19),"")</f>
        <v/>
      </c>
      <c r="U48" s="463"/>
      <c r="V48" s="463" t="str">
        <f>IF(AND('Mapa final'!$K$22="Media",'Mapa final'!$O$22="Menor"),CONCATENATE("R",'Mapa final'!$A$22),"")</f>
        <v/>
      </c>
      <c r="W48" s="463"/>
      <c r="X48" s="463" t="str">
        <f>IF(AND('Mapa final'!$K$25="Media",'Mapa final'!$O$25="Menor"),CONCATENATE("R",'Mapa final'!$A$25),"")</f>
        <v/>
      </c>
      <c r="Y48" s="463"/>
      <c r="Z48" s="463" t="str">
        <f>IF(AND('Mapa final'!$K$28="Media",'Mapa final'!$O$28="Menor"),CONCATENATE("R",'Mapa final'!$A$28),"")</f>
        <v/>
      </c>
      <c r="AA48" s="463"/>
      <c r="AB48" s="463" t="str">
        <f>IF(AND('Mapa final'!$K$31="Media",'Mapa final'!$O$31="Menor"),CONCATENATE("R",'Mapa final'!$A$31),"")</f>
        <v/>
      </c>
      <c r="AC48" s="466"/>
      <c r="AD48" s="462" t="str">
        <f>IF(AND('Mapa final'!$K$19="Media",'Mapa final'!$O$19="Moderado"),CONCATENATE("R",'Mapa final'!$A$19),"")</f>
        <v/>
      </c>
      <c r="AE48" s="463"/>
      <c r="AF48" s="463" t="str">
        <f>IF(AND('Mapa final'!$K$22="Media",'Mapa final'!$O$22="Moderado"),CONCATENATE("R",'Mapa final'!$A$22),"")</f>
        <v/>
      </c>
      <c r="AG48" s="463"/>
      <c r="AH48" s="463" t="str">
        <f>IF(AND('Mapa final'!$K$25="Media",'Mapa final'!$O$25="Moderado"),CONCATENATE("R",'Mapa final'!$A$25),"")</f>
        <v/>
      </c>
      <c r="AI48" s="463"/>
      <c r="AJ48" s="463" t="str">
        <f>IF(AND('Mapa final'!$K$28="Media",'Mapa final'!$O$28="Moderado"),CONCATENATE("R",'Mapa final'!$A$28),"")</f>
        <v/>
      </c>
      <c r="AK48" s="463"/>
      <c r="AL48" s="463" t="str">
        <f>IF(AND('Mapa final'!$K$31="Media",'Mapa final'!$O$31="Moderado"),CONCATENATE("R",'Mapa final'!$A$31),"")</f>
        <v/>
      </c>
      <c r="AM48" s="466"/>
      <c r="AN48" s="496" t="str">
        <f>IF(AND('Mapa final'!$K$19="Media",'Mapa final'!$O$19="Mayor"),CONCATENATE("R",'Mapa final'!$A$19),"")</f>
        <v/>
      </c>
      <c r="AO48" s="455"/>
      <c r="AP48" s="455" t="str">
        <f>IF(AND('Mapa final'!$K$22="Media",'Mapa final'!$O$22="Mayor"),CONCATENATE("R",'Mapa final'!$A$22),"")</f>
        <v/>
      </c>
      <c r="AQ48" s="455"/>
      <c r="AR48" s="455" t="str">
        <f>IF(AND('Mapa final'!$K$25="Media",'Mapa final'!$O$25="Mayor"),CONCATENATE("R",'Mapa final'!$A$25),"")</f>
        <v/>
      </c>
      <c r="AS48" s="455"/>
      <c r="AT48" s="455" t="str">
        <f>IF(AND('Mapa final'!$K$28="Media",'Mapa final'!$O$28="Mayor"),CONCATENATE("R",'Mapa final'!$A$28),"")</f>
        <v/>
      </c>
      <c r="AU48" s="455"/>
      <c r="AV48" s="455" t="str">
        <f>IF(AND('Mapa final'!$K$31="Media",'Mapa final'!$O$31="Mayor"),CONCATENATE("R",'Mapa final'!$A$31),"")</f>
        <v/>
      </c>
      <c r="AW48" s="495"/>
      <c r="AX48" s="487" t="str">
        <f>IF(AND('Mapa final'!$K$19="Media",'Mapa final'!$O$19="Catastrófico"),CONCATENATE("R",'Mapa final'!$A$19),"")</f>
        <v/>
      </c>
      <c r="AY48" s="485"/>
      <c r="AZ48" s="485" t="str">
        <f>IF(AND('Mapa final'!$K$22="Media",'Mapa final'!$O$22="Catastrófico"),CONCATENATE("R",'Mapa final'!$A$22),"")</f>
        <v/>
      </c>
      <c r="BA48" s="485"/>
      <c r="BB48" s="485" t="str">
        <f>IF(AND('Mapa final'!$K$25="Media",'Mapa final'!$O$25="Catastrófico"),CONCATENATE("R",'Mapa final'!$A$25),"")</f>
        <v/>
      </c>
      <c r="BC48" s="485"/>
      <c r="BD48" s="485" t="str">
        <f>IF(AND('Mapa final'!$K$28="Media",'Mapa final'!$O$28="Catastrófico"),CONCATENATE("R",'Mapa final'!$A$28),"")</f>
        <v/>
      </c>
      <c r="BE48" s="485"/>
      <c r="BF48" s="485" t="str">
        <f>IF(AND('Mapa final'!$K$31="Media",'Mapa final'!$O$31="Catastrófico"),CONCATENATE("R",'Mapa final'!$A$31),"")</f>
        <v/>
      </c>
      <c r="BG48" s="486"/>
      <c r="BH48" s="56"/>
      <c r="BI48" s="518"/>
      <c r="BJ48" s="519"/>
      <c r="BK48" s="519"/>
      <c r="BL48" s="519"/>
      <c r="BM48" s="519"/>
      <c r="BN48" s="520"/>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row>
    <row r="49" spans="1:100" ht="15" customHeight="1" x14ac:dyDescent="0.35">
      <c r="A49" s="56"/>
      <c r="B49" s="311"/>
      <c r="C49" s="311"/>
      <c r="D49" s="312"/>
      <c r="E49" s="473"/>
      <c r="F49" s="474"/>
      <c r="G49" s="474"/>
      <c r="H49" s="474"/>
      <c r="I49" s="479"/>
      <c r="J49" s="462"/>
      <c r="K49" s="463"/>
      <c r="L49" s="463"/>
      <c r="M49" s="463"/>
      <c r="N49" s="463"/>
      <c r="O49" s="463"/>
      <c r="P49" s="463"/>
      <c r="Q49" s="463"/>
      <c r="R49" s="463"/>
      <c r="S49" s="466"/>
      <c r="T49" s="462"/>
      <c r="U49" s="463"/>
      <c r="V49" s="463"/>
      <c r="W49" s="463"/>
      <c r="X49" s="463"/>
      <c r="Y49" s="463"/>
      <c r="Z49" s="463"/>
      <c r="AA49" s="463"/>
      <c r="AB49" s="463"/>
      <c r="AC49" s="466"/>
      <c r="AD49" s="462"/>
      <c r="AE49" s="463"/>
      <c r="AF49" s="463"/>
      <c r="AG49" s="463"/>
      <c r="AH49" s="463"/>
      <c r="AI49" s="463"/>
      <c r="AJ49" s="463"/>
      <c r="AK49" s="463"/>
      <c r="AL49" s="463"/>
      <c r="AM49" s="466"/>
      <c r="AN49" s="496"/>
      <c r="AO49" s="455"/>
      <c r="AP49" s="455"/>
      <c r="AQ49" s="455"/>
      <c r="AR49" s="455"/>
      <c r="AS49" s="455"/>
      <c r="AT49" s="455"/>
      <c r="AU49" s="455"/>
      <c r="AV49" s="455"/>
      <c r="AW49" s="495"/>
      <c r="AX49" s="487"/>
      <c r="AY49" s="485"/>
      <c r="AZ49" s="485"/>
      <c r="BA49" s="485"/>
      <c r="BB49" s="485"/>
      <c r="BC49" s="485"/>
      <c r="BD49" s="485"/>
      <c r="BE49" s="485"/>
      <c r="BF49" s="485"/>
      <c r="BG49" s="486"/>
      <c r="BH49" s="56"/>
      <c r="BI49" s="518"/>
      <c r="BJ49" s="519"/>
      <c r="BK49" s="519"/>
      <c r="BL49" s="519"/>
      <c r="BM49" s="519"/>
      <c r="BN49" s="520"/>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row>
    <row r="50" spans="1:100" ht="15" customHeight="1" x14ac:dyDescent="0.35">
      <c r="A50" s="56"/>
      <c r="B50" s="311"/>
      <c r="C50" s="311"/>
      <c r="D50" s="312"/>
      <c r="E50" s="473"/>
      <c r="F50" s="474"/>
      <c r="G50" s="474"/>
      <c r="H50" s="474"/>
      <c r="I50" s="479"/>
      <c r="J50" s="462" t="str">
        <f>IF(AND('Mapa final'!$K$34="Media",'Mapa final'!$O$34="Leve"),CONCATENATE("R",'Mapa final'!$A$34),"")</f>
        <v/>
      </c>
      <c r="K50" s="463"/>
      <c r="L50" s="463" t="str">
        <f>IF(AND('Mapa final'!$K$37="Media",'Mapa final'!$O$37="Leve"),CONCATENATE("R",'Mapa final'!$A$37),"")</f>
        <v/>
      </c>
      <c r="M50" s="463"/>
      <c r="N50" s="463" t="str">
        <f>IF(AND('Mapa final'!$K$40="Media",'Mapa final'!$O$40="Leve"),CONCATENATE("R",'Mapa final'!$A$40),"")</f>
        <v/>
      </c>
      <c r="O50" s="463"/>
      <c r="P50" s="463" t="str">
        <f>IF(AND('Mapa final'!$K$43="Media",'Mapa final'!$O$43="Leve"),CONCATENATE("R",'Mapa final'!$A$43),"")</f>
        <v/>
      </c>
      <c r="Q50" s="463"/>
      <c r="R50" s="463" t="str">
        <f>IF(AND('Mapa final'!$K$46="Media",'Mapa final'!$O$46="Leve"),CONCATENATE("R",'Mapa final'!$A$46),"")</f>
        <v/>
      </c>
      <c r="S50" s="466"/>
      <c r="T50" s="462" t="str">
        <f>IF(AND('Mapa final'!$K$34="Media",'Mapa final'!$O$34="Menor"),CONCATENATE("R",'Mapa final'!$A$34),"")</f>
        <v/>
      </c>
      <c r="U50" s="463"/>
      <c r="V50" s="463" t="str">
        <f>IF(AND('Mapa final'!$K$37="Media",'Mapa final'!$O$37="Menor"),CONCATENATE("R",'Mapa final'!$A$37),"")</f>
        <v/>
      </c>
      <c r="W50" s="463"/>
      <c r="X50" s="463" t="str">
        <f>IF(AND('Mapa final'!$K$40="Media",'Mapa final'!$O$40="Menor"),CONCATENATE("R",'Mapa final'!$A$40),"")</f>
        <v/>
      </c>
      <c r="Y50" s="463"/>
      <c r="Z50" s="463" t="str">
        <f>IF(AND('Mapa final'!$K$43="Media",'Mapa final'!$O$43="Menor"),CONCATENATE("R",'Mapa final'!$A$43),"")</f>
        <v/>
      </c>
      <c r="AA50" s="463"/>
      <c r="AB50" s="463" t="str">
        <f>IF(AND('Mapa final'!$K$46="Media",'Mapa final'!$O$46="Menor"),CONCATENATE("R",'Mapa final'!$A$46),"")</f>
        <v/>
      </c>
      <c r="AC50" s="466"/>
      <c r="AD50" s="462" t="str">
        <f>IF(AND('Mapa final'!$K$34="Media",'Mapa final'!$O$34="Moderado"),CONCATENATE("R",'Mapa final'!$A$34),"")</f>
        <v/>
      </c>
      <c r="AE50" s="463"/>
      <c r="AF50" s="463" t="str">
        <f>IF(AND('Mapa final'!$K$37="Media",'Mapa final'!$O$37="Moderado"),CONCATENATE("R",'Mapa final'!$A$37),"")</f>
        <v/>
      </c>
      <c r="AG50" s="463"/>
      <c r="AH50" s="463" t="str">
        <f>IF(AND('Mapa final'!$K$40="Media",'Mapa final'!$O$40="Moderado"),CONCATENATE("R",'Mapa final'!$A$40),"")</f>
        <v/>
      </c>
      <c r="AI50" s="463"/>
      <c r="AJ50" s="463" t="str">
        <f>IF(AND('Mapa final'!$K$43="Media",'Mapa final'!$O$43="Moderado"),CONCATENATE("R",'Mapa final'!$A$43),"")</f>
        <v/>
      </c>
      <c r="AK50" s="463"/>
      <c r="AL50" s="463" t="str">
        <f>IF(AND('Mapa final'!$K$46="Media",'Mapa final'!$O$46="Moderado"),CONCATENATE("R",'Mapa final'!$A$46),"")</f>
        <v/>
      </c>
      <c r="AM50" s="466"/>
      <c r="AN50" s="496" t="str">
        <f>IF(AND('Mapa final'!$K$34="Media",'Mapa final'!$O$34="Mayor"),CONCATENATE("R",'Mapa final'!$A$34),"")</f>
        <v/>
      </c>
      <c r="AO50" s="455"/>
      <c r="AP50" s="455" t="str">
        <f>IF(AND('Mapa final'!$K$37="Media",'Mapa final'!$O$37="Mayor"),CONCATENATE("R",'Mapa final'!$A$37),"")</f>
        <v/>
      </c>
      <c r="AQ50" s="455"/>
      <c r="AR50" s="455" t="str">
        <f>IF(AND('Mapa final'!$K$40="Media",'Mapa final'!$O$40="Mayor"),CONCATENATE("R",'Mapa final'!$A$40),"")</f>
        <v/>
      </c>
      <c r="AS50" s="455"/>
      <c r="AT50" s="455" t="str">
        <f>IF(AND('Mapa final'!$K$43="Media",'Mapa final'!$O$43="Mayor"),CONCATENATE("R",'Mapa final'!$A$43),"")</f>
        <v/>
      </c>
      <c r="AU50" s="455"/>
      <c r="AV50" s="455" t="str">
        <f>IF(AND('Mapa final'!$K$46="Media",'Mapa final'!$O$46="Mayor"),CONCATENATE("R",'Mapa final'!$A$46),"")</f>
        <v/>
      </c>
      <c r="AW50" s="495"/>
      <c r="AX50" s="487" t="str">
        <f>IF(AND('Mapa final'!$K$34="Media",'Mapa final'!$O$34="Catastrófico"),CONCATENATE("R",'Mapa final'!$A$34),"")</f>
        <v/>
      </c>
      <c r="AY50" s="485"/>
      <c r="AZ50" s="485" t="str">
        <f>IF(AND('Mapa final'!$K$37="Media",'Mapa final'!$O$37="Catastrófico"),CONCATENATE("R",'Mapa final'!$A$37),"")</f>
        <v/>
      </c>
      <c r="BA50" s="485"/>
      <c r="BB50" s="485" t="str">
        <f>IF(AND('Mapa final'!$K$40="Media",'Mapa final'!$O$40="Catastrófico"),CONCATENATE("R",'Mapa final'!$A$40),"")</f>
        <v/>
      </c>
      <c r="BC50" s="485"/>
      <c r="BD50" s="485" t="str">
        <f>IF(AND('Mapa final'!$K$43="Media",'Mapa final'!$O$43="Catastrófico"),CONCATENATE("R",'Mapa final'!$A$43),"")</f>
        <v/>
      </c>
      <c r="BE50" s="485"/>
      <c r="BF50" s="485" t="str">
        <f>IF(AND('Mapa final'!$K$46="Media",'Mapa final'!$O$46="Catastrófico"),CONCATENATE("R",'Mapa final'!$A$46),"")</f>
        <v/>
      </c>
      <c r="BG50" s="486"/>
      <c r="BH50" s="56"/>
      <c r="BI50" s="518"/>
      <c r="BJ50" s="519"/>
      <c r="BK50" s="519"/>
      <c r="BL50" s="519"/>
      <c r="BM50" s="519"/>
      <c r="BN50" s="520"/>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row>
    <row r="51" spans="1:100" ht="15" customHeight="1" x14ac:dyDescent="0.35">
      <c r="A51" s="56"/>
      <c r="B51" s="311"/>
      <c r="C51" s="311"/>
      <c r="D51" s="312"/>
      <c r="E51" s="473"/>
      <c r="F51" s="474"/>
      <c r="G51" s="474"/>
      <c r="H51" s="474"/>
      <c r="I51" s="479"/>
      <c r="J51" s="462"/>
      <c r="K51" s="463"/>
      <c r="L51" s="463"/>
      <c r="M51" s="463"/>
      <c r="N51" s="463"/>
      <c r="O51" s="463"/>
      <c r="P51" s="463"/>
      <c r="Q51" s="463"/>
      <c r="R51" s="463"/>
      <c r="S51" s="466"/>
      <c r="T51" s="462"/>
      <c r="U51" s="463"/>
      <c r="V51" s="463"/>
      <c r="W51" s="463"/>
      <c r="X51" s="463"/>
      <c r="Y51" s="463"/>
      <c r="Z51" s="463"/>
      <c r="AA51" s="463"/>
      <c r="AB51" s="463"/>
      <c r="AC51" s="466"/>
      <c r="AD51" s="462"/>
      <c r="AE51" s="463"/>
      <c r="AF51" s="463"/>
      <c r="AG51" s="463"/>
      <c r="AH51" s="463"/>
      <c r="AI51" s="463"/>
      <c r="AJ51" s="463"/>
      <c r="AK51" s="463"/>
      <c r="AL51" s="463"/>
      <c r="AM51" s="466"/>
      <c r="AN51" s="496"/>
      <c r="AO51" s="455"/>
      <c r="AP51" s="455"/>
      <c r="AQ51" s="455"/>
      <c r="AR51" s="455"/>
      <c r="AS51" s="455"/>
      <c r="AT51" s="455"/>
      <c r="AU51" s="455"/>
      <c r="AV51" s="455"/>
      <c r="AW51" s="495"/>
      <c r="AX51" s="487"/>
      <c r="AY51" s="485"/>
      <c r="AZ51" s="485"/>
      <c r="BA51" s="485"/>
      <c r="BB51" s="485"/>
      <c r="BC51" s="485"/>
      <c r="BD51" s="485"/>
      <c r="BE51" s="485"/>
      <c r="BF51" s="485"/>
      <c r="BG51" s="486"/>
      <c r="BH51" s="56"/>
      <c r="BI51" s="518"/>
      <c r="BJ51" s="519"/>
      <c r="BK51" s="519"/>
      <c r="BL51" s="519"/>
      <c r="BM51" s="519"/>
      <c r="BN51" s="520"/>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row>
    <row r="52" spans="1:100" ht="15" customHeight="1" x14ac:dyDescent="0.35">
      <c r="A52" s="56"/>
      <c r="B52" s="311"/>
      <c r="C52" s="311"/>
      <c r="D52" s="312"/>
      <c r="E52" s="473"/>
      <c r="F52" s="474"/>
      <c r="G52" s="474"/>
      <c r="H52" s="474"/>
      <c r="I52" s="479"/>
      <c r="J52" s="462" t="str">
        <f>IF(AND('Mapa final'!$K$49="Media",'Mapa final'!$O$49="Leve"),CONCATENATE("R",'Mapa final'!$A$49),"")</f>
        <v/>
      </c>
      <c r="K52" s="463"/>
      <c r="L52" s="463" t="str">
        <f>IF(AND('Mapa final'!$K$52="Media",'Mapa final'!$O$52="Leve"),CONCATENATE("R",'Mapa final'!$A$52),"")</f>
        <v/>
      </c>
      <c r="M52" s="463"/>
      <c r="N52" s="463" t="str">
        <f>IF(AND('Mapa final'!$K$55="Media",'Mapa final'!$O$55="Leve"),CONCATENATE("R",'Mapa final'!$A$55),"")</f>
        <v/>
      </c>
      <c r="O52" s="463"/>
      <c r="P52" s="463" t="str">
        <f>IF(AND('Mapa final'!$K$58="Media",'Mapa final'!$O$58="Leve"),CONCATENATE("R",'Mapa final'!$A$58),"")</f>
        <v/>
      </c>
      <c r="Q52" s="463"/>
      <c r="R52" s="463" t="str">
        <f>IF(AND('Mapa final'!$K$61="Media",'Mapa final'!$O$61="Leve"),CONCATENATE("R",'Mapa final'!$A$61),"")</f>
        <v/>
      </c>
      <c r="S52" s="466"/>
      <c r="T52" s="462" t="str">
        <f>IF(AND('Mapa final'!$K$49="Media",'Mapa final'!$O$49="Menor"),CONCATENATE("R",'Mapa final'!$A$49),"")</f>
        <v/>
      </c>
      <c r="U52" s="463"/>
      <c r="V52" s="463" t="str">
        <f>IF(AND('Mapa final'!$K$52="Media",'Mapa final'!$O$52="Menor"),CONCATENATE("R",'Mapa final'!$A$52),"")</f>
        <v/>
      </c>
      <c r="W52" s="463"/>
      <c r="X52" s="463" t="str">
        <f>IF(AND('Mapa final'!$K$55="Media",'Mapa final'!$O$55="Menor"),CONCATENATE("R",'Mapa final'!$A$55),"")</f>
        <v/>
      </c>
      <c r="Y52" s="463"/>
      <c r="Z52" s="463" t="str">
        <f>IF(AND('Mapa final'!$K$58="Media",'Mapa final'!$O$58="Menor"),CONCATENATE("R",'Mapa final'!$A$58),"")</f>
        <v/>
      </c>
      <c r="AA52" s="463"/>
      <c r="AB52" s="463" t="str">
        <f>IF(AND('Mapa final'!$K$61="Media",'Mapa final'!$O$61="Menor"),CONCATENATE("R",'Mapa final'!$A$61),"")</f>
        <v/>
      </c>
      <c r="AC52" s="466"/>
      <c r="AD52" s="462" t="str">
        <f>IF(AND('Mapa final'!$K$49="Media",'Mapa final'!$O$49="Moderado"),CONCATENATE("R",'Mapa final'!$A$49),"")</f>
        <v>R15</v>
      </c>
      <c r="AE52" s="463"/>
      <c r="AF52" s="463" t="str">
        <f>IF(AND('Mapa final'!$K$52="Media",'Mapa final'!$O$52="Moderado"),CONCATENATE("R",'Mapa final'!$A$52),"")</f>
        <v/>
      </c>
      <c r="AG52" s="463"/>
      <c r="AH52" s="463" t="str">
        <f>IF(AND('Mapa final'!$K$55="Media",'Mapa final'!$O$55="Moderado"),CONCATENATE("R",'Mapa final'!$A$55),"")</f>
        <v>R17</v>
      </c>
      <c r="AI52" s="463"/>
      <c r="AJ52" s="463" t="str">
        <f>IF(AND('Mapa final'!$K$58="Media",'Mapa final'!$O$58="Moderado"),CONCATENATE("R",'Mapa final'!$A$58),"")</f>
        <v>R18</v>
      </c>
      <c r="AK52" s="463"/>
      <c r="AL52" s="463" t="str">
        <f>IF(AND('Mapa final'!$K$61="Media",'Mapa final'!$O$61="Moderado"),CONCATENATE("R",'Mapa final'!$A$61),"")</f>
        <v/>
      </c>
      <c r="AM52" s="466"/>
      <c r="AN52" s="496" t="str">
        <f>IF(AND('Mapa final'!$K$49="Media",'Mapa final'!$O$49="Mayor"),CONCATENATE("R",'Mapa final'!$A$49),"")</f>
        <v/>
      </c>
      <c r="AO52" s="455"/>
      <c r="AP52" s="455" t="str">
        <f>IF(AND('Mapa final'!$K$52="Media",'Mapa final'!$O$52="Mayor"),CONCATENATE("R",'Mapa final'!$A$52),"")</f>
        <v/>
      </c>
      <c r="AQ52" s="455"/>
      <c r="AR52" s="455" t="str">
        <f>IF(AND('Mapa final'!$K$55="Media",'Mapa final'!$O$55="Mayor"),CONCATENATE("R",'Mapa final'!$A$55),"")</f>
        <v/>
      </c>
      <c r="AS52" s="455"/>
      <c r="AT52" s="455" t="str">
        <f>IF(AND('Mapa final'!$K$58="Media",'Mapa final'!$O$58="Mayor"),CONCATENATE("R",'Mapa final'!$A$58),"")</f>
        <v/>
      </c>
      <c r="AU52" s="455"/>
      <c r="AV52" s="455" t="str">
        <f>IF(AND('Mapa final'!$K$61="Media",'Mapa final'!$O$61="Mayor"),CONCATENATE("R",'Mapa final'!$A$61),"")</f>
        <v>R19</v>
      </c>
      <c r="AW52" s="495"/>
      <c r="AX52" s="487" t="str">
        <f>IF(AND('Mapa final'!$K$49="Media",'Mapa final'!$O$49="Catastrófico"),CONCATENATE("R",'Mapa final'!$A$49),"")</f>
        <v/>
      </c>
      <c r="AY52" s="485"/>
      <c r="AZ52" s="485" t="str">
        <f>IF(AND('Mapa final'!$K$52="Media",'Mapa final'!$O$52="Catastrófico"),CONCATENATE("R",'Mapa final'!$A$52),"")</f>
        <v/>
      </c>
      <c r="BA52" s="485"/>
      <c r="BB52" s="485" t="str">
        <f>IF(AND('Mapa final'!$K$55="Media",'Mapa final'!$O$55="Catastrófico"),CONCATENATE("R",'Mapa final'!$A$55),"")</f>
        <v/>
      </c>
      <c r="BC52" s="485"/>
      <c r="BD52" s="485" t="str">
        <f>IF(AND('Mapa final'!$K$58="Media",'Mapa final'!$O$58="Catastrófico"),CONCATENATE("R",'Mapa final'!$A$58),"")</f>
        <v/>
      </c>
      <c r="BE52" s="485"/>
      <c r="BF52" s="485" t="str">
        <f>IF(AND('Mapa final'!$K$61="Media",'Mapa final'!$O$61="Catastrófico"),CONCATENATE("R",'Mapa final'!$A$61),"")</f>
        <v/>
      </c>
      <c r="BG52" s="486"/>
      <c r="BH52" s="56"/>
      <c r="BI52" s="518"/>
      <c r="BJ52" s="519"/>
      <c r="BK52" s="519"/>
      <c r="BL52" s="519"/>
      <c r="BM52" s="519"/>
      <c r="BN52" s="520"/>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row>
    <row r="53" spans="1:100" ht="15" customHeight="1" thickBot="1" x14ac:dyDescent="0.4">
      <c r="A53" s="56"/>
      <c r="B53" s="311"/>
      <c r="C53" s="311"/>
      <c r="D53" s="312"/>
      <c r="E53" s="473"/>
      <c r="F53" s="474"/>
      <c r="G53" s="474"/>
      <c r="H53" s="474"/>
      <c r="I53" s="479"/>
      <c r="J53" s="462"/>
      <c r="K53" s="463"/>
      <c r="L53" s="463"/>
      <c r="M53" s="463"/>
      <c r="N53" s="463"/>
      <c r="O53" s="463"/>
      <c r="P53" s="463"/>
      <c r="Q53" s="463"/>
      <c r="R53" s="463"/>
      <c r="S53" s="466"/>
      <c r="T53" s="462"/>
      <c r="U53" s="463"/>
      <c r="V53" s="463"/>
      <c r="W53" s="463"/>
      <c r="X53" s="463"/>
      <c r="Y53" s="463"/>
      <c r="Z53" s="463"/>
      <c r="AA53" s="463"/>
      <c r="AB53" s="463"/>
      <c r="AC53" s="466"/>
      <c r="AD53" s="462"/>
      <c r="AE53" s="463"/>
      <c r="AF53" s="463"/>
      <c r="AG53" s="463"/>
      <c r="AH53" s="463"/>
      <c r="AI53" s="463"/>
      <c r="AJ53" s="463"/>
      <c r="AK53" s="463"/>
      <c r="AL53" s="463"/>
      <c r="AM53" s="466"/>
      <c r="AN53" s="496"/>
      <c r="AO53" s="455"/>
      <c r="AP53" s="455"/>
      <c r="AQ53" s="455"/>
      <c r="AR53" s="455"/>
      <c r="AS53" s="455"/>
      <c r="AT53" s="455"/>
      <c r="AU53" s="455"/>
      <c r="AV53" s="455"/>
      <c r="AW53" s="495"/>
      <c r="AX53" s="487"/>
      <c r="AY53" s="485"/>
      <c r="AZ53" s="485"/>
      <c r="BA53" s="485"/>
      <c r="BB53" s="485"/>
      <c r="BC53" s="485"/>
      <c r="BD53" s="485"/>
      <c r="BE53" s="485"/>
      <c r="BF53" s="485"/>
      <c r="BG53" s="486"/>
      <c r="BH53" s="56"/>
      <c r="BI53" s="521"/>
      <c r="BJ53" s="522"/>
      <c r="BK53" s="522"/>
      <c r="BL53" s="522"/>
      <c r="BM53" s="522"/>
      <c r="BN53" s="523"/>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row>
    <row r="54" spans="1:100" ht="15" customHeight="1" x14ac:dyDescent="0.35">
      <c r="A54" s="56"/>
      <c r="B54" s="311"/>
      <c r="C54" s="311"/>
      <c r="D54" s="312"/>
      <c r="E54" s="473"/>
      <c r="F54" s="474"/>
      <c r="G54" s="474"/>
      <c r="H54" s="474"/>
      <c r="I54" s="479"/>
      <c r="J54" s="462" t="str">
        <f>IF(AND('Mapa final'!$K$64="Media",'Mapa final'!$O$64="Leve"),CONCATENATE("R",'Mapa final'!$A$64),"")</f>
        <v/>
      </c>
      <c r="K54" s="463"/>
      <c r="L54" s="463" t="str">
        <f>IF(AND('Mapa final'!$K$67="Media",'Mapa final'!$O$67="Leve"),CONCATENATE("R",'Mapa final'!$A$67),"")</f>
        <v/>
      </c>
      <c r="M54" s="463"/>
      <c r="N54" s="463" t="str">
        <f>IF(AND('Mapa final'!$K$73="Media",'Mapa final'!$O$73="Leve"),CONCATENATE("R",'Mapa final'!$A$73),"")</f>
        <v/>
      </c>
      <c r="O54" s="463"/>
      <c r="P54" s="463" t="str">
        <f>IF(AND('Mapa final'!$K$76="Media",'Mapa final'!$O$76="Leve"),CONCATENATE("R",'Mapa final'!$A$76),"")</f>
        <v/>
      </c>
      <c r="Q54" s="463"/>
      <c r="R54" s="463" t="str">
        <f>IF(AND('Mapa final'!$K$79="Media",'Mapa final'!$O$79="Leve"),CONCATENATE("R",'Mapa final'!$A$79),"")</f>
        <v/>
      </c>
      <c r="S54" s="466"/>
      <c r="T54" s="462" t="str">
        <f>IF(AND('Mapa final'!$K$64="Media",'Mapa final'!$O$64="Menor"),CONCATENATE("R",'Mapa final'!$A$64),"")</f>
        <v/>
      </c>
      <c r="U54" s="463"/>
      <c r="V54" s="463" t="str">
        <f>IF(AND('Mapa final'!$K$67="Media",'Mapa final'!$O$67="Menor"),CONCATENATE("R",'Mapa final'!$A$67),"")</f>
        <v/>
      </c>
      <c r="W54" s="463"/>
      <c r="X54" s="463" t="str">
        <f>IF(AND('Mapa final'!$K$73="Media",'Mapa final'!$O$73="Menor"),CONCATENATE("R",'Mapa final'!$A$73),"")</f>
        <v/>
      </c>
      <c r="Y54" s="463"/>
      <c r="Z54" s="463" t="str">
        <f>IF(AND('Mapa final'!$K$76="Media",'Mapa final'!$O$76="Menor"),CONCATENATE("R",'Mapa final'!$A$76),"")</f>
        <v/>
      </c>
      <c r="AA54" s="463"/>
      <c r="AB54" s="463" t="str">
        <f>IF(AND('Mapa final'!$K$79="Media",'Mapa final'!$O$79="Menor"),CONCATENATE("R",'Mapa final'!$A$79),"")</f>
        <v/>
      </c>
      <c r="AC54" s="466"/>
      <c r="AD54" s="462" t="str">
        <f>IF(AND('Mapa final'!$K$64="Media",'Mapa final'!$O$64="Moderado"),CONCATENATE("R",'Mapa final'!$A$64),"")</f>
        <v/>
      </c>
      <c r="AE54" s="463"/>
      <c r="AF54" s="463" t="str">
        <f>IF(AND('Mapa final'!$K$67="Media",'Mapa final'!$O$67="Moderado"),CONCATENATE("R",'Mapa final'!$A$67),"")</f>
        <v/>
      </c>
      <c r="AG54" s="463"/>
      <c r="AH54" s="463" t="str">
        <f>IF(AND('Mapa final'!$K$73="Media",'Mapa final'!$O$73="Moderado"),CONCATENATE("R",'Mapa final'!$A$73),"")</f>
        <v/>
      </c>
      <c r="AI54" s="463"/>
      <c r="AJ54" s="463" t="str">
        <f>IF(AND('Mapa final'!$K$76="Media",'Mapa final'!$O$76="Moderado"),CONCATENATE("R",'Mapa final'!$A$76),"")</f>
        <v/>
      </c>
      <c r="AK54" s="463"/>
      <c r="AL54" s="463" t="str">
        <f>IF(AND('Mapa final'!$K$79="Media",'Mapa final'!$O$79="Moderado"),CONCATENATE("R",'Mapa final'!$A$79),"")</f>
        <v/>
      </c>
      <c r="AM54" s="466"/>
      <c r="AN54" s="496" t="str">
        <f>IF(AND('Mapa final'!$K$64="Media",'Mapa final'!$O$64="Mayor"),CONCATENATE("R",'Mapa final'!$A$64),"")</f>
        <v/>
      </c>
      <c r="AO54" s="455"/>
      <c r="AP54" s="455" t="str">
        <f>IF(AND('Mapa final'!$K$67="Media",'Mapa final'!$O$67="Mayor"),CONCATENATE("R",'Mapa final'!$A$67),"")</f>
        <v/>
      </c>
      <c r="AQ54" s="455"/>
      <c r="AR54" s="455" t="str">
        <f>IF(AND('Mapa final'!$K$73="Media",'Mapa final'!$O$73="Mayor"),CONCATENATE("R",'Mapa final'!$A$73),"")</f>
        <v>R23</v>
      </c>
      <c r="AS54" s="455"/>
      <c r="AT54" s="455" t="str">
        <f>IF(AND('Mapa final'!$K$76="Media",'Mapa final'!$O$76="Mayor"),CONCATENATE("R",'Mapa final'!$A$76),"")</f>
        <v/>
      </c>
      <c r="AU54" s="455"/>
      <c r="AV54" s="455" t="str">
        <f>IF(AND('Mapa final'!$K$79="Media",'Mapa final'!$O$79="Mayor"),CONCATENATE("R",'Mapa final'!$A$79),"")</f>
        <v/>
      </c>
      <c r="AW54" s="495"/>
      <c r="AX54" s="487" t="str">
        <f>IF(AND('Mapa final'!$K$64="Media",'Mapa final'!$O$64="Catastrófico"),CONCATENATE("R",'Mapa final'!$A$64),"")</f>
        <v/>
      </c>
      <c r="AY54" s="485"/>
      <c r="AZ54" s="485" t="str">
        <f>IF(AND('Mapa final'!$K$67="Media",'Mapa final'!$O$67="Catastrófico"),CONCATENATE("R",'Mapa final'!$A$67),"")</f>
        <v/>
      </c>
      <c r="BA54" s="485"/>
      <c r="BB54" s="485" t="str">
        <f>IF(AND('Mapa final'!$K$73="Media",'Mapa final'!$O$73="Catastrófico"),CONCATENATE("R",'Mapa final'!$A$73),"")</f>
        <v/>
      </c>
      <c r="BC54" s="485"/>
      <c r="BD54" s="485" t="str">
        <f>IF(AND('Mapa final'!$K$76="Media",'Mapa final'!$O$76="Catastrófico"),CONCATENATE("R",'Mapa final'!$A$76),"")</f>
        <v/>
      </c>
      <c r="BE54" s="485"/>
      <c r="BF54" s="485" t="str">
        <f>IF(AND('Mapa final'!$K$79="Media",'Mapa final'!$O$79="Catastrófico"),CONCATENATE("R",'Mapa final'!$A$79),"")</f>
        <v/>
      </c>
      <c r="BG54" s="486"/>
      <c r="BH54" s="56"/>
      <c r="BI54" s="524" t="s">
        <v>75</v>
      </c>
      <c r="BJ54" s="525"/>
      <c r="BK54" s="525"/>
      <c r="BL54" s="525"/>
      <c r="BM54" s="525"/>
      <c r="BN54" s="52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row>
    <row r="55" spans="1:100" ht="15" customHeight="1" x14ac:dyDescent="0.35">
      <c r="A55" s="56"/>
      <c r="B55" s="311"/>
      <c r="C55" s="311"/>
      <c r="D55" s="312"/>
      <c r="E55" s="473"/>
      <c r="F55" s="474"/>
      <c r="G55" s="474"/>
      <c r="H55" s="474"/>
      <c r="I55" s="479"/>
      <c r="J55" s="462"/>
      <c r="K55" s="463"/>
      <c r="L55" s="463"/>
      <c r="M55" s="463"/>
      <c r="N55" s="463"/>
      <c r="O55" s="463"/>
      <c r="P55" s="463"/>
      <c r="Q55" s="463"/>
      <c r="R55" s="463"/>
      <c r="S55" s="466"/>
      <c r="T55" s="462"/>
      <c r="U55" s="463"/>
      <c r="V55" s="463"/>
      <c r="W55" s="463"/>
      <c r="X55" s="463"/>
      <c r="Y55" s="463"/>
      <c r="Z55" s="463"/>
      <c r="AA55" s="463"/>
      <c r="AB55" s="463"/>
      <c r="AC55" s="466"/>
      <c r="AD55" s="462"/>
      <c r="AE55" s="463"/>
      <c r="AF55" s="463"/>
      <c r="AG55" s="463"/>
      <c r="AH55" s="463"/>
      <c r="AI55" s="463"/>
      <c r="AJ55" s="463"/>
      <c r="AK55" s="463"/>
      <c r="AL55" s="463"/>
      <c r="AM55" s="466"/>
      <c r="AN55" s="496"/>
      <c r="AO55" s="455"/>
      <c r="AP55" s="455"/>
      <c r="AQ55" s="455"/>
      <c r="AR55" s="455"/>
      <c r="AS55" s="455"/>
      <c r="AT55" s="455"/>
      <c r="AU55" s="455"/>
      <c r="AV55" s="455"/>
      <c r="AW55" s="495"/>
      <c r="AX55" s="487"/>
      <c r="AY55" s="485"/>
      <c r="AZ55" s="485"/>
      <c r="BA55" s="485"/>
      <c r="BB55" s="485"/>
      <c r="BC55" s="485"/>
      <c r="BD55" s="485"/>
      <c r="BE55" s="485"/>
      <c r="BF55" s="485"/>
      <c r="BG55" s="486"/>
      <c r="BH55" s="56"/>
      <c r="BI55" s="527"/>
      <c r="BJ55" s="528"/>
      <c r="BK55" s="528"/>
      <c r="BL55" s="528"/>
      <c r="BM55" s="528"/>
      <c r="BN55" s="529"/>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row>
    <row r="56" spans="1:100" ht="15" customHeight="1" x14ac:dyDescent="0.35">
      <c r="A56" s="56"/>
      <c r="B56" s="311"/>
      <c r="C56" s="311"/>
      <c r="D56" s="312"/>
      <c r="E56" s="473"/>
      <c r="F56" s="474"/>
      <c r="G56" s="474"/>
      <c r="H56" s="474"/>
      <c r="I56" s="479"/>
      <c r="J56" s="462" t="str">
        <f>IF(AND('Mapa final'!$K$82="Media",'Mapa final'!$O$82="Leve"),CONCATENATE("R",'Mapa final'!$A$82),"")</f>
        <v/>
      </c>
      <c r="K56" s="463"/>
      <c r="L56" s="463" t="str">
        <f>IF(AND('Mapa final'!$K$85="Media",'Mapa final'!$O$85="Leve"),CONCATENATE("R",'Mapa final'!$A$85),"")</f>
        <v/>
      </c>
      <c r="M56" s="463"/>
      <c r="N56" s="463" t="str">
        <f>IF(AND('Mapa final'!$K$88="Media",'Mapa final'!$O$88="Leve"),CONCATENATE("R",'Mapa final'!$A$88),"")</f>
        <v/>
      </c>
      <c r="O56" s="463"/>
      <c r="P56" s="463" t="str">
        <f>IF(AND('Mapa final'!$K$91="Media",'Mapa final'!$O$91="Leve"),CONCATENATE("R",'Mapa final'!$A$91),"")</f>
        <v/>
      </c>
      <c r="Q56" s="463"/>
      <c r="R56" s="463" t="str">
        <f>IF(AND('Mapa final'!$K$94="Media",'Mapa final'!$O$94="Leve"),CONCATENATE("R",'Mapa final'!$A$94),"")</f>
        <v/>
      </c>
      <c r="S56" s="466"/>
      <c r="T56" s="462" t="str">
        <f>IF(AND('Mapa final'!$K$82="Media",'Mapa final'!$O$82="Menor"),CONCATENATE("R",'Mapa final'!$A$82),"")</f>
        <v/>
      </c>
      <c r="U56" s="463"/>
      <c r="V56" s="463" t="str">
        <f>IF(AND('Mapa final'!$K$85="Media",'Mapa final'!$O$85="Menor"),CONCATENATE("R",'Mapa final'!$A$85),"")</f>
        <v/>
      </c>
      <c r="W56" s="463"/>
      <c r="X56" s="463" t="str">
        <f>IF(AND('Mapa final'!$K$88="Media",'Mapa final'!$O$88="Menor"),CONCATENATE("R",'Mapa final'!$A$88),"")</f>
        <v/>
      </c>
      <c r="Y56" s="463"/>
      <c r="Z56" s="463" t="str">
        <f>IF(AND('Mapa final'!$K$91="Media",'Mapa final'!$O$91="Menor"),CONCATENATE("R",'Mapa final'!$A$91),"")</f>
        <v/>
      </c>
      <c r="AA56" s="463"/>
      <c r="AB56" s="463" t="str">
        <f>IF(AND('Mapa final'!$K$94="Media",'Mapa final'!$O$94="Menor"),CONCATENATE("R",'Mapa final'!$A$94),"")</f>
        <v/>
      </c>
      <c r="AC56" s="466"/>
      <c r="AD56" s="462" t="str">
        <f>IF(AND('Mapa final'!$K$82="Media",'Mapa final'!$O$82="Moderado"),CONCATENATE("R",'Mapa final'!$A$82),"")</f>
        <v/>
      </c>
      <c r="AE56" s="463"/>
      <c r="AF56" s="463" t="str">
        <f>IF(AND('Mapa final'!$K$85="Media",'Mapa final'!$O$85="Moderado"),CONCATENATE("R",'Mapa final'!$A$85),"")</f>
        <v/>
      </c>
      <c r="AG56" s="463"/>
      <c r="AH56" s="463" t="str">
        <f>IF(AND('Mapa final'!$K$88="Media",'Mapa final'!$O$88="Moderado"),CONCATENATE("R",'Mapa final'!$A$88),"")</f>
        <v/>
      </c>
      <c r="AI56" s="463"/>
      <c r="AJ56" s="463" t="str">
        <f>IF(AND('Mapa final'!$K$91="Media",'Mapa final'!$O$91="Moderado"),CONCATENATE("R",'Mapa final'!$A$91),"")</f>
        <v/>
      </c>
      <c r="AK56" s="463"/>
      <c r="AL56" s="463" t="str">
        <f>IF(AND('Mapa final'!$K$94="Media",'Mapa final'!$O$94="Moderado"),CONCATENATE("R",'Mapa final'!$A$94),"")</f>
        <v/>
      </c>
      <c r="AM56" s="466"/>
      <c r="AN56" s="496" t="str">
        <f>IF(AND('Mapa final'!$K$82="Media",'Mapa final'!$O$82="Mayor"),CONCATENATE("R",'Mapa final'!$A$82),"")</f>
        <v/>
      </c>
      <c r="AO56" s="455"/>
      <c r="AP56" s="455" t="str">
        <f>IF(AND('Mapa final'!$K$85="Media",'Mapa final'!$O$85="Mayor"),CONCATENATE("R",'Mapa final'!$A$85),"")</f>
        <v/>
      </c>
      <c r="AQ56" s="455"/>
      <c r="AR56" s="455" t="str">
        <f>IF(AND('Mapa final'!$K$88="Media",'Mapa final'!$O$88="Mayor"),CONCATENATE("R",'Mapa final'!$A$88),"")</f>
        <v>R28</v>
      </c>
      <c r="AS56" s="455"/>
      <c r="AT56" s="455" t="str">
        <f>IF(AND('Mapa final'!$K$91="Media",'Mapa final'!$O$91="Mayor"),CONCATENATE("R",'Mapa final'!$A$91),"")</f>
        <v>R29</v>
      </c>
      <c r="AU56" s="455"/>
      <c r="AV56" s="455" t="str">
        <f>IF(AND('Mapa final'!$K$94="Media",'Mapa final'!$O$94="Mayor"),CONCATENATE("R",'Mapa final'!$A$94),"")</f>
        <v/>
      </c>
      <c r="AW56" s="495"/>
      <c r="AX56" s="487" t="str">
        <f>IF(AND('Mapa final'!$K$82="Media",'Mapa final'!$O$82="Catastrófico"),CONCATENATE("R",'Mapa final'!$A$82),"")</f>
        <v/>
      </c>
      <c r="AY56" s="485"/>
      <c r="AZ56" s="485" t="str">
        <f>IF(AND('Mapa final'!$K$85="Media",'Mapa final'!$O$85="Catastrófico"),CONCATENATE("R",'Mapa final'!$A$85),"")</f>
        <v/>
      </c>
      <c r="BA56" s="485"/>
      <c r="BB56" s="485" t="str">
        <f>IF(AND('Mapa final'!$K$88="Media",'Mapa final'!$O$88="Catastrófico"),CONCATENATE("R",'Mapa final'!$A$88),"")</f>
        <v/>
      </c>
      <c r="BC56" s="485"/>
      <c r="BD56" s="485" t="str">
        <f>IF(AND('Mapa final'!$K$91="Media",'Mapa final'!$O$91="Catastrófico"),CONCATENATE("R",'Mapa final'!$A$91),"")</f>
        <v/>
      </c>
      <c r="BE56" s="485"/>
      <c r="BF56" s="485" t="str">
        <f>IF(AND('Mapa final'!$K$94="Media",'Mapa final'!$O$94="Catastrófico"),CONCATENATE("R",'Mapa final'!$A$94),"")</f>
        <v/>
      </c>
      <c r="BG56" s="486"/>
      <c r="BH56" s="56"/>
      <c r="BI56" s="527"/>
      <c r="BJ56" s="528"/>
      <c r="BK56" s="528"/>
      <c r="BL56" s="528"/>
      <c r="BM56" s="528"/>
      <c r="BN56" s="529"/>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row>
    <row r="57" spans="1:100" ht="15" customHeight="1" x14ac:dyDescent="0.35">
      <c r="A57" s="56"/>
      <c r="B57" s="311"/>
      <c r="C57" s="311"/>
      <c r="D57" s="312"/>
      <c r="E57" s="473"/>
      <c r="F57" s="474"/>
      <c r="G57" s="474"/>
      <c r="H57" s="474"/>
      <c r="I57" s="479"/>
      <c r="J57" s="462"/>
      <c r="K57" s="463"/>
      <c r="L57" s="463"/>
      <c r="M57" s="463"/>
      <c r="N57" s="463"/>
      <c r="O57" s="463"/>
      <c r="P57" s="463"/>
      <c r="Q57" s="463"/>
      <c r="R57" s="463"/>
      <c r="S57" s="466"/>
      <c r="T57" s="462"/>
      <c r="U57" s="463"/>
      <c r="V57" s="463"/>
      <c r="W57" s="463"/>
      <c r="X57" s="463"/>
      <c r="Y57" s="463"/>
      <c r="Z57" s="463"/>
      <c r="AA57" s="463"/>
      <c r="AB57" s="463"/>
      <c r="AC57" s="466"/>
      <c r="AD57" s="462"/>
      <c r="AE57" s="463"/>
      <c r="AF57" s="463"/>
      <c r="AG57" s="463"/>
      <c r="AH57" s="463"/>
      <c r="AI57" s="463"/>
      <c r="AJ57" s="463"/>
      <c r="AK57" s="463"/>
      <c r="AL57" s="463"/>
      <c r="AM57" s="466"/>
      <c r="AN57" s="496"/>
      <c r="AO57" s="455"/>
      <c r="AP57" s="455"/>
      <c r="AQ57" s="455"/>
      <c r="AR57" s="455"/>
      <c r="AS57" s="455"/>
      <c r="AT57" s="455"/>
      <c r="AU57" s="455"/>
      <c r="AV57" s="455"/>
      <c r="AW57" s="495"/>
      <c r="AX57" s="487"/>
      <c r="AY57" s="485"/>
      <c r="AZ57" s="485"/>
      <c r="BA57" s="485"/>
      <c r="BB57" s="485"/>
      <c r="BC57" s="485"/>
      <c r="BD57" s="485"/>
      <c r="BE57" s="485"/>
      <c r="BF57" s="485"/>
      <c r="BG57" s="486"/>
      <c r="BH57" s="56"/>
      <c r="BI57" s="527"/>
      <c r="BJ57" s="528"/>
      <c r="BK57" s="528"/>
      <c r="BL57" s="528"/>
      <c r="BM57" s="528"/>
      <c r="BN57" s="529"/>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row>
    <row r="58" spans="1:100" ht="15" customHeight="1" x14ac:dyDescent="0.35">
      <c r="A58" s="56"/>
      <c r="B58" s="311"/>
      <c r="C58" s="311"/>
      <c r="D58" s="312"/>
      <c r="E58" s="473"/>
      <c r="F58" s="474"/>
      <c r="G58" s="474"/>
      <c r="H58" s="474"/>
      <c r="I58" s="479"/>
      <c r="J58" s="462" t="str">
        <f>IF(AND('Mapa final'!$K$97="Media",'Mapa final'!$O$97="Leve"),CONCATENATE("R",'Mapa final'!$A$97),"")</f>
        <v/>
      </c>
      <c r="K58" s="463"/>
      <c r="L58" s="463" t="str">
        <f>IF(AND('Mapa final'!$K$100="Media",'Mapa final'!$O$100="Leve"),CONCATENATE("R",'Mapa final'!$A$100),"")</f>
        <v/>
      </c>
      <c r="M58" s="463"/>
      <c r="N58" s="463" t="str">
        <f>IF(AND('Mapa final'!$K$103="Media",'Mapa final'!$O$103="Leve"),CONCATENATE("R",'Mapa final'!$A$103),"")</f>
        <v/>
      </c>
      <c r="O58" s="463"/>
      <c r="P58" s="463" t="str">
        <f>IF(AND('Mapa final'!$K$106="Media",'Mapa final'!$O$106="Leve"),CONCATENATE("R",'Mapa final'!$A$106),"")</f>
        <v/>
      </c>
      <c r="Q58" s="463"/>
      <c r="R58" s="463" t="str">
        <f>IF(AND('Mapa final'!$K$109="Media",'Mapa final'!$O$109="Leve"),CONCATENATE("R",'Mapa final'!$A$109),"")</f>
        <v/>
      </c>
      <c r="S58" s="466"/>
      <c r="T58" s="462" t="str">
        <f>IF(AND('Mapa final'!$K$97="Media",'Mapa final'!$O$97="Menor"),CONCATENATE("R",'Mapa final'!$A$97),"")</f>
        <v/>
      </c>
      <c r="U58" s="463"/>
      <c r="V58" s="463" t="str">
        <f>IF(AND('Mapa final'!$K$100="Media",'Mapa final'!$O$100="Menor"),CONCATENATE("R",'Mapa final'!$A$100),"")</f>
        <v/>
      </c>
      <c r="W58" s="463"/>
      <c r="X58" s="463" t="str">
        <f>IF(AND('Mapa final'!$K$103="Media",'Mapa final'!$O$103="Menor"),CONCATENATE("R",'Mapa final'!$A$103),"")</f>
        <v/>
      </c>
      <c r="Y58" s="463"/>
      <c r="Z58" s="463" t="str">
        <f>IF(AND('Mapa final'!$K$106="Media",'Mapa final'!$O$106="Menor"),CONCATENATE("R",'Mapa final'!$A$106),"")</f>
        <v/>
      </c>
      <c r="AA58" s="463"/>
      <c r="AB58" s="463" t="str">
        <f>IF(AND('Mapa final'!$K$109="Media",'Mapa final'!$O$109="Menor"),CONCATENATE("R",'Mapa final'!$A$109),"")</f>
        <v/>
      </c>
      <c r="AC58" s="466"/>
      <c r="AD58" s="462" t="str">
        <f>IF(AND('Mapa final'!$K$97="Media",'Mapa final'!$O$97="Moderado"),CONCATENATE("R",'Mapa final'!$A$97),"")</f>
        <v/>
      </c>
      <c r="AE58" s="463"/>
      <c r="AF58" s="463" t="str">
        <f>IF(AND('Mapa final'!$K$100="Media",'Mapa final'!$O$100="Moderado"),CONCATENATE("R",'Mapa final'!$A$100),"")</f>
        <v/>
      </c>
      <c r="AG58" s="463"/>
      <c r="AH58" s="463" t="str">
        <f>IF(AND('Mapa final'!$K$103="Media",'Mapa final'!$O$103="Moderado"),CONCATENATE("R",'Mapa final'!$A$103),"")</f>
        <v/>
      </c>
      <c r="AI58" s="463"/>
      <c r="AJ58" s="463" t="str">
        <f>IF(AND('Mapa final'!$K$106="Media",'Mapa final'!$O$106="Moderado"),CONCATENATE("R",'Mapa final'!$A$106),"")</f>
        <v>R34</v>
      </c>
      <c r="AK58" s="463"/>
      <c r="AL58" s="463" t="str">
        <f>IF(AND('Mapa final'!$K$109="Media",'Mapa final'!$O$109="Moderado"),CONCATENATE("R",'Mapa final'!$A$109),"")</f>
        <v>R35</v>
      </c>
      <c r="AM58" s="466"/>
      <c r="AN58" s="496" t="str">
        <f>IF(AND('Mapa final'!$K$97="Media",'Mapa final'!$O$97="Mayor"),CONCATENATE("R",'Mapa final'!$A$97),"")</f>
        <v/>
      </c>
      <c r="AO58" s="455"/>
      <c r="AP58" s="455" t="str">
        <f>IF(AND('Mapa final'!$K$100="Media",'Mapa final'!$O$100="Mayor"),CONCATENATE("R",'Mapa final'!$A$100),"")</f>
        <v/>
      </c>
      <c r="AQ58" s="455"/>
      <c r="AR58" s="455" t="str">
        <f>IF(AND('Mapa final'!$K$103="Media",'Mapa final'!$O$103="Mayor"),CONCATENATE("R",'Mapa final'!$A$103),"")</f>
        <v/>
      </c>
      <c r="AS58" s="455"/>
      <c r="AT58" s="455" t="str">
        <f>IF(AND('Mapa final'!$K$106="Media",'Mapa final'!$O$106="Mayor"),CONCATENATE("R",'Mapa final'!$A$106),"")</f>
        <v/>
      </c>
      <c r="AU58" s="455"/>
      <c r="AV58" s="455" t="str">
        <f>IF(AND('Mapa final'!$K$109="Media",'Mapa final'!$O$109="Mayor"),CONCATENATE("R",'Mapa final'!$A$109),"")</f>
        <v/>
      </c>
      <c r="AW58" s="495"/>
      <c r="AX58" s="487" t="str">
        <f>IF(AND('Mapa final'!$K$97="Media",'Mapa final'!$O$97="Catastrófico"),CONCATENATE("R",'Mapa final'!$A$97),"")</f>
        <v/>
      </c>
      <c r="AY58" s="485"/>
      <c r="AZ58" s="485" t="str">
        <f>IF(AND('Mapa final'!$K$100="Media",'Mapa final'!$O$100="Catastrófico"),CONCATENATE("R",'Mapa final'!$A$100),"")</f>
        <v/>
      </c>
      <c r="BA58" s="485"/>
      <c r="BB58" s="485" t="str">
        <f>IF(AND('Mapa final'!$K$103="Media",'Mapa final'!$O$103="Catastrófico"),CONCATENATE("R",'Mapa final'!$A$103),"")</f>
        <v/>
      </c>
      <c r="BC58" s="485"/>
      <c r="BD58" s="485" t="str">
        <f>IF(AND('Mapa final'!$K$106="Media",'Mapa final'!$O$106="Catastrófico"),CONCATENATE("R",'Mapa final'!$A$106),"")</f>
        <v/>
      </c>
      <c r="BE58" s="485"/>
      <c r="BF58" s="485" t="str">
        <f>IF(AND('Mapa final'!$K$109="Media",'Mapa final'!$O$109="Catastrófico"),CONCATENATE("R",'Mapa final'!$A$109),"")</f>
        <v/>
      </c>
      <c r="BG58" s="486"/>
      <c r="BH58" s="56"/>
      <c r="BI58" s="527"/>
      <c r="BJ58" s="528"/>
      <c r="BK58" s="528"/>
      <c r="BL58" s="528"/>
      <c r="BM58" s="528"/>
      <c r="BN58" s="529"/>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row>
    <row r="59" spans="1:100" ht="15" customHeight="1" x14ac:dyDescent="0.35">
      <c r="A59" s="56"/>
      <c r="B59" s="311"/>
      <c r="C59" s="311"/>
      <c r="D59" s="312"/>
      <c r="E59" s="473"/>
      <c r="F59" s="474"/>
      <c r="G59" s="474"/>
      <c r="H59" s="474"/>
      <c r="I59" s="479"/>
      <c r="J59" s="462"/>
      <c r="K59" s="463"/>
      <c r="L59" s="463"/>
      <c r="M59" s="463"/>
      <c r="N59" s="463"/>
      <c r="O59" s="463"/>
      <c r="P59" s="463"/>
      <c r="Q59" s="463"/>
      <c r="R59" s="463"/>
      <c r="S59" s="466"/>
      <c r="T59" s="462"/>
      <c r="U59" s="463"/>
      <c r="V59" s="463"/>
      <c r="W59" s="463"/>
      <c r="X59" s="463"/>
      <c r="Y59" s="463"/>
      <c r="Z59" s="463"/>
      <c r="AA59" s="463"/>
      <c r="AB59" s="463"/>
      <c r="AC59" s="466"/>
      <c r="AD59" s="462"/>
      <c r="AE59" s="463"/>
      <c r="AF59" s="463"/>
      <c r="AG59" s="463"/>
      <c r="AH59" s="463"/>
      <c r="AI59" s="463"/>
      <c r="AJ59" s="463"/>
      <c r="AK59" s="463"/>
      <c r="AL59" s="463"/>
      <c r="AM59" s="466"/>
      <c r="AN59" s="496"/>
      <c r="AO59" s="455"/>
      <c r="AP59" s="455"/>
      <c r="AQ59" s="455"/>
      <c r="AR59" s="455"/>
      <c r="AS59" s="455"/>
      <c r="AT59" s="455"/>
      <c r="AU59" s="455"/>
      <c r="AV59" s="455"/>
      <c r="AW59" s="495"/>
      <c r="AX59" s="487"/>
      <c r="AY59" s="485"/>
      <c r="AZ59" s="485"/>
      <c r="BA59" s="485"/>
      <c r="BB59" s="485"/>
      <c r="BC59" s="485"/>
      <c r="BD59" s="485"/>
      <c r="BE59" s="485"/>
      <c r="BF59" s="485"/>
      <c r="BG59" s="486"/>
      <c r="BH59" s="56"/>
      <c r="BI59" s="527"/>
      <c r="BJ59" s="528"/>
      <c r="BK59" s="528"/>
      <c r="BL59" s="528"/>
      <c r="BM59" s="528"/>
      <c r="BN59" s="529"/>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row>
    <row r="60" spans="1:100" ht="15" customHeight="1" x14ac:dyDescent="0.35">
      <c r="A60" s="56"/>
      <c r="B60" s="311"/>
      <c r="C60" s="311"/>
      <c r="D60" s="312"/>
      <c r="E60" s="473"/>
      <c r="F60" s="474"/>
      <c r="G60" s="474"/>
      <c r="H60" s="474"/>
      <c r="I60" s="479"/>
      <c r="J60" s="462" t="str">
        <f>IF(AND('Mapa final'!$K$112="Media",'Mapa final'!$O$112="Leve"),CONCATENATE("R",'Mapa final'!$A$112),"")</f>
        <v/>
      </c>
      <c r="K60" s="463"/>
      <c r="L60" s="463" t="str">
        <f>IF(AND('Mapa final'!$K$115="Media",'Mapa final'!$O$115="Leve"),CONCATENATE("R",'Mapa final'!$A$115),"")</f>
        <v/>
      </c>
      <c r="M60" s="463"/>
      <c r="N60" s="463" t="str">
        <f>IF(AND('Mapa final'!$K$118="Media",'Mapa final'!$O$118="Leve"),CONCATENATE("R",'Mapa final'!$A$118),"")</f>
        <v/>
      </c>
      <c r="O60" s="463"/>
      <c r="P60" s="463" t="str">
        <f>IF(AND('Mapa final'!$K$121="Media",'Mapa final'!$O$121="Leve"),CONCATENATE("R",'Mapa final'!$A$121),"")</f>
        <v/>
      </c>
      <c r="Q60" s="463"/>
      <c r="R60" s="463" t="str">
        <f>IF(AND('Mapa final'!$K$124="Media",'Mapa final'!$O$124="Leve"),CONCATENATE("R",'Mapa final'!$A$124),"")</f>
        <v/>
      </c>
      <c r="S60" s="466"/>
      <c r="T60" s="462" t="str">
        <f>IF(AND('Mapa final'!$K$112="Media",'Mapa final'!$O$112="Menor"),CONCATENATE("R",'Mapa final'!$A$112),"")</f>
        <v/>
      </c>
      <c r="U60" s="463"/>
      <c r="V60" s="463" t="str">
        <f>IF(AND('Mapa final'!$K$115="Media",'Mapa final'!$O$115="Menor"),CONCATENATE("R",'Mapa final'!$A$115),"")</f>
        <v>R37</v>
      </c>
      <c r="W60" s="463"/>
      <c r="X60" s="463" t="str">
        <f>IF(AND('Mapa final'!$K$118="Media",'Mapa final'!$O$118="Menor"),CONCATENATE("R",'Mapa final'!$A$118),"")</f>
        <v/>
      </c>
      <c r="Y60" s="463"/>
      <c r="Z60" s="463" t="str">
        <f>IF(AND('Mapa final'!$K$121="Media",'Mapa final'!$O$121="Menor"),CONCATENATE("R",'Mapa final'!$A$121),"")</f>
        <v/>
      </c>
      <c r="AA60" s="463"/>
      <c r="AB60" s="463" t="str">
        <f>IF(AND('Mapa final'!$K$124="Media",'Mapa final'!$O$124="Menor"),CONCATENATE("R",'Mapa final'!$A$124),"")</f>
        <v/>
      </c>
      <c r="AC60" s="466"/>
      <c r="AD60" s="462" t="str">
        <f>IF(AND('Mapa final'!$K$112="Media",'Mapa final'!$O$112="Moderado"),CONCATENATE("R",'Mapa final'!$A$112),"")</f>
        <v/>
      </c>
      <c r="AE60" s="463"/>
      <c r="AF60" s="463" t="str">
        <f>IF(AND('Mapa final'!$K$115="Media",'Mapa final'!$O$115="Moderado"),CONCATENATE("R",'Mapa final'!$A$115),"")</f>
        <v/>
      </c>
      <c r="AG60" s="463"/>
      <c r="AH60" s="463" t="str">
        <f>IF(AND('Mapa final'!$K$118="Media",'Mapa final'!$O$118="Moderado"),CONCATENATE("R",'Mapa final'!$A$118),"")</f>
        <v/>
      </c>
      <c r="AI60" s="463"/>
      <c r="AJ60" s="463" t="str">
        <f>IF(AND('Mapa final'!$K$121="Media",'Mapa final'!$O$121="Moderado"),CONCATENATE("R",'Mapa final'!$A$121),"")</f>
        <v/>
      </c>
      <c r="AK60" s="463"/>
      <c r="AL60" s="463" t="str">
        <f>IF(AND('Mapa final'!$K$124="Media",'Mapa final'!$O$124="Moderado"),CONCATENATE("R",'Mapa final'!$A$124),"")</f>
        <v>R40</v>
      </c>
      <c r="AM60" s="466"/>
      <c r="AN60" s="496" t="str">
        <f>IF(AND('Mapa final'!$K$112="Media",'Mapa final'!$O$112="Mayor"),CONCATENATE("R",'Mapa final'!$A$112),"")</f>
        <v>R36</v>
      </c>
      <c r="AO60" s="455"/>
      <c r="AP60" s="455" t="str">
        <f>IF(AND('Mapa final'!$K$115="Media",'Mapa final'!$O$115="Mayor"),CONCATENATE("R",'Mapa final'!$A$115),"")</f>
        <v/>
      </c>
      <c r="AQ60" s="455"/>
      <c r="AR60" s="455" t="str">
        <f>IF(AND('Mapa final'!$K$118="Media",'Mapa final'!$O$118="Mayor"),CONCATENATE("R",'Mapa final'!$A$118),"")</f>
        <v/>
      </c>
      <c r="AS60" s="455"/>
      <c r="AT60" s="455" t="str">
        <f>IF(AND('Mapa final'!$K$121="Media",'Mapa final'!$O$121="Mayor"),CONCATENATE("R",'Mapa final'!$A$121),"")</f>
        <v/>
      </c>
      <c r="AU60" s="455"/>
      <c r="AV60" s="455" t="str">
        <f>IF(AND('Mapa final'!$K$124="Media",'Mapa final'!$O$124="Mayor"),CONCATENATE("R",'Mapa final'!$A$124),"")</f>
        <v/>
      </c>
      <c r="AW60" s="495"/>
      <c r="AX60" s="487" t="str">
        <f>IF(AND('Mapa final'!$K$112="Media",'Mapa final'!$O$112="Catastrófico"),CONCATENATE("R",'Mapa final'!$A$112),"")</f>
        <v/>
      </c>
      <c r="AY60" s="485"/>
      <c r="AZ60" s="485" t="str">
        <f>IF(AND('Mapa final'!$K$115="Media",'Mapa final'!$O$115="Catastrófico"),CONCATENATE("R",'Mapa final'!$A$115),"")</f>
        <v/>
      </c>
      <c r="BA60" s="485"/>
      <c r="BB60" s="485" t="str">
        <f>IF(AND('Mapa final'!$K$118="Media",'Mapa final'!$O$118="Catastrófico"),CONCATENATE("R",'Mapa final'!$A$118),"")</f>
        <v/>
      </c>
      <c r="BC60" s="485"/>
      <c r="BD60" s="485" t="str">
        <f>IF(AND('Mapa final'!$K$121="Media",'Mapa final'!$O$121="Catastrófico"),CONCATENATE("R",'Mapa final'!$A$121),"")</f>
        <v/>
      </c>
      <c r="BE60" s="485"/>
      <c r="BF60" s="485" t="str">
        <f>IF(AND('Mapa final'!$K$124="Media",'Mapa final'!$O$124="Catastrófico"),CONCATENATE("R",'Mapa final'!$A$124),"")</f>
        <v/>
      </c>
      <c r="BG60" s="486"/>
      <c r="BH60" s="56"/>
      <c r="BI60" s="527"/>
      <c r="BJ60" s="528"/>
      <c r="BK60" s="528"/>
      <c r="BL60" s="528"/>
      <c r="BM60" s="528"/>
      <c r="BN60" s="529"/>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row>
    <row r="61" spans="1:100" ht="15" customHeight="1" x14ac:dyDescent="0.35">
      <c r="A61" s="56"/>
      <c r="B61" s="311"/>
      <c r="C61" s="311"/>
      <c r="D61" s="312"/>
      <c r="E61" s="473"/>
      <c r="F61" s="474"/>
      <c r="G61" s="474"/>
      <c r="H61" s="474"/>
      <c r="I61" s="479"/>
      <c r="J61" s="462"/>
      <c r="K61" s="463"/>
      <c r="L61" s="463"/>
      <c r="M61" s="463"/>
      <c r="N61" s="463"/>
      <c r="O61" s="463"/>
      <c r="P61" s="463"/>
      <c r="Q61" s="463"/>
      <c r="R61" s="463"/>
      <c r="S61" s="466"/>
      <c r="T61" s="462"/>
      <c r="U61" s="463"/>
      <c r="V61" s="463"/>
      <c r="W61" s="463"/>
      <c r="X61" s="463"/>
      <c r="Y61" s="463"/>
      <c r="Z61" s="463"/>
      <c r="AA61" s="463"/>
      <c r="AB61" s="463"/>
      <c r="AC61" s="466"/>
      <c r="AD61" s="462"/>
      <c r="AE61" s="463"/>
      <c r="AF61" s="463"/>
      <c r="AG61" s="463"/>
      <c r="AH61" s="463"/>
      <c r="AI61" s="463"/>
      <c r="AJ61" s="463"/>
      <c r="AK61" s="463"/>
      <c r="AL61" s="463"/>
      <c r="AM61" s="466"/>
      <c r="AN61" s="496"/>
      <c r="AO61" s="455"/>
      <c r="AP61" s="455"/>
      <c r="AQ61" s="455"/>
      <c r="AR61" s="455"/>
      <c r="AS61" s="455"/>
      <c r="AT61" s="455"/>
      <c r="AU61" s="455"/>
      <c r="AV61" s="455"/>
      <c r="AW61" s="495"/>
      <c r="AX61" s="487"/>
      <c r="AY61" s="485"/>
      <c r="AZ61" s="485"/>
      <c r="BA61" s="485"/>
      <c r="BB61" s="485"/>
      <c r="BC61" s="485"/>
      <c r="BD61" s="485"/>
      <c r="BE61" s="485"/>
      <c r="BF61" s="485"/>
      <c r="BG61" s="486"/>
      <c r="BH61" s="56"/>
      <c r="BI61" s="527"/>
      <c r="BJ61" s="528"/>
      <c r="BK61" s="528"/>
      <c r="BL61" s="528"/>
      <c r="BM61" s="528"/>
      <c r="BN61" s="529"/>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row>
    <row r="62" spans="1:100" ht="15" customHeight="1" x14ac:dyDescent="0.35">
      <c r="A62" s="56"/>
      <c r="B62" s="311"/>
      <c r="C62" s="311"/>
      <c r="D62" s="312"/>
      <c r="E62" s="473"/>
      <c r="F62" s="474"/>
      <c r="G62" s="474"/>
      <c r="H62" s="474"/>
      <c r="I62" s="479"/>
      <c r="J62" s="462" t="str">
        <f>IF(AND('Mapa final'!$K$127="Media",'Mapa final'!$O$127="Leve"),CONCATENATE("R",'Mapa final'!$A$127),"")</f>
        <v/>
      </c>
      <c r="K62" s="463"/>
      <c r="L62" s="463" t="str">
        <f>IF(AND('Mapa final'!$K$130="Media",'Mapa final'!$O$130="Leve"),CONCATENATE("R",'Mapa final'!$A$130),"")</f>
        <v/>
      </c>
      <c r="M62" s="463"/>
      <c r="N62" s="463" t="str">
        <f>IF(AND('Mapa final'!$K$133="Media",'Mapa final'!$O$133="Leve"),CONCATENATE("R",'Mapa final'!$A$133),"")</f>
        <v/>
      </c>
      <c r="O62" s="463"/>
      <c r="P62" s="463" t="str">
        <f>IF(AND('Mapa final'!$K$136="Media",'Mapa final'!$O$136="Leve"),CONCATENATE("R",'Mapa final'!$A$136),"")</f>
        <v/>
      </c>
      <c r="Q62" s="463"/>
      <c r="R62" s="463" t="str">
        <f>IF(AND('Mapa final'!$K$139="Media",'Mapa final'!$O$139="Leve"),CONCATENATE("R",'Mapa final'!$A$139),"")</f>
        <v/>
      </c>
      <c r="S62" s="466"/>
      <c r="T62" s="462" t="str">
        <f>IF(AND('Mapa final'!$K$127="Media",'Mapa final'!$O$127="Menor"),CONCATENATE("R",'Mapa final'!$A$127),"")</f>
        <v/>
      </c>
      <c r="U62" s="463"/>
      <c r="V62" s="463" t="str">
        <f>IF(AND('Mapa final'!$K$130="Media",'Mapa final'!$O$130="Menor"),CONCATENATE("R",'Mapa final'!$A$130),"")</f>
        <v/>
      </c>
      <c r="W62" s="463"/>
      <c r="X62" s="463" t="str">
        <f>IF(AND('Mapa final'!$K$133="Media",'Mapa final'!$O$133="Menor"),CONCATENATE("R",'Mapa final'!$A$133),"")</f>
        <v/>
      </c>
      <c r="Y62" s="463"/>
      <c r="Z62" s="463" t="str">
        <f>IF(AND('Mapa final'!$K$136="Media",'Mapa final'!$O$136="Menor"),CONCATENATE("R",'Mapa final'!$A$136),"")</f>
        <v/>
      </c>
      <c r="AA62" s="463"/>
      <c r="AB62" s="463" t="str">
        <f>IF(AND('Mapa final'!$K$139="Media",'Mapa final'!$O$139="Menor"),CONCATENATE("R",'Mapa final'!$A$139),"")</f>
        <v/>
      </c>
      <c r="AC62" s="466"/>
      <c r="AD62" s="462" t="str">
        <f>IF(AND('Mapa final'!$K$127="Media",'Mapa final'!$O$127="Moderado"),CONCATENATE("R",'Mapa final'!$A$127),"")</f>
        <v>R41</v>
      </c>
      <c r="AE62" s="463"/>
      <c r="AF62" s="463" t="str">
        <f>IF(AND('Mapa final'!$K$130="Media",'Mapa final'!$O$130="Moderado"),CONCATENATE("R",'Mapa final'!$A$130),"")</f>
        <v/>
      </c>
      <c r="AG62" s="463"/>
      <c r="AH62" s="463" t="str">
        <f>IF(AND('Mapa final'!$K$133="Media",'Mapa final'!$O$133="Moderado"),CONCATENATE("R",'Mapa final'!$A$133),"")</f>
        <v/>
      </c>
      <c r="AI62" s="463"/>
      <c r="AJ62" s="463" t="str">
        <f>IF(AND('Mapa final'!$K$136="Media",'Mapa final'!$O$136="Moderado"),CONCATENATE("R",'Mapa final'!$A$136),"")</f>
        <v>R44</v>
      </c>
      <c r="AK62" s="463"/>
      <c r="AL62" s="463" t="str">
        <f>IF(AND('Mapa final'!$K$139="Media",'Mapa final'!$O$139="Moderado"),CONCATENATE("R",'Mapa final'!$A$139),"")</f>
        <v/>
      </c>
      <c r="AM62" s="466"/>
      <c r="AN62" s="496" t="str">
        <f>IF(AND('Mapa final'!$K$127="Media",'Mapa final'!$O$127="Mayor"),CONCATENATE("R",'Mapa final'!$A$127),"")</f>
        <v/>
      </c>
      <c r="AO62" s="455"/>
      <c r="AP62" s="455" t="str">
        <f>IF(AND('Mapa final'!$K$130="Media",'Mapa final'!$O$130="Mayor"),CONCATENATE("R",'Mapa final'!$A$130),"")</f>
        <v/>
      </c>
      <c r="AQ62" s="455"/>
      <c r="AR62" s="455" t="str">
        <f>IF(AND('Mapa final'!$K$133="Media",'Mapa final'!$O$133="Mayor"),CONCATENATE("R",'Mapa final'!$A$133),"")</f>
        <v>R43</v>
      </c>
      <c r="AS62" s="455"/>
      <c r="AT62" s="455" t="str">
        <f>IF(AND('Mapa final'!$K$136="Media",'Mapa final'!$O$136="Mayor"),CONCATENATE("R",'Mapa final'!$A$136),"")</f>
        <v/>
      </c>
      <c r="AU62" s="455"/>
      <c r="AV62" s="455" t="str">
        <f>IF(AND('Mapa final'!$K$139="Media",'Mapa final'!$O$139="Mayor"),CONCATENATE("R",'Mapa final'!$A$139),"")</f>
        <v>R45</v>
      </c>
      <c r="AW62" s="495"/>
      <c r="AX62" s="487" t="str">
        <f>IF(AND('Mapa final'!$K$127="Media",'Mapa final'!$O$127="Catastrófico"),CONCATENATE("R",'Mapa final'!$A$127),"")</f>
        <v/>
      </c>
      <c r="AY62" s="485"/>
      <c r="AZ62" s="485" t="str">
        <f>IF(AND('Mapa final'!$K$130="Media",'Mapa final'!$O$130="Catastrófico"),CONCATENATE("R",'Mapa final'!$A$130),"")</f>
        <v/>
      </c>
      <c r="BA62" s="485"/>
      <c r="BB62" s="485" t="str">
        <f>IF(AND('Mapa final'!$K$133="Media",'Mapa final'!$O$133="Catastrófico"),CONCATENATE("R",'Mapa final'!$A$133),"")</f>
        <v/>
      </c>
      <c r="BC62" s="485"/>
      <c r="BD62" s="485" t="str">
        <f>IF(AND('Mapa final'!$K$136="Media",'Mapa final'!$O$136="Catastrófico"),CONCATENATE("R",'Mapa final'!$A$136),"")</f>
        <v/>
      </c>
      <c r="BE62" s="485"/>
      <c r="BF62" s="485" t="str">
        <f>IF(AND('Mapa final'!$K$139="Media",'Mapa final'!$O$139="Catastrófico"),CONCATENATE("R",'Mapa final'!$A$139),"")</f>
        <v/>
      </c>
      <c r="BG62" s="486"/>
      <c r="BH62" s="56"/>
      <c r="BI62" s="527"/>
      <c r="BJ62" s="528"/>
      <c r="BK62" s="528"/>
      <c r="BL62" s="528"/>
      <c r="BM62" s="528"/>
      <c r="BN62" s="529"/>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row>
    <row r="63" spans="1:100" ht="15" customHeight="1" x14ac:dyDescent="0.35">
      <c r="A63" s="56"/>
      <c r="B63" s="311"/>
      <c r="C63" s="311"/>
      <c r="D63" s="312"/>
      <c r="E63" s="473"/>
      <c r="F63" s="474"/>
      <c r="G63" s="474"/>
      <c r="H63" s="474"/>
      <c r="I63" s="479"/>
      <c r="J63" s="462"/>
      <c r="K63" s="463"/>
      <c r="L63" s="463"/>
      <c r="M63" s="463"/>
      <c r="N63" s="463"/>
      <c r="O63" s="463"/>
      <c r="P63" s="463"/>
      <c r="Q63" s="463"/>
      <c r="R63" s="463"/>
      <c r="S63" s="466"/>
      <c r="T63" s="462"/>
      <c r="U63" s="463"/>
      <c r="V63" s="463"/>
      <c r="W63" s="463"/>
      <c r="X63" s="463"/>
      <c r="Y63" s="463"/>
      <c r="Z63" s="463"/>
      <c r="AA63" s="463"/>
      <c r="AB63" s="463"/>
      <c r="AC63" s="466"/>
      <c r="AD63" s="462"/>
      <c r="AE63" s="463"/>
      <c r="AF63" s="463"/>
      <c r="AG63" s="463"/>
      <c r="AH63" s="463"/>
      <c r="AI63" s="463"/>
      <c r="AJ63" s="463"/>
      <c r="AK63" s="463"/>
      <c r="AL63" s="463"/>
      <c r="AM63" s="466"/>
      <c r="AN63" s="496"/>
      <c r="AO63" s="455"/>
      <c r="AP63" s="455"/>
      <c r="AQ63" s="455"/>
      <c r="AR63" s="455"/>
      <c r="AS63" s="455"/>
      <c r="AT63" s="455"/>
      <c r="AU63" s="455"/>
      <c r="AV63" s="455"/>
      <c r="AW63" s="495"/>
      <c r="AX63" s="487"/>
      <c r="AY63" s="485"/>
      <c r="AZ63" s="485"/>
      <c r="BA63" s="485"/>
      <c r="BB63" s="485"/>
      <c r="BC63" s="485"/>
      <c r="BD63" s="485"/>
      <c r="BE63" s="485"/>
      <c r="BF63" s="485"/>
      <c r="BG63" s="486"/>
      <c r="BH63" s="56"/>
      <c r="BI63" s="527"/>
      <c r="BJ63" s="528"/>
      <c r="BK63" s="528"/>
      <c r="BL63" s="528"/>
      <c r="BM63" s="528"/>
      <c r="BN63" s="529"/>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row>
    <row r="64" spans="1:100" ht="15" customHeight="1" x14ac:dyDescent="0.35">
      <c r="A64" s="56"/>
      <c r="B64" s="311"/>
      <c r="C64" s="311"/>
      <c r="D64" s="312"/>
      <c r="E64" s="473"/>
      <c r="F64" s="474"/>
      <c r="G64" s="474"/>
      <c r="H64" s="474"/>
      <c r="I64" s="479"/>
      <c r="J64" s="462" t="str">
        <f>IF(AND('Mapa final'!$K$142="Media",'Mapa final'!$O$142="Leve"),CONCATENATE("R",'Mapa final'!$A$142),"")</f>
        <v/>
      </c>
      <c r="K64" s="463"/>
      <c r="L64" s="463" t="str">
        <f>IF(AND('Mapa final'!$K$145="Media",'Mapa final'!$O$145="Leve"),CONCATENATE("R",'Mapa final'!$A$145),"")</f>
        <v/>
      </c>
      <c r="M64" s="463"/>
      <c r="N64" s="463" t="str">
        <f>IF(AND('Mapa final'!$K$148="Media",'Mapa final'!$O$148="Leve"),CONCATENATE("R",'Mapa final'!$A$148),"")</f>
        <v/>
      </c>
      <c r="O64" s="463"/>
      <c r="P64" s="463" t="str">
        <f>IF(AND('Mapa final'!$K$151="Media",'Mapa final'!$O$151="Leve"),CONCATENATE("R",'Mapa final'!$A$151),"")</f>
        <v/>
      </c>
      <c r="Q64" s="463"/>
      <c r="R64" s="463" t="str">
        <f>IF(AND('Mapa final'!$K$154="Media",'Mapa final'!$O$154="Leve"),CONCATENATE("R",'Mapa final'!$A$154),"")</f>
        <v/>
      </c>
      <c r="S64" s="466"/>
      <c r="T64" s="462" t="str">
        <f>IF(AND('Mapa final'!$K$142="Media",'Mapa final'!$O$142="Menor"),CONCATENATE("R",'Mapa final'!$A$142),"")</f>
        <v/>
      </c>
      <c r="U64" s="463"/>
      <c r="V64" s="463" t="str">
        <f>IF(AND('Mapa final'!$K$145="Media",'Mapa final'!$O$145="Menor"),CONCATENATE("R",'Mapa final'!$A$145),"")</f>
        <v/>
      </c>
      <c r="W64" s="463"/>
      <c r="X64" s="463" t="str">
        <f>IF(AND('Mapa final'!$K$148="Media",'Mapa final'!$O$148="Menor"),CONCATENATE("R",'Mapa final'!$A$148),"")</f>
        <v/>
      </c>
      <c r="Y64" s="463"/>
      <c r="Z64" s="463" t="str">
        <f>IF(AND('Mapa final'!$K$151="Media",'Mapa final'!$O$151="Menor"),CONCATENATE("R",'Mapa final'!$A$151),"")</f>
        <v/>
      </c>
      <c r="AA64" s="463"/>
      <c r="AB64" s="463" t="str">
        <f>IF(AND('Mapa final'!$K$154="Media",'Mapa final'!$O$154="Menor"),CONCATENATE("R",'Mapa final'!$A$154),"")</f>
        <v/>
      </c>
      <c r="AC64" s="466"/>
      <c r="AD64" s="462" t="str">
        <f>IF(AND('Mapa final'!$K$142="Media",'Mapa final'!$O$142="Moderado"),CONCATENATE("R",'Mapa final'!$A$142),"")</f>
        <v/>
      </c>
      <c r="AE64" s="463"/>
      <c r="AF64" s="463" t="str">
        <f>IF(AND('Mapa final'!$K$145="Media",'Mapa final'!$O$145="Moderado"),CONCATENATE("R",'Mapa final'!$A$145),"")</f>
        <v/>
      </c>
      <c r="AG64" s="463"/>
      <c r="AH64" s="463" t="str">
        <f>IF(AND('Mapa final'!$K$148="Media",'Mapa final'!$O$148="Moderado"),CONCATENATE("R",'Mapa final'!$A$148),"")</f>
        <v/>
      </c>
      <c r="AI64" s="463"/>
      <c r="AJ64" s="463" t="str">
        <f>IF(AND('Mapa final'!$K$151="Media",'Mapa final'!$O$151="Moderado"),CONCATENATE("R",'Mapa final'!$A$151),"")</f>
        <v/>
      </c>
      <c r="AK64" s="463"/>
      <c r="AL64" s="463" t="str">
        <f>IF(AND('Mapa final'!$K$154="Media",'Mapa final'!$O$154="Moderado"),CONCATENATE("R",'Mapa final'!$A$154),"")</f>
        <v/>
      </c>
      <c r="AM64" s="466"/>
      <c r="AN64" s="496" t="str">
        <f>IF(AND('Mapa final'!$K$142="Media",'Mapa final'!$O$142="Mayor"),CONCATENATE("R",'Mapa final'!$A$142),"")</f>
        <v/>
      </c>
      <c r="AO64" s="455"/>
      <c r="AP64" s="455" t="str">
        <f>IF(AND('Mapa final'!$K$145="Media",'Mapa final'!$O$145="Mayor"),CONCATENATE("R",'Mapa final'!$A$145),"")</f>
        <v/>
      </c>
      <c r="AQ64" s="455"/>
      <c r="AR64" s="455" t="str">
        <f>IF(AND('Mapa final'!$K$148="Media",'Mapa final'!$O$148="Mayor"),CONCATENATE("R",'Mapa final'!$A$148),"")</f>
        <v/>
      </c>
      <c r="AS64" s="455"/>
      <c r="AT64" s="455" t="str">
        <f>IF(AND('Mapa final'!$K$151="Media",'Mapa final'!$O$151="Mayor"),CONCATENATE("R",'Mapa final'!$A$151),"")</f>
        <v/>
      </c>
      <c r="AU64" s="455"/>
      <c r="AV64" s="455" t="str">
        <f>IF(AND('Mapa final'!$K$154="Media",'Mapa final'!$O$154="Mayor"),CONCATENATE("R",'Mapa final'!$A$154),"")</f>
        <v/>
      </c>
      <c r="AW64" s="495"/>
      <c r="AX64" s="487" t="str">
        <f>IF(AND('Mapa final'!$K$142="Media",'Mapa final'!$O$142="Catastrófico"),CONCATENATE("R",'Mapa final'!$A$142),"")</f>
        <v/>
      </c>
      <c r="AY64" s="485"/>
      <c r="AZ64" s="485" t="str">
        <f>IF(AND('Mapa final'!$K$145="Media",'Mapa final'!$O$145="Catastrófico"),CONCATENATE("R",'Mapa final'!$A$145),"")</f>
        <v/>
      </c>
      <c r="BA64" s="485"/>
      <c r="BB64" s="485" t="str">
        <f>IF(AND('Mapa final'!$K$148="Media",'Mapa final'!$O$148="Catastrófico"),CONCATENATE("R",'Mapa final'!$A$148),"")</f>
        <v/>
      </c>
      <c r="BC64" s="485"/>
      <c r="BD64" s="485" t="str">
        <f>IF(AND('Mapa final'!$K$151="Media",'Mapa final'!$O$151="Catastrófico"),CONCATENATE("R",'Mapa final'!$A$151),"")</f>
        <v/>
      </c>
      <c r="BE64" s="485"/>
      <c r="BF64" s="485" t="str">
        <f>IF(AND('Mapa final'!$K$154="Media",'Mapa final'!$O$154="Catastrófico"),CONCATENATE("R",'Mapa final'!$A$154),"")</f>
        <v/>
      </c>
      <c r="BG64" s="486"/>
      <c r="BH64" s="56"/>
      <c r="BI64" s="527"/>
      <c r="BJ64" s="528"/>
      <c r="BK64" s="528"/>
      <c r="BL64" s="528"/>
      <c r="BM64" s="528"/>
      <c r="BN64" s="529"/>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row>
    <row r="65" spans="1:100" ht="15.75" customHeight="1" thickBot="1" x14ac:dyDescent="0.4">
      <c r="A65" s="56"/>
      <c r="B65" s="311"/>
      <c r="C65" s="311"/>
      <c r="D65" s="312"/>
      <c r="E65" s="476"/>
      <c r="F65" s="477"/>
      <c r="G65" s="477"/>
      <c r="H65" s="477"/>
      <c r="I65" s="477"/>
      <c r="J65" s="464"/>
      <c r="K65" s="465"/>
      <c r="L65" s="465"/>
      <c r="M65" s="465"/>
      <c r="N65" s="465"/>
      <c r="O65" s="465"/>
      <c r="P65" s="465"/>
      <c r="Q65" s="465"/>
      <c r="R65" s="465"/>
      <c r="S65" s="467"/>
      <c r="T65" s="464"/>
      <c r="U65" s="465"/>
      <c r="V65" s="465"/>
      <c r="W65" s="465"/>
      <c r="X65" s="465"/>
      <c r="Y65" s="465"/>
      <c r="Z65" s="465"/>
      <c r="AA65" s="465"/>
      <c r="AB65" s="465"/>
      <c r="AC65" s="467"/>
      <c r="AD65" s="464"/>
      <c r="AE65" s="465"/>
      <c r="AF65" s="465"/>
      <c r="AG65" s="465"/>
      <c r="AH65" s="465"/>
      <c r="AI65" s="465"/>
      <c r="AJ65" s="465"/>
      <c r="AK65" s="465"/>
      <c r="AL65" s="465"/>
      <c r="AM65" s="467"/>
      <c r="AN65" s="497"/>
      <c r="AO65" s="494"/>
      <c r="AP65" s="494"/>
      <c r="AQ65" s="494"/>
      <c r="AR65" s="494"/>
      <c r="AS65" s="494"/>
      <c r="AT65" s="494"/>
      <c r="AU65" s="494"/>
      <c r="AV65" s="494"/>
      <c r="AW65" s="498"/>
      <c r="AX65" s="488"/>
      <c r="AY65" s="489"/>
      <c r="AZ65" s="489"/>
      <c r="BA65" s="489"/>
      <c r="BB65" s="489"/>
      <c r="BC65" s="489"/>
      <c r="BD65" s="489"/>
      <c r="BE65" s="489"/>
      <c r="BF65" s="489"/>
      <c r="BG65" s="490"/>
      <c r="BH65" s="56"/>
      <c r="BI65" s="527"/>
      <c r="BJ65" s="528"/>
      <c r="BK65" s="528"/>
      <c r="BL65" s="528"/>
      <c r="BM65" s="528"/>
      <c r="BN65" s="529"/>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5" customHeight="1" x14ac:dyDescent="0.35">
      <c r="A66" s="56"/>
      <c r="B66" s="311"/>
      <c r="C66" s="311"/>
      <c r="D66" s="312"/>
      <c r="E66" s="470" t="s">
        <v>105</v>
      </c>
      <c r="F66" s="471"/>
      <c r="G66" s="471"/>
      <c r="H66" s="471"/>
      <c r="I66" s="471"/>
      <c r="J66" s="460" t="str">
        <f>IF(AND('Mapa final'!$K$7="Baja",'Mapa final'!$O$7="Leve"),CONCATENATE("R",'Mapa final'!$A$7),"")</f>
        <v/>
      </c>
      <c r="K66" s="461"/>
      <c r="L66" s="461" t="str">
        <f>IF(AND('Mapa final'!$K$10="Baja",'Mapa final'!$O$10="Leve"),CONCATENATE("R",'Mapa final'!$A$10),"")</f>
        <v/>
      </c>
      <c r="M66" s="461"/>
      <c r="N66" s="461" t="str">
        <f>IF(AND('Mapa final'!$K$13="Baja",'Mapa final'!$O$13="Leve"),CONCATENATE("R",'Mapa final'!$A$13),"")</f>
        <v/>
      </c>
      <c r="O66" s="461"/>
      <c r="P66" s="461" t="e">
        <f>IF(AND('Mapa final'!#REF!="Baja",'Mapa final'!#REF!="Leve"),CONCATENATE("R",'Mapa final'!#REF!),"")</f>
        <v>#REF!</v>
      </c>
      <c r="Q66" s="461"/>
      <c r="R66" s="461" t="str">
        <f>IF(AND('Mapa final'!$K$16="Baja",'Mapa final'!$O$16="Leve"),CONCATENATE("R",'Mapa final'!$A$16),"")</f>
        <v/>
      </c>
      <c r="S66" s="504"/>
      <c r="T66" s="483" t="str">
        <f>IF(AND('Mapa final'!$K$7="Baja",'Mapa final'!$O$7="Menor"),CONCATENATE("R",'Mapa final'!$A$7),"")</f>
        <v/>
      </c>
      <c r="U66" s="468"/>
      <c r="V66" s="468" t="str">
        <f>IF(AND('Mapa final'!$K$10="Baja",'Mapa final'!$O$10="Menor"),CONCATENATE("R",'Mapa final'!$A$10),"")</f>
        <v/>
      </c>
      <c r="W66" s="468"/>
      <c r="X66" s="468" t="str">
        <f>IF(AND('Mapa final'!$K$13="Baja",'Mapa final'!$O$13="Menor"),CONCATENATE("R",'Mapa final'!$A$13),"")</f>
        <v/>
      </c>
      <c r="Y66" s="468"/>
      <c r="Z66" s="468" t="e">
        <f>IF(AND('Mapa final'!#REF!="Baja",'Mapa final'!#REF!="Menor"),CONCATENATE("R",'Mapa final'!#REF!),"")</f>
        <v>#REF!</v>
      </c>
      <c r="AA66" s="468"/>
      <c r="AB66" s="468" t="str">
        <f>IF(AND('Mapa final'!$K$16="Baja",'Mapa final'!$O$16="Menor"),CONCATENATE("R",'Mapa final'!$A$16),"")</f>
        <v/>
      </c>
      <c r="AC66" s="484"/>
      <c r="AD66" s="483" t="str">
        <f>IF(AND('Mapa final'!$K$7="Baja",'Mapa final'!$O$7="Moderado"),CONCATENATE("R",'Mapa final'!$A$7),"")</f>
        <v>R1</v>
      </c>
      <c r="AE66" s="468"/>
      <c r="AF66" s="468" t="str">
        <f>IF(AND('Mapa final'!$K$10="Baja",'Mapa final'!$O$10="Moderado"),CONCATENATE("R",'Mapa final'!$A$10),"")</f>
        <v/>
      </c>
      <c r="AG66" s="468"/>
      <c r="AH66" s="468" t="str">
        <f>IF(AND('Mapa final'!$K$13="Baja",'Mapa final'!$O$13="Moderado"),CONCATENATE("R",'Mapa final'!$A$13),"")</f>
        <v/>
      </c>
      <c r="AI66" s="468"/>
      <c r="AJ66" s="468" t="e">
        <f>IF(AND('Mapa final'!#REF!="Baja",'Mapa final'!#REF!="Moderado"),CONCATENATE("R",'Mapa final'!#REF!),"")</f>
        <v>#REF!</v>
      </c>
      <c r="AK66" s="468"/>
      <c r="AL66" s="468" t="str">
        <f>IF(AND('Mapa final'!$K$16="Baja",'Mapa final'!$O$16="Moderado"),CONCATENATE("R",'Mapa final'!$A$16),"")</f>
        <v/>
      </c>
      <c r="AM66" s="484"/>
      <c r="AN66" s="499" t="str">
        <f>IF(AND('Mapa final'!$K$7="Baja",'Mapa final'!$O$7="Mayor"),CONCATENATE("R",'Mapa final'!$A$7),"")</f>
        <v/>
      </c>
      <c r="AO66" s="500"/>
      <c r="AP66" s="500" t="str">
        <f>IF(AND('Mapa final'!$K$10="Baja",'Mapa final'!$O$10="Mayor"),CONCATENATE("R",'Mapa final'!$A$10),"")</f>
        <v/>
      </c>
      <c r="AQ66" s="500"/>
      <c r="AR66" s="500" t="str">
        <f>IF(AND('Mapa final'!$K$13="Baja",'Mapa final'!$O$13="Mayor"),CONCATENATE("R",'Mapa final'!$A$13),"")</f>
        <v/>
      </c>
      <c r="AS66" s="500"/>
      <c r="AT66" s="500" t="e">
        <f>IF(AND('Mapa final'!#REF!="Baja",'Mapa final'!#REF!="Mayor"),CONCATENATE("R",'Mapa final'!#REF!),"")</f>
        <v>#REF!</v>
      </c>
      <c r="AU66" s="500"/>
      <c r="AV66" s="500" t="str">
        <f>IF(AND('Mapa final'!$K$16="Baja",'Mapa final'!$O$16="Mayor"),CONCATENATE("R",'Mapa final'!$A$16),"")</f>
        <v/>
      </c>
      <c r="AW66" s="501"/>
      <c r="AX66" s="491" t="str">
        <f>IF(AND('Mapa final'!$K$7="Baja",'Mapa final'!$O$7="Catastrófico"),CONCATENATE("R",'Mapa final'!$A$7),"")</f>
        <v/>
      </c>
      <c r="AY66" s="492"/>
      <c r="AZ66" s="492" t="str">
        <f>IF(AND('Mapa final'!$K$10="Baja",'Mapa final'!$O$10="Catastrófico"),CONCATENATE("R",'Mapa final'!$A$10),"")</f>
        <v/>
      </c>
      <c r="BA66" s="492"/>
      <c r="BB66" s="492" t="str">
        <f>IF(AND('Mapa final'!$K$13="Baja",'Mapa final'!$O$13="Catastrófico"),CONCATENATE("R",'Mapa final'!$A$13),"")</f>
        <v/>
      </c>
      <c r="BC66" s="492"/>
      <c r="BD66" s="492" t="e">
        <f>IF(AND('Mapa final'!#REF!="Baja",'Mapa final'!#REF!="Catastrófico"),CONCATENATE("R",'Mapa final'!#REF!),"")</f>
        <v>#REF!</v>
      </c>
      <c r="BE66" s="492"/>
      <c r="BF66" s="492" t="str">
        <f>IF(AND('Mapa final'!$K$16="Baja",'Mapa final'!$O$16="Catastrófico"),CONCATENATE("R",'Mapa final'!$A$16),"")</f>
        <v/>
      </c>
      <c r="BG66" s="493"/>
      <c r="BH66" s="56"/>
      <c r="BI66" s="527"/>
      <c r="BJ66" s="528"/>
      <c r="BK66" s="528"/>
      <c r="BL66" s="528"/>
      <c r="BM66" s="528"/>
      <c r="BN66" s="529"/>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row>
    <row r="67" spans="1:100" ht="15" customHeight="1" x14ac:dyDescent="0.35">
      <c r="A67" s="56"/>
      <c r="B67" s="311"/>
      <c r="C67" s="311"/>
      <c r="D67" s="312"/>
      <c r="E67" s="473"/>
      <c r="F67" s="474"/>
      <c r="G67" s="474"/>
      <c r="H67" s="474"/>
      <c r="I67" s="479"/>
      <c r="J67" s="456"/>
      <c r="K67" s="457"/>
      <c r="L67" s="457"/>
      <c r="M67" s="457"/>
      <c r="N67" s="457"/>
      <c r="O67" s="457"/>
      <c r="P67" s="457"/>
      <c r="Q67" s="457"/>
      <c r="R67" s="457"/>
      <c r="S67" s="505"/>
      <c r="T67" s="462"/>
      <c r="U67" s="463"/>
      <c r="V67" s="463"/>
      <c r="W67" s="463"/>
      <c r="X67" s="463"/>
      <c r="Y67" s="463"/>
      <c r="Z67" s="463"/>
      <c r="AA67" s="463"/>
      <c r="AB67" s="463"/>
      <c r="AC67" s="466"/>
      <c r="AD67" s="462"/>
      <c r="AE67" s="463"/>
      <c r="AF67" s="463"/>
      <c r="AG67" s="463"/>
      <c r="AH67" s="463"/>
      <c r="AI67" s="463"/>
      <c r="AJ67" s="463"/>
      <c r="AK67" s="463"/>
      <c r="AL67" s="463"/>
      <c r="AM67" s="466"/>
      <c r="AN67" s="496"/>
      <c r="AO67" s="455"/>
      <c r="AP67" s="455"/>
      <c r="AQ67" s="455"/>
      <c r="AR67" s="455"/>
      <c r="AS67" s="455"/>
      <c r="AT67" s="455"/>
      <c r="AU67" s="455"/>
      <c r="AV67" s="455"/>
      <c r="AW67" s="495"/>
      <c r="AX67" s="487"/>
      <c r="AY67" s="485"/>
      <c r="AZ67" s="485"/>
      <c r="BA67" s="485"/>
      <c r="BB67" s="485"/>
      <c r="BC67" s="485"/>
      <c r="BD67" s="485"/>
      <c r="BE67" s="485"/>
      <c r="BF67" s="485"/>
      <c r="BG67" s="486"/>
      <c r="BH67" s="56"/>
      <c r="BI67" s="527"/>
      <c r="BJ67" s="528"/>
      <c r="BK67" s="528"/>
      <c r="BL67" s="528"/>
      <c r="BM67" s="528"/>
      <c r="BN67" s="529"/>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row>
    <row r="68" spans="1:100" ht="15" customHeight="1" x14ac:dyDescent="0.35">
      <c r="A68" s="56"/>
      <c r="B68" s="311"/>
      <c r="C68" s="311"/>
      <c r="D68" s="312"/>
      <c r="E68" s="473"/>
      <c r="F68" s="474"/>
      <c r="G68" s="474"/>
      <c r="H68" s="474"/>
      <c r="I68" s="479"/>
      <c r="J68" s="456" t="str">
        <f>IF(AND('Mapa final'!$K$19="Baja",'Mapa final'!$O$19="Leve"),CONCATENATE("R",'Mapa final'!$A$19),"")</f>
        <v/>
      </c>
      <c r="K68" s="457"/>
      <c r="L68" s="457" t="str">
        <f>IF(AND('Mapa final'!$K$22="Baja",'Mapa final'!$O$22="Leve"),CONCATENATE("R",'Mapa final'!$A$22),"")</f>
        <v/>
      </c>
      <c r="M68" s="457"/>
      <c r="N68" s="457" t="str">
        <f>IF(AND('Mapa final'!$K$25="Baja",'Mapa final'!$O$25="Leve"),CONCATENATE("R",'Mapa final'!$A$25),"")</f>
        <v/>
      </c>
      <c r="O68" s="457"/>
      <c r="P68" s="457" t="str">
        <f>IF(AND('Mapa final'!$K$28="Baja",'Mapa final'!$O$28="Leve"),CONCATENATE("R",'Mapa final'!$A$28),"")</f>
        <v/>
      </c>
      <c r="Q68" s="457"/>
      <c r="R68" s="457" t="str">
        <f>IF(AND('Mapa final'!$K$31="Baja",'Mapa final'!$O$31="Leve"),CONCATENATE("R",'Mapa final'!$A$31),"")</f>
        <v/>
      </c>
      <c r="S68" s="505"/>
      <c r="T68" s="462" t="str">
        <f>IF(AND('Mapa final'!$K$19="Baja",'Mapa final'!$O$19="Menor"),CONCATENATE("R",'Mapa final'!$A$19),"")</f>
        <v/>
      </c>
      <c r="U68" s="463"/>
      <c r="V68" s="463" t="str">
        <f>IF(AND('Mapa final'!$K$22="Baja",'Mapa final'!$O$22="Menor"),CONCATENATE("R",'Mapa final'!$A$22),"")</f>
        <v/>
      </c>
      <c r="W68" s="463"/>
      <c r="X68" s="463" t="str">
        <f>IF(AND('Mapa final'!$K$25="Baja",'Mapa final'!$O$25="Menor"),CONCATENATE("R",'Mapa final'!$A$25),"")</f>
        <v/>
      </c>
      <c r="Y68" s="463"/>
      <c r="Z68" s="463" t="str">
        <f>IF(AND('Mapa final'!$K$28="Baja",'Mapa final'!$O$28="Menor"),CONCATENATE("R",'Mapa final'!$A$28),"")</f>
        <v/>
      </c>
      <c r="AA68" s="463"/>
      <c r="AB68" s="463" t="str">
        <f>IF(AND('Mapa final'!$K$31="Baja",'Mapa final'!$O$31="Menor"),CONCATENATE("R",'Mapa final'!$A$31),"")</f>
        <v/>
      </c>
      <c r="AC68" s="466"/>
      <c r="AD68" s="462" t="str">
        <f>IF(AND('Mapa final'!$K$19="Baja",'Mapa final'!$O$19="Moderado"),CONCATENATE("R",'Mapa final'!$A$19),"")</f>
        <v/>
      </c>
      <c r="AE68" s="463"/>
      <c r="AF68" s="463" t="str">
        <f>IF(AND('Mapa final'!$K$22="Baja",'Mapa final'!$O$22="Moderado"),CONCATENATE("R",'Mapa final'!$A$22),"")</f>
        <v/>
      </c>
      <c r="AG68" s="463"/>
      <c r="AH68" s="463" t="str">
        <f>IF(AND('Mapa final'!$K$25="Baja",'Mapa final'!$O$25="Moderado"),CONCATENATE("R",'Mapa final'!$A$25),"")</f>
        <v/>
      </c>
      <c r="AI68" s="463"/>
      <c r="AJ68" s="463" t="str">
        <f>IF(AND('Mapa final'!$K$28="Baja",'Mapa final'!$O$28="Moderado"),CONCATENATE("R",'Mapa final'!$A$28),"")</f>
        <v/>
      </c>
      <c r="AK68" s="463"/>
      <c r="AL68" s="463" t="str">
        <f>IF(AND('Mapa final'!$K$31="Baja",'Mapa final'!$O$31="Moderado"),CONCATENATE("R",'Mapa final'!$A$31),"")</f>
        <v/>
      </c>
      <c r="AM68" s="466"/>
      <c r="AN68" s="496" t="str">
        <f>IF(AND('Mapa final'!$K$19="Baja",'Mapa final'!$O$19="Mayor"),CONCATENATE("R",'Mapa final'!$A$19),"")</f>
        <v/>
      </c>
      <c r="AO68" s="455"/>
      <c r="AP68" s="455" t="str">
        <f>IF(AND('Mapa final'!$K$22="Baja",'Mapa final'!$O$22="Mayor"),CONCATENATE("R",'Mapa final'!$A$22),"")</f>
        <v/>
      </c>
      <c r="AQ68" s="455"/>
      <c r="AR68" s="455" t="str">
        <f>IF(AND('Mapa final'!$K$25="Baja",'Mapa final'!$O$25="Mayor"),CONCATENATE("R",'Mapa final'!$A$25),"")</f>
        <v/>
      </c>
      <c r="AS68" s="455"/>
      <c r="AT68" s="455" t="str">
        <f>IF(AND('Mapa final'!$K$28="Baja",'Mapa final'!$O$28="Mayor"),CONCATENATE("R",'Mapa final'!$A$28),"")</f>
        <v/>
      </c>
      <c r="AU68" s="455"/>
      <c r="AV68" s="455" t="str">
        <f>IF(AND('Mapa final'!$K$31="Baja",'Mapa final'!$O$31="Mayor"),CONCATENATE("R",'Mapa final'!$A$31),"")</f>
        <v/>
      </c>
      <c r="AW68" s="495"/>
      <c r="AX68" s="487" t="str">
        <f>IF(AND('Mapa final'!$K$19="Baja",'Mapa final'!$O$19="Catastrófico"),CONCATENATE("R",'Mapa final'!$A$19),"")</f>
        <v/>
      </c>
      <c r="AY68" s="485"/>
      <c r="AZ68" s="485" t="str">
        <f>IF(AND('Mapa final'!$K$22="Baja",'Mapa final'!$O$22="Catastrófico"),CONCATENATE("R",'Mapa final'!$A$22),"")</f>
        <v/>
      </c>
      <c r="BA68" s="485"/>
      <c r="BB68" s="485" t="str">
        <f>IF(AND('Mapa final'!$K$25="Baja",'Mapa final'!$O$25="Catastrófico"),CONCATENATE("R",'Mapa final'!$A$25),"")</f>
        <v/>
      </c>
      <c r="BC68" s="485"/>
      <c r="BD68" s="485" t="str">
        <f>IF(AND('Mapa final'!$K$28="Baja",'Mapa final'!$O$28="Catastrófico"),CONCATENATE("R",'Mapa final'!$A$28),"")</f>
        <v/>
      </c>
      <c r="BE68" s="485"/>
      <c r="BF68" s="485" t="str">
        <f>IF(AND('Mapa final'!$K$31="Baja",'Mapa final'!$O$31="Catastrófico"),CONCATENATE("R",'Mapa final'!$A$31),"")</f>
        <v/>
      </c>
      <c r="BG68" s="486"/>
      <c r="BH68" s="56"/>
      <c r="BI68" s="527"/>
      <c r="BJ68" s="528"/>
      <c r="BK68" s="528"/>
      <c r="BL68" s="528"/>
      <c r="BM68" s="528"/>
      <c r="BN68" s="529"/>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row>
    <row r="69" spans="1:100" ht="15" customHeight="1" x14ac:dyDescent="0.35">
      <c r="A69" s="56"/>
      <c r="B69" s="311"/>
      <c r="C69" s="311"/>
      <c r="D69" s="312"/>
      <c r="E69" s="473"/>
      <c r="F69" s="474"/>
      <c r="G69" s="474"/>
      <c r="H69" s="474"/>
      <c r="I69" s="479"/>
      <c r="J69" s="456"/>
      <c r="K69" s="457"/>
      <c r="L69" s="457"/>
      <c r="M69" s="457"/>
      <c r="N69" s="457"/>
      <c r="O69" s="457"/>
      <c r="P69" s="457"/>
      <c r="Q69" s="457"/>
      <c r="R69" s="457"/>
      <c r="S69" s="505"/>
      <c r="T69" s="462"/>
      <c r="U69" s="463"/>
      <c r="V69" s="463"/>
      <c r="W69" s="463"/>
      <c r="X69" s="463"/>
      <c r="Y69" s="463"/>
      <c r="Z69" s="463"/>
      <c r="AA69" s="463"/>
      <c r="AB69" s="463"/>
      <c r="AC69" s="466"/>
      <c r="AD69" s="462"/>
      <c r="AE69" s="463"/>
      <c r="AF69" s="463"/>
      <c r="AG69" s="463"/>
      <c r="AH69" s="463"/>
      <c r="AI69" s="463"/>
      <c r="AJ69" s="463"/>
      <c r="AK69" s="463"/>
      <c r="AL69" s="463"/>
      <c r="AM69" s="466"/>
      <c r="AN69" s="496"/>
      <c r="AO69" s="455"/>
      <c r="AP69" s="455"/>
      <c r="AQ69" s="455"/>
      <c r="AR69" s="455"/>
      <c r="AS69" s="455"/>
      <c r="AT69" s="455"/>
      <c r="AU69" s="455"/>
      <c r="AV69" s="455"/>
      <c r="AW69" s="495"/>
      <c r="AX69" s="487"/>
      <c r="AY69" s="485"/>
      <c r="AZ69" s="485"/>
      <c r="BA69" s="485"/>
      <c r="BB69" s="485"/>
      <c r="BC69" s="485"/>
      <c r="BD69" s="485"/>
      <c r="BE69" s="485"/>
      <c r="BF69" s="485"/>
      <c r="BG69" s="486"/>
      <c r="BH69" s="56"/>
      <c r="BI69" s="527"/>
      <c r="BJ69" s="528"/>
      <c r="BK69" s="528"/>
      <c r="BL69" s="528"/>
      <c r="BM69" s="528"/>
      <c r="BN69" s="529"/>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row>
    <row r="70" spans="1:100" ht="15" customHeight="1" x14ac:dyDescent="0.35">
      <c r="A70" s="56"/>
      <c r="B70" s="311"/>
      <c r="C70" s="311"/>
      <c r="D70" s="312"/>
      <c r="E70" s="473"/>
      <c r="F70" s="474"/>
      <c r="G70" s="474"/>
      <c r="H70" s="474"/>
      <c r="I70" s="479"/>
      <c r="J70" s="456" t="str">
        <f>IF(AND('Mapa final'!$K$34="Baja",'Mapa final'!$O$34="Leve"),CONCATENATE("R",'Mapa final'!$A$34),"")</f>
        <v/>
      </c>
      <c r="K70" s="457"/>
      <c r="L70" s="457" t="str">
        <f>IF(AND('Mapa final'!$K$37="Baja",'Mapa final'!$O$37="Leve"),CONCATENATE("R",'Mapa final'!$A$37),"")</f>
        <v/>
      </c>
      <c r="M70" s="457"/>
      <c r="N70" s="457" t="str">
        <f>IF(AND('Mapa final'!$K$40="Baja",'Mapa final'!$O$40="Leve"),CONCATENATE("R",'Mapa final'!$A$40),"")</f>
        <v/>
      </c>
      <c r="O70" s="457"/>
      <c r="P70" s="457" t="str">
        <f>IF(AND('Mapa final'!$K$43="Baja",'Mapa final'!$O$43="Leve"),CONCATENATE("R",'Mapa final'!$A$43),"")</f>
        <v/>
      </c>
      <c r="Q70" s="457"/>
      <c r="R70" s="457" t="str">
        <f>IF(AND('Mapa final'!$K$46="Baja",'Mapa final'!$O$46="Leve"),CONCATENATE("R",'Mapa final'!$A$46),"")</f>
        <v/>
      </c>
      <c r="S70" s="505"/>
      <c r="T70" s="462" t="str">
        <f>IF(AND('Mapa final'!$K$34="Baja",'Mapa final'!$O$34="Menor"),CONCATENATE("R",'Mapa final'!$A$34),"")</f>
        <v/>
      </c>
      <c r="U70" s="463"/>
      <c r="V70" s="463" t="str">
        <f>IF(AND('Mapa final'!$K$37="Baja",'Mapa final'!$O$37="Menor"),CONCATENATE("R",'Mapa final'!$A$37),"")</f>
        <v/>
      </c>
      <c r="W70" s="463"/>
      <c r="X70" s="463" t="str">
        <f>IF(AND('Mapa final'!$K$40="Baja",'Mapa final'!$O$40="Menor"),CONCATENATE("R",'Mapa final'!$A$40),"")</f>
        <v/>
      </c>
      <c r="Y70" s="463"/>
      <c r="Z70" s="463" t="str">
        <f>IF(AND('Mapa final'!$K$43="Baja",'Mapa final'!$O$43="Menor"),CONCATENATE("R",'Mapa final'!$A$43),"")</f>
        <v/>
      </c>
      <c r="AA70" s="463"/>
      <c r="AB70" s="463" t="str">
        <f>IF(AND('Mapa final'!$K$46="Baja",'Mapa final'!$O$46="Menor"),CONCATENATE("R",'Mapa final'!$A$46),"")</f>
        <v/>
      </c>
      <c r="AC70" s="466"/>
      <c r="AD70" s="462" t="str">
        <f>IF(AND('Mapa final'!$K$34="Baja",'Mapa final'!$O$34="Moderado"),CONCATENATE("R",'Mapa final'!$A$34),"")</f>
        <v/>
      </c>
      <c r="AE70" s="463"/>
      <c r="AF70" s="463" t="str">
        <f>IF(AND('Mapa final'!$K$37="Baja",'Mapa final'!$O$37="Moderado"),CONCATENATE("R",'Mapa final'!$A$37),"")</f>
        <v>R11</v>
      </c>
      <c r="AG70" s="463"/>
      <c r="AH70" s="463" t="str">
        <f>IF(AND('Mapa final'!$K$40="Baja",'Mapa final'!$O$40="Moderado"),CONCATENATE("R",'Mapa final'!$A$40),"")</f>
        <v/>
      </c>
      <c r="AI70" s="463"/>
      <c r="AJ70" s="463" t="str">
        <f>IF(AND('Mapa final'!$K$43="Baja",'Mapa final'!$O$43="Moderado"),CONCATENATE("R",'Mapa final'!$A$43),"")</f>
        <v>R13</v>
      </c>
      <c r="AK70" s="463"/>
      <c r="AL70" s="463" t="str">
        <f>IF(AND('Mapa final'!$K$46="Baja",'Mapa final'!$O$46="Moderado"),CONCATENATE("R",'Mapa final'!$A$46),"")</f>
        <v/>
      </c>
      <c r="AM70" s="466"/>
      <c r="AN70" s="496" t="str">
        <f>IF(AND('Mapa final'!$K$34="Baja",'Mapa final'!$O$34="Mayor"),CONCATENATE("R",'Mapa final'!$A$34),"")</f>
        <v>R10</v>
      </c>
      <c r="AO70" s="455"/>
      <c r="AP70" s="455" t="str">
        <f>IF(AND('Mapa final'!$K$37="Baja",'Mapa final'!$O$37="Mayor"),CONCATENATE("R",'Mapa final'!$A$37),"")</f>
        <v/>
      </c>
      <c r="AQ70" s="455"/>
      <c r="AR70" s="455" t="str">
        <f>IF(AND('Mapa final'!$K$40="Baja",'Mapa final'!$O$40="Mayor"),CONCATENATE("R",'Mapa final'!$A$40),"")</f>
        <v/>
      </c>
      <c r="AS70" s="455"/>
      <c r="AT70" s="455" t="str">
        <f>IF(AND('Mapa final'!$K$43="Baja",'Mapa final'!$O$43="Mayor"),CONCATENATE("R",'Mapa final'!$A$43),"")</f>
        <v/>
      </c>
      <c r="AU70" s="455"/>
      <c r="AV70" s="455" t="str">
        <f>IF(AND('Mapa final'!$K$46="Baja",'Mapa final'!$O$46="Mayor"),CONCATENATE("R",'Mapa final'!$A$46),"")</f>
        <v/>
      </c>
      <c r="AW70" s="495"/>
      <c r="AX70" s="487" t="str">
        <f>IF(AND('Mapa final'!$K$34="Baja",'Mapa final'!$O$34="Catastrófico"),CONCATENATE("R",'Mapa final'!$A$34),"")</f>
        <v/>
      </c>
      <c r="AY70" s="485"/>
      <c r="AZ70" s="485" t="str">
        <f>IF(AND('Mapa final'!$K$37="Baja",'Mapa final'!$O$37="Catastrófico"),CONCATENATE("R",'Mapa final'!$A$37),"")</f>
        <v/>
      </c>
      <c r="BA70" s="485"/>
      <c r="BB70" s="485" t="str">
        <f>IF(AND('Mapa final'!$K$40="Baja",'Mapa final'!$O$40="Catastrófico"),CONCATENATE("R",'Mapa final'!$A$40),"")</f>
        <v/>
      </c>
      <c r="BC70" s="485"/>
      <c r="BD70" s="485" t="str">
        <f>IF(AND('Mapa final'!$K$43="Baja",'Mapa final'!$O$43="Catastrófico"),CONCATENATE("R",'Mapa final'!$A$43),"")</f>
        <v/>
      </c>
      <c r="BE70" s="485"/>
      <c r="BF70" s="485" t="str">
        <f>IF(AND('Mapa final'!$K$46="Baja",'Mapa final'!$O$46="Catastrófico"),CONCATENATE("R",'Mapa final'!$A$46),"")</f>
        <v/>
      </c>
      <c r="BG70" s="486"/>
      <c r="BH70" s="56"/>
      <c r="BI70" s="527"/>
      <c r="BJ70" s="528"/>
      <c r="BK70" s="528"/>
      <c r="BL70" s="528"/>
      <c r="BM70" s="528"/>
      <c r="BN70" s="529"/>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row>
    <row r="71" spans="1:100" ht="15" customHeight="1" x14ac:dyDescent="0.35">
      <c r="A71" s="56"/>
      <c r="B71" s="311"/>
      <c r="C71" s="311"/>
      <c r="D71" s="312"/>
      <c r="E71" s="473"/>
      <c r="F71" s="474"/>
      <c r="G71" s="474"/>
      <c r="H71" s="474"/>
      <c r="I71" s="479"/>
      <c r="J71" s="456"/>
      <c r="K71" s="457"/>
      <c r="L71" s="457"/>
      <c r="M71" s="457"/>
      <c r="N71" s="457"/>
      <c r="O71" s="457"/>
      <c r="P71" s="457"/>
      <c r="Q71" s="457"/>
      <c r="R71" s="457"/>
      <c r="S71" s="505"/>
      <c r="T71" s="462"/>
      <c r="U71" s="463"/>
      <c r="V71" s="463"/>
      <c r="W71" s="463"/>
      <c r="X71" s="463"/>
      <c r="Y71" s="463"/>
      <c r="Z71" s="463"/>
      <c r="AA71" s="463"/>
      <c r="AB71" s="463"/>
      <c r="AC71" s="466"/>
      <c r="AD71" s="462"/>
      <c r="AE71" s="463"/>
      <c r="AF71" s="463"/>
      <c r="AG71" s="463"/>
      <c r="AH71" s="463"/>
      <c r="AI71" s="463"/>
      <c r="AJ71" s="463"/>
      <c r="AK71" s="463"/>
      <c r="AL71" s="463"/>
      <c r="AM71" s="466"/>
      <c r="AN71" s="496"/>
      <c r="AO71" s="455"/>
      <c r="AP71" s="455"/>
      <c r="AQ71" s="455"/>
      <c r="AR71" s="455"/>
      <c r="AS71" s="455"/>
      <c r="AT71" s="455"/>
      <c r="AU71" s="455"/>
      <c r="AV71" s="455"/>
      <c r="AW71" s="495"/>
      <c r="AX71" s="487"/>
      <c r="AY71" s="485"/>
      <c r="AZ71" s="485"/>
      <c r="BA71" s="485"/>
      <c r="BB71" s="485"/>
      <c r="BC71" s="485"/>
      <c r="BD71" s="485"/>
      <c r="BE71" s="485"/>
      <c r="BF71" s="485"/>
      <c r="BG71" s="486"/>
      <c r="BH71" s="56"/>
      <c r="BI71" s="527"/>
      <c r="BJ71" s="528"/>
      <c r="BK71" s="528"/>
      <c r="BL71" s="528"/>
      <c r="BM71" s="528"/>
      <c r="BN71" s="529"/>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row>
    <row r="72" spans="1:100" ht="15" customHeight="1" x14ac:dyDescent="0.35">
      <c r="A72" s="56"/>
      <c r="B72" s="311"/>
      <c r="C72" s="311"/>
      <c r="D72" s="312"/>
      <c r="E72" s="473"/>
      <c r="F72" s="474"/>
      <c r="G72" s="474"/>
      <c r="H72" s="474"/>
      <c r="I72" s="479"/>
      <c r="J72" s="456" t="str">
        <f>IF(AND('Mapa final'!$K$49="Baja",'Mapa final'!$O$49="Leve"),CONCATENATE("R",'Mapa final'!$A$49),"")</f>
        <v/>
      </c>
      <c r="K72" s="457"/>
      <c r="L72" s="457" t="str">
        <f>IF(AND('Mapa final'!$K$52="Baja",'Mapa final'!$O$52="Leve"),CONCATENATE("R",'Mapa final'!$A$52),"")</f>
        <v/>
      </c>
      <c r="M72" s="457"/>
      <c r="N72" s="457" t="str">
        <f>IF(AND('Mapa final'!$K$55="Baja",'Mapa final'!$O$55="Leve"),CONCATENATE("R",'Mapa final'!$A$55),"")</f>
        <v/>
      </c>
      <c r="O72" s="457"/>
      <c r="P72" s="457" t="str">
        <f>IF(AND('Mapa final'!$K$58="Baja",'Mapa final'!$O$58="Leve"),CONCATENATE("R",'Mapa final'!$A$58),"")</f>
        <v/>
      </c>
      <c r="Q72" s="457"/>
      <c r="R72" s="457" t="str">
        <f>IF(AND('Mapa final'!$K$61="Baja",'Mapa final'!$O$61="Leve"),CONCATENATE("R",'Mapa final'!$A$61),"")</f>
        <v/>
      </c>
      <c r="S72" s="505"/>
      <c r="T72" s="462" t="str">
        <f>IF(AND('Mapa final'!$K$49="Baja",'Mapa final'!$O$49="Menor"),CONCATENATE("R",'Mapa final'!$A$49),"")</f>
        <v/>
      </c>
      <c r="U72" s="463"/>
      <c r="V72" s="463" t="str">
        <f>IF(AND('Mapa final'!$K$52="Baja",'Mapa final'!$O$52="Menor"),CONCATENATE("R",'Mapa final'!$A$52),"")</f>
        <v/>
      </c>
      <c r="W72" s="463"/>
      <c r="X72" s="463" t="str">
        <f>IF(AND('Mapa final'!$K$55="Baja",'Mapa final'!$O$55="Menor"),CONCATENATE("R",'Mapa final'!$A$55),"")</f>
        <v/>
      </c>
      <c r="Y72" s="463"/>
      <c r="Z72" s="463" t="str">
        <f>IF(AND('Mapa final'!$K$58="Baja",'Mapa final'!$O$58="Menor"),CONCATENATE("R",'Mapa final'!$A$58),"")</f>
        <v/>
      </c>
      <c r="AA72" s="463"/>
      <c r="AB72" s="463" t="str">
        <f>IF(AND('Mapa final'!$K$61="Baja",'Mapa final'!$O$61="Menor"),CONCATENATE("R",'Mapa final'!$A$61),"")</f>
        <v/>
      </c>
      <c r="AC72" s="466"/>
      <c r="AD72" s="462" t="str">
        <f>IF(AND('Mapa final'!$K$49="Baja",'Mapa final'!$O$49="Moderado"),CONCATENATE("R",'Mapa final'!$A$49),"")</f>
        <v/>
      </c>
      <c r="AE72" s="463"/>
      <c r="AF72" s="463" t="str">
        <f>IF(AND('Mapa final'!$K$52="Baja",'Mapa final'!$O$52="Moderado"),CONCATENATE("R",'Mapa final'!$A$52),"")</f>
        <v/>
      </c>
      <c r="AG72" s="463"/>
      <c r="AH72" s="463" t="str">
        <f>IF(AND('Mapa final'!$K$55="Baja",'Mapa final'!$O$55="Moderado"),CONCATENATE("R",'Mapa final'!$A$55),"")</f>
        <v/>
      </c>
      <c r="AI72" s="463"/>
      <c r="AJ72" s="463" t="str">
        <f>IF(AND('Mapa final'!$K$58="Baja",'Mapa final'!$O$58="Moderado"),CONCATENATE("R",'Mapa final'!$A$58),"")</f>
        <v/>
      </c>
      <c r="AK72" s="463"/>
      <c r="AL72" s="463" t="str">
        <f>IF(AND('Mapa final'!$K$61="Baja",'Mapa final'!$O$61="Moderado"),CONCATENATE("R",'Mapa final'!$A$61),"")</f>
        <v/>
      </c>
      <c r="AM72" s="466"/>
      <c r="AN72" s="496" t="str">
        <f>IF(AND('Mapa final'!$K$49="Baja",'Mapa final'!$O$49="Mayor"),CONCATENATE("R",'Mapa final'!$A$49),"")</f>
        <v/>
      </c>
      <c r="AO72" s="455"/>
      <c r="AP72" s="455" t="str">
        <f>IF(AND('Mapa final'!$K$52="Baja",'Mapa final'!$O$52="Mayor"),CONCATENATE("R",'Mapa final'!$A$52),"")</f>
        <v/>
      </c>
      <c r="AQ72" s="455"/>
      <c r="AR72" s="455" t="str">
        <f>IF(AND('Mapa final'!$K$55="Baja",'Mapa final'!$O$55="Mayor"),CONCATENATE("R",'Mapa final'!$A$55),"")</f>
        <v/>
      </c>
      <c r="AS72" s="455"/>
      <c r="AT72" s="455" t="str">
        <f>IF(AND('Mapa final'!$K$58="Baja",'Mapa final'!$O$58="Mayor"),CONCATENATE("R",'Mapa final'!$A$58),"")</f>
        <v/>
      </c>
      <c r="AU72" s="455"/>
      <c r="AV72" s="455" t="str">
        <f>IF(AND('Mapa final'!$K$61="Baja",'Mapa final'!$O$61="Mayor"),CONCATENATE("R",'Mapa final'!$A$61),"")</f>
        <v/>
      </c>
      <c r="AW72" s="495"/>
      <c r="AX72" s="487" t="str">
        <f>IF(AND('Mapa final'!$K$49="Baja",'Mapa final'!$O$49="Catastrófico"),CONCATENATE("R",'Mapa final'!$A$49),"")</f>
        <v/>
      </c>
      <c r="AY72" s="485"/>
      <c r="AZ72" s="485" t="str">
        <f>IF(AND('Mapa final'!$K$52="Baja",'Mapa final'!$O$52="Catastrófico"),CONCATENATE("R",'Mapa final'!$A$52),"")</f>
        <v/>
      </c>
      <c r="BA72" s="485"/>
      <c r="BB72" s="485" t="str">
        <f>IF(AND('Mapa final'!$K$55="Baja",'Mapa final'!$O$55="Catastrófico"),CONCATENATE("R",'Mapa final'!$A$55),"")</f>
        <v/>
      </c>
      <c r="BC72" s="485"/>
      <c r="BD72" s="485" t="str">
        <f>IF(AND('Mapa final'!$K$58="Baja",'Mapa final'!$O$58="Catastrófico"),CONCATENATE("R",'Mapa final'!$A$58),"")</f>
        <v/>
      </c>
      <c r="BE72" s="485"/>
      <c r="BF72" s="485" t="str">
        <f>IF(AND('Mapa final'!$K$61="Baja",'Mapa final'!$O$61="Catastrófico"),CONCATENATE("R",'Mapa final'!$A$61),"")</f>
        <v/>
      </c>
      <c r="BG72" s="486"/>
      <c r="BH72" s="56"/>
      <c r="BI72" s="527"/>
      <c r="BJ72" s="528"/>
      <c r="BK72" s="528"/>
      <c r="BL72" s="528"/>
      <c r="BM72" s="528"/>
      <c r="BN72" s="529"/>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row>
    <row r="73" spans="1:100" ht="15" customHeight="1" thickBot="1" x14ac:dyDescent="0.4">
      <c r="A73" s="56"/>
      <c r="B73" s="311"/>
      <c r="C73" s="311"/>
      <c r="D73" s="312"/>
      <c r="E73" s="473"/>
      <c r="F73" s="474"/>
      <c r="G73" s="474"/>
      <c r="H73" s="474"/>
      <c r="I73" s="479"/>
      <c r="J73" s="456"/>
      <c r="K73" s="457"/>
      <c r="L73" s="457"/>
      <c r="M73" s="457"/>
      <c r="N73" s="457"/>
      <c r="O73" s="457"/>
      <c r="P73" s="457"/>
      <c r="Q73" s="457"/>
      <c r="R73" s="457"/>
      <c r="S73" s="505"/>
      <c r="T73" s="462"/>
      <c r="U73" s="463"/>
      <c r="V73" s="463"/>
      <c r="W73" s="463"/>
      <c r="X73" s="463"/>
      <c r="Y73" s="463"/>
      <c r="Z73" s="463"/>
      <c r="AA73" s="463"/>
      <c r="AB73" s="463"/>
      <c r="AC73" s="466"/>
      <c r="AD73" s="462"/>
      <c r="AE73" s="463"/>
      <c r="AF73" s="463"/>
      <c r="AG73" s="463"/>
      <c r="AH73" s="463"/>
      <c r="AI73" s="463"/>
      <c r="AJ73" s="463"/>
      <c r="AK73" s="463"/>
      <c r="AL73" s="463"/>
      <c r="AM73" s="466"/>
      <c r="AN73" s="496"/>
      <c r="AO73" s="455"/>
      <c r="AP73" s="455"/>
      <c r="AQ73" s="455"/>
      <c r="AR73" s="455"/>
      <c r="AS73" s="455"/>
      <c r="AT73" s="455"/>
      <c r="AU73" s="455"/>
      <c r="AV73" s="455"/>
      <c r="AW73" s="495"/>
      <c r="AX73" s="487"/>
      <c r="AY73" s="485"/>
      <c r="AZ73" s="485"/>
      <c r="BA73" s="485"/>
      <c r="BB73" s="485"/>
      <c r="BC73" s="485"/>
      <c r="BD73" s="485"/>
      <c r="BE73" s="485"/>
      <c r="BF73" s="485"/>
      <c r="BG73" s="486"/>
      <c r="BH73" s="56"/>
      <c r="BI73" s="530"/>
      <c r="BJ73" s="531"/>
      <c r="BK73" s="531"/>
      <c r="BL73" s="531"/>
      <c r="BM73" s="531"/>
      <c r="BN73" s="532"/>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row>
    <row r="74" spans="1:100" ht="15" customHeight="1" x14ac:dyDescent="0.35">
      <c r="A74" s="56"/>
      <c r="B74" s="311"/>
      <c r="C74" s="311"/>
      <c r="D74" s="312"/>
      <c r="E74" s="473"/>
      <c r="F74" s="474"/>
      <c r="G74" s="474"/>
      <c r="H74" s="474"/>
      <c r="I74" s="479"/>
      <c r="J74" s="456" t="str">
        <f>IF(AND('Mapa final'!$K$64="Baja",'Mapa final'!$O$64="Leve"),CONCATENATE("R",'Mapa final'!$A$64),"")</f>
        <v>R20</v>
      </c>
      <c r="K74" s="457"/>
      <c r="L74" s="457" t="str">
        <f>IF(AND('Mapa final'!$K$67="Baja",'Mapa final'!$O$67="Leve"),CONCATENATE("R",'Mapa final'!$A$67),"")</f>
        <v/>
      </c>
      <c r="M74" s="457"/>
      <c r="N74" s="457" t="str">
        <f>IF(AND('Mapa final'!$K$73="Baja",'Mapa final'!$O$73="Leve"),CONCATENATE("R",'Mapa final'!$A$73),"")</f>
        <v/>
      </c>
      <c r="O74" s="457"/>
      <c r="P74" s="457" t="str">
        <f>IF(AND('Mapa final'!$K$76="Baja",'Mapa final'!$O$76="Leve"),CONCATENATE("R",'Mapa final'!$A$76),"")</f>
        <v/>
      </c>
      <c r="Q74" s="457"/>
      <c r="R74" s="457" t="str">
        <f>IF(AND('Mapa final'!$K$79="Baja",'Mapa final'!$O$79="Leve"),CONCATENATE("R",'Mapa final'!$A$79),"")</f>
        <v/>
      </c>
      <c r="S74" s="505"/>
      <c r="T74" s="462" t="str">
        <f>IF(AND('Mapa final'!$K$64="Baja",'Mapa final'!$O$64="Menor"),CONCATENATE("R",'Mapa final'!$A$64),"")</f>
        <v/>
      </c>
      <c r="U74" s="463"/>
      <c r="V74" s="463" t="str">
        <f>IF(AND('Mapa final'!$K$67="Baja",'Mapa final'!$O$67="Menor"),CONCATENATE("R",'Mapa final'!$A$67),"")</f>
        <v>R21</v>
      </c>
      <c r="W74" s="463"/>
      <c r="X74" s="463" t="str">
        <f>IF(AND('Mapa final'!$K$73="Baja",'Mapa final'!$O$73="Menor"),CONCATENATE("R",'Mapa final'!$A$73),"")</f>
        <v/>
      </c>
      <c r="Y74" s="463"/>
      <c r="Z74" s="463" t="str">
        <f>IF(AND('Mapa final'!$K$76="Baja",'Mapa final'!$O$76="Menor"),CONCATENATE("R",'Mapa final'!$A$76),"")</f>
        <v/>
      </c>
      <c r="AA74" s="463"/>
      <c r="AB74" s="463" t="str">
        <f>IF(AND('Mapa final'!$K$79="Baja",'Mapa final'!$O$79="Menor"),CONCATENATE("R",'Mapa final'!$A$79),"")</f>
        <v/>
      </c>
      <c r="AC74" s="466"/>
      <c r="AD74" s="462" t="str">
        <f>IF(AND('Mapa final'!$K$64="Baja",'Mapa final'!$O$64="Moderado"),CONCATENATE("R",'Mapa final'!$A$64),"")</f>
        <v/>
      </c>
      <c r="AE74" s="463"/>
      <c r="AF74" s="463" t="str">
        <f>IF(AND('Mapa final'!$K$67="Baja",'Mapa final'!$O$67="Moderado"),CONCATENATE("R",'Mapa final'!$A$67),"")</f>
        <v/>
      </c>
      <c r="AG74" s="463"/>
      <c r="AH74" s="463" t="str">
        <f>IF(AND('Mapa final'!$K$73="Baja",'Mapa final'!$O$73="Moderado"),CONCATENATE("R",'Mapa final'!$A$73),"")</f>
        <v/>
      </c>
      <c r="AI74" s="463"/>
      <c r="AJ74" s="463" t="str">
        <f>IF(AND('Mapa final'!$K$76="Baja",'Mapa final'!$O$76="Moderado"),CONCATENATE("R",'Mapa final'!$A$76),"")</f>
        <v>R24</v>
      </c>
      <c r="AK74" s="463"/>
      <c r="AL74" s="463" t="str">
        <f>IF(AND('Mapa final'!$K$79="Baja",'Mapa final'!$O$79="Moderado"),CONCATENATE("R",'Mapa final'!$A$79),"")</f>
        <v>R25</v>
      </c>
      <c r="AM74" s="466"/>
      <c r="AN74" s="496" t="str">
        <f>IF(AND('Mapa final'!$K$64="Baja",'Mapa final'!$O$64="Mayor"),CONCATENATE("R",'Mapa final'!$A$64),"")</f>
        <v/>
      </c>
      <c r="AO74" s="455"/>
      <c r="AP74" s="455" t="str">
        <f>IF(AND('Mapa final'!$K$67="Baja",'Mapa final'!$O$67="Mayor"),CONCATENATE("R",'Mapa final'!$A$67),"")</f>
        <v/>
      </c>
      <c r="AQ74" s="455"/>
      <c r="AR74" s="455" t="str">
        <f>IF(AND('Mapa final'!$K$73="Baja",'Mapa final'!$O$73="Mayor"),CONCATENATE("R",'Mapa final'!$A$73),"")</f>
        <v/>
      </c>
      <c r="AS74" s="455"/>
      <c r="AT74" s="455" t="str">
        <f>IF(AND('Mapa final'!$K$76="Baja",'Mapa final'!$O$76="Mayor"),CONCATENATE("R",'Mapa final'!$A$76),"")</f>
        <v/>
      </c>
      <c r="AU74" s="455"/>
      <c r="AV74" s="455" t="str">
        <f>IF(AND('Mapa final'!$K$79="Baja",'Mapa final'!$O$79="Mayor"),CONCATENATE("R",'Mapa final'!$A$79),"")</f>
        <v/>
      </c>
      <c r="AW74" s="495"/>
      <c r="AX74" s="487" t="str">
        <f>IF(AND('Mapa final'!$K$64="Baja",'Mapa final'!$O$64="Catastrófico"),CONCATENATE("R",'Mapa final'!$A$64),"")</f>
        <v/>
      </c>
      <c r="AY74" s="485"/>
      <c r="AZ74" s="485" t="str">
        <f>IF(AND('Mapa final'!$K$67="Baja",'Mapa final'!$O$67="Catastrófico"),CONCATENATE("R",'Mapa final'!$A$67),"")</f>
        <v/>
      </c>
      <c r="BA74" s="485"/>
      <c r="BB74" s="485" t="str">
        <f>IF(AND('Mapa final'!$K$73="Baja",'Mapa final'!$O$73="Catastrófico"),CONCATENATE("R",'Mapa final'!$A$73),"")</f>
        <v/>
      </c>
      <c r="BC74" s="485"/>
      <c r="BD74" s="485" t="str">
        <f>IF(AND('Mapa final'!$K$76="Baja",'Mapa final'!$O$76="Catastrófico"),CONCATENATE("R",'Mapa final'!$A$76),"")</f>
        <v/>
      </c>
      <c r="BE74" s="485"/>
      <c r="BF74" s="485" t="str">
        <f>IF(AND('Mapa final'!$K$79="Baja",'Mapa final'!$O$79="Catastrófico"),CONCATENATE("R",'Mapa final'!$A$79),"")</f>
        <v/>
      </c>
      <c r="BG74" s="486"/>
      <c r="BH74" s="56"/>
      <c r="BI74" s="533" t="s">
        <v>76</v>
      </c>
      <c r="BJ74" s="534"/>
      <c r="BK74" s="534"/>
      <c r="BL74" s="534"/>
      <c r="BM74" s="534"/>
      <c r="BN74" s="535"/>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row>
    <row r="75" spans="1:100" ht="15" customHeight="1" x14ac:dyDescent="0.35">
      <c r="A75" s="56"/>
      <c r="B75" s="311"/>
      <c r="C75" s="311"/>
      <c r="D75" s="312"/>
      <c r="E75" s="473"/>
      <c r="F75" s="474"/>
      <c r="G75" s="474"/>
      <c r="H75" s="474"/>
      <c r="I75" s="479"/>
      <c r="J75" s="456"/>
      <c r="K75" s="457"/>
      <c r="L75" s="457"/>
      <c r="M75" s="457"/>
      <c r="N75" s="457"/>
      <c r="O75" s="457"/>
      <c r="P75" s="457"/>
      <c r="Q75" s="457"/>
      <c r="R75" s="457"/>
      <c r="S75" s="505"/>
      <c r="T75" s="462"/>
      <c r="U75" s="463"/>
      <c r="V75" s="463"/>
      <c r="W75" s="463"/>
      <c r="X75" s="463"/>
      <c r="Y75" s="463"/>
      <c r="Z75" s="463"/>
      <c r="AA75" s="463"/>
      <c r="AB75" s="463"/>
      <c r="AC75" s="466"/>
      <c r="AD75" s="462"/>
      <c r="AE75" s="463"/>
      <c r="AF75" s="463"/>
      <c r="AG75" s="463"/>
      <c r="AH75" s="463"/>
      <c r="AI75" s="463"/>
      <c r="AJ75" s="463"/>
      <c r="AK75" s="463"/>
      <c r="AL75" s="463"/>
      <c r="AM75" s="466"/>
      <c r="AN75" s="496"/>
      <c r="AO75" s="455"/>
      <c r="AP75" s="455"/>
      <c r="AQ75" s="455"/>
      <c r="AR75" s="455"/>
      <c r="AS75" s="455"/>
      <c r="AT75" s="455"/>
      <c r="AU75" s="455"/>
      <c r="AV75" s="455"/>
      <c r="AW75" s="495"/>
      <c r="AX75" s="487"/>
      <c r="AY75" s="485"/>
      <c r="AZ75" s="485"/>
      <c r="BA75" s="485"/>
      <c r="BB75" s="485"/>
      <c r="BC75" s="485"/>
      <c r="BD75" s="485"/>
      <c r="BE75" s="485"/>
      <c r="BF75" s="485"/>
      <c r="BG75" s="486"/>
      <c r="BH75" s="56"/>
      <c r="BI75" s="536"/>
      <c r="BJ75" s="537"/>
      <c r="BK75" s="537"/>
      <c r="BL75" s="537"/>
      <c r="BM75" s="537"/>
      <c r="BN75" s="538"/>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row>
    <row r="76" spans="1:100" ht="15" customHeight="1" x14ac:dyDescent="0.35">
      <c r="A76" s="56"/>
      <c r="B76" s="311"/>
      <c r="C76" s="311"/>
      <c r="D76" s="312"/>
      <c r="E76" s="473"/>
      <c r="F76" s="474"/>
      <c r="G76" s="474"/>
      <c r="H76" s="474"/>
      <c r="I76" s="479"/>
      <c r="J76" s="456" t="str">
        <f>IF(AND('Mapa final'!$K$82="Baja",'Mapa final'!$O$82="Leve"),CONCATENATE("R",'Mapa final'!$A$82),"")</f>
        <v/>
      </c>
      <c r="K76" s="457"/>
      <c r="L76" s="457" t="str">
        <f>IF(AND('Mapa final'!$K$85="Baja",'Mapa final'!$O$85="Leve"),CONCATENATE("R",'Mapa final'!$A$85),"")</f>
        <v/>
      </c>
      <c r="M76" s="457"/>
      <c r="N76" s="457" t="str">
        <f>IF(AND('Mapa final'!$K$88="Baja",'Mapa final'!$O$88="Leve"),CONCATENATE("R",'Mapa final'!$A$88),"")</f>
        <v/>
      </c>
      <c r="O76" s="457"/>
      <c r="P76" s="457" t="str">
        <f>IF(AND('Mapa final'!$K$91="Baja",'Mapa final'!$O$91="Leve"),CONCATENATE("R",'Mapa final'!$A$91),"")</f>
        <v/>
      </c>
      <c r="Q76" s="457"/>
      <c r="R76" s="457" t="str">
        <f>IF(AND('Mapa final'!$K$94="Baja",'Mapa final'!$O$94="Leve"),CONCATENATE("R",'Mapa final'!$A$94),"")</f>
        <v/>
      </c>
      <c r="S76" s="505"/>
      <c r="T76" s="462" t="str">
        <f>IF(AND('Mapa final'!$K$82="Baja",'Mapa final'!$O$82="Menor"),CONCATENATE("R",'Mapa final'!$A$82),"")</f>
        <v/>
      </c>
      <c r="U76" s="463"/>
      <c r="V76" s="463" t="str">
        <f>IF(AND('Mapa final'!$K$85="Baja",'Mapa final'!$O$85="Menor"),CONCATENATE("R",'Mapa final'!$A$85),"")</f>
        <v/>
      </c>
      <c r="W76" s="463"/>
      <c r="X76" s="463" t="str">
        <f>IF(AND('Mapa final'!$K$88="Baja",'Mapa final'!$O$88="Menor"),CONCATENATE("R",'Mapa final'!$A$88),"")</f>
        <v/>
      </c>
      <c r="Y76" s="463"/>
      <c r="Z76" s="463" t="str">
        <f>IF(AND('Mapa final'!$K$91="Baja",'Mapa final'!$O$91="Menor"),CONCATENATE("R",'Mapa final'!$A$91),"")</f>
        <v/>
      </c>
      <c r="AA76" s="463"/>
      <c r="AB76" s="463" t="str">
        <f>IF(AND('Mapa final'!$K$94="Baja",'Mapa final'!$O$94="Menor"),CONCATENATE("R",'Mapa final'!$A$94),"")</f>
        <v/>
      </c>
      <c r="AC76" s="466"/>
      <c r="AD76" s="462" t="str">
        <f>IF(AND('Mapa final'!$K$82="Baja",'Mapa final'!$O$82="Moderado"),CONCATENATE("R",'Mapa final'!$A$82),"")</f>
        <v/>
      </c>
      <c r="AE76" s="463"/>
      <c r="AF76" s="463" t="str">
        <f>IF(AND('Mapa final'!$K$85="Baja",'Mapa final'!$O$85="Moderado"),CONCATENATE("R",'Mapa final'!$A$85),"")</f>
        <v>R27</v>
      </c>
      <c r="AG76" s="463"/>
      <c r="AH76" s="463" t="str">
        <f>IF(AND('Mapa final'!$K$88="Baja",'Mapa final'!$O$88="Moderado"),CONCATENATE("R",'Mapa final'!$A$88),"")</f>
        <v/>
      </c>
      <c r="AI76" s="463"/>
      <c r="AJ76" s="463" t="str">
        <f>IF(AND('Mapa final'!$K$91="Baja",'Mapa final'!$O$91="Moderado"),CONCATENATE("R",'Mapa final'!$A$91),"")</f>
        <v/>
      </c>
      <c r="AK76" s="463"/>
      <c r="AL76" s="463" t="str">
        <f>IF(AND('Mapa final'!$K$94="Baja",'Mapa final'!$O$94="Moderado"),CONCATENATE("R",'Mapa final'!$A$94),"")</f>
        <v/>
      </c>
      <c r="AM76" s="466"/>
      <c r="AN76" s="496" t="str">
        <f>IF(AND('Mapa final'!$K$82="Baja",'Mapa final'!$O$82="Mayor"),CONCATENATE("R",'Mapa final'!$A$82),"")</f>
        <v/>
      </c>
      <c r="AO76" s="455"/>
      <c r="AP76" s="455" t="str">
        <f>IF(AND('Mapa final'!$K$85="Baja",'Mapa final'!$O$85="Mayor"),CONCATENATE("R",'Mapa final'!$A$85),"")</f>
        <v/>
      </c>
      <c r="AQ76" s="455"/>
      <c r="AR76" s="455" t="str">
        <f>IF(AND('Mapa final'!$K$88="Baja",'Mapa final'!$O$88="Mayor"),CONCATENATE("R",'Mapa final'!$A$88),"")</f>
        <v/>
      </c>
      <c r="AS76" s="455"/>
      <c r="AT76" s="455" t="str">
        <f>IF(AND('Mapa final'!$K$91="Baja",'Mapa final'!$O$91="Mayor"),CONCATENATE("R",'Mapa final'!$A$91),"")</f>
        <v/>
      </c>
      <c r="AU76" s="455"/>
      <c r="AV76" s="455" t="str">
        <f>IF(AND('Mapa final'!$K$94="Baja",'Mapa final'!$O$94="Mayor"),CONCATENATE("R",'Mapa final'!$A$94),"")</f>
        <v/>
      </c>
      <c r="AW76" s="495"/>
      <c r="AX76" s="487" t="str">
        <f>IF(AND('Mapa final'!$K$82="Baja",'Mapa final'!$O$82="Catastrófico"),CONCATENATE("R",'Mapa final'!$A$82),"")</f>
        <v/>
      </c>
      <c r="AY76" s="485"/>
      <c r="AZ76" s="485" t="str">
        <f>IF(AND('Mapa final'!$K$85="Baja",'Mapa final'!$O$85="Catastrófico"),CONCATENATE("R",'Mapa final'!$A$85),"")</f>
        <v/>
      </c>
      <c r="BA76" s="485"/>
      <c r="BB76" s="485" t="str">
        <f>IF(AND('Mapa final'!$K$88="Baja",'Mapa final'!$O$88="Catastrófico"),CONCATENATE("R",'Mapa final'!$A$88),"")</f>
        <v/>
      </c>
      <c r="BC76" s="485"/>
      <c r="BD76" s="485" t="str">
        <f>IF(AND('Mapa final'!$K$91="Baja",'Mapa final'!$O$91="Catastrófico"),CONCATENATE("R",'Mapa final'!$A$91),"")</f>
        <v/>
      </c>
      <c r="BE76" s="485"/>
      <c r="BF76" s="485" t="str">
        <f>IF(AND('Mapa final'!$K$94="Baja",'Mapa final'!$O$94="Catastrófico"),CONCATENATE("R",'Mapa final'!$A$94),"")</f>
        <v/>
      </c>
      <c r="BG76" s="486"/>
      <c r="BH76" s="56"/>
      <c r="BI76" s="536"/>
      <c r="BJ76" s="537"/>
      <c r="BK76" s="537"/>
      <c r="BL76" s="537"/>
      <c r="BM76" s="537"/>
      <c r="BN76" s="538"/>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5" customHeight="1" x14ac:dyDescent="0.35">
      <c r="A77" s="56"/>
      <c r="B77" s="311"/>
      <c r="C77" s="311"/>
      <c r="D77" s="312"/>
      <c r="E77" s="473"/>
      <c r="F77" s="474"/>
      <c r="G77" s="474"/>
      <c r="H77" s="474"/>
      <c r="I77" s="479"/>
      <c r="J77" s="456"/>
      <c r="K77" s="457"/>
      <c r="L77" s="457"/>
      <c r="M77" s="457"/>
      <c r="N77" s="457"/>
      <c r="O77" s="457"/>
      <c r="P77" s="457"/>
      <c r="Q77" s="457"/>
      <c r="R77" s="457"/>
      <c r="S77" s="505"/>
      <c r="T77" s="462"/>
      <c r="U77" s="463"/>
      <c r="V77" s="463"/>
      <c r="W77" s="463"/>
      <c r="X77" s="463"/>
      <c r="Y77" s="463"/>
      <c r="Z77" s="463"/>
      <c r="AA77" s="463"/>
      <c r="AB77" s="463"/>
      <c r="AC77" s="466"/>
      <c r="AD77" s="462"/>
      <c r="AE77" s="463"/>
      <c r="AF77" s="463"/>
      <c r="AG77" s="463"/>
      <c r="AH77" s="463"/>
      <c r="AI77" s="463"/>
      <c r="AJ77" s="463"/>
      <c r="AK77" s="463"/>
      <c r="AL77" s="463"/>
      <c r="AM77" s="466"/>
      <c r="AN77" s="496"/>
      <c r="AO77" s="455"/>
      <c r="AP77" s="455"/>
      <c r="AQ77" s="455"/>
      <c r="AR77" s="455"/>
      <c r="AS77" s="455"/>
      <c r="AT77" s="455"/>
      <c r="AU77" s="455"/>
      <c r="AV77" s="455"/>
      <c r="AW77" s="495"/>
      <c r="AX77" s="487"/>
      <c r="AY77" s="485"/>
      <c r="AZ77" s="485"/>
      <c r="BA77" s="485"/>
      <c r="BB77" s="485"/>
      <c r="BC77" s="485"/>
      <c r="BD77" s="485"/>
      <c r="BE77" s="485"/>
      <c r="BF77" s="485"/>
      <c r="BG77" s="486"/>
      <c r="BH77" s="56"/>
      <c r="BI77" s="536"/>
      <c r="BJ77" s="537"/>
      <c r="BK77" s="537"/>
      <c r="BL77" s="537"/>
      <c r="BM77" s="537"/>
      <c r="BN77" s="538"/>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row>
    <row r="78" spans="1:100" ht="15" customHeight="1" x14ac:dyDescent="0.35">
      <c r="A78" s="56"/>
      <c r="B78" s="311"/>
      <c r="C78" s="311"/>
      <c r="D78" s="312"/>
      <c r="E78" s="473"/>
      <c r="F78" s="474"/>
      <c r="G78" s="474"/>
      <c r="H78" s="474"/>
      <c r="I78" s="479"/>
      <c r="J78" s="456" t="str">
        <f>IF(AND('Mapa final'!$K$97="Baja",'Mapa final'!$O$97="Leve"),CONCATENATE("R",'Mapa final'!$A$97),"")</f>
        <v/>
      </c>
      <c r="K78" s="457"/>
      <c r="L78" s="457" t="str">
        <f>IF(AND('Mapa final'!$K$100="Baja",'Mapa final'!$O$100="Leve"),CONCATENATE("R",'Mapa final'!$A$100),"")</f>
        <v/>
      </c>
      <c r="M78" s="457"/>
      <c r="N78" s="457" t="str">
        <f>IF(AND('Mapa final'!$K$103="Baja",'Mapa final'!$O$103="Leve"),CONCATENATE("R",'Mapa final'!$A$103),"")</f>
        <v/>
      </c>
      <c r="O78" s="457"/>
      <c r="P78" s="457" t="str">
        <f>IF(AND('Mapa final'!$K$106="Baja",'Mapa final'!$O$106="Leve"),CONCATENATE("R",'Mapa final'!$A$106),"")</f>
        <v/>
      </c>
      <c r="Q78" s="457"/>
      <c r="R78" s="457" t="str">
        <f>IF(AND('Mapa final'!$K$109="Baja",'Mapa final'!$O$109="Leve"),CONCATENATE("R",'Mapa final'!$A$109),"")</f>
        <v/>
      </c>
      <c r="S78" s="505"/>
      <c r="T78" s="462" t="str">
        <f>IF(AND('Mapa final'!$K$97="Baja",'Mapa final'!$O$97="Menor"),CONCATENATE("R",'Mapa final'!$A$97),"")</f>
        <v/>
      </c>
      <c r="U78" s="463"/>
      <c r="V78" s="463" t="str">
        <f>IF(AND('Mapa final'!$K$100="Baja",'Mapa final'!$O$100="Menor"),CONCATENATE("R",'Mapa final'!$A$100),"")</f>
        <v/>
      </c>
      <c r="W78" s="463"/>
      <c r="X78" s="463" t="str">
        <f>IF(AND('Mapa final'!$K$103="Baja",'Mapa final'!$O$103="Menor"),CONCATENATE("R",'Mapa final'!$A$103),"")</f>
        <v/>
      </c>
      <c r="Y78" s="463"/>
      <c r="Z78" s="463" t="str">
        <f>IF(AND('Mapa final'!$K$106="Baja",'Mapa final'!$O$106="Menor"),CONCATENATE("R",'Mapa final'!$A$106),"")</f>
        <v/>
      </c>
      <c r="AA78" s="463"/>
      <c r="AB78" s="463" t="str">
        <f>IF(AND('Mapa final'!$K$109="Baja",'Mapa final'!$O$109="Menor"),CONCATENATE("R",'Mapa final'!$A$109),"")</f>
        <v/>
      </c>
      <c r="AC78" s="466"/>
      <c r="AD78" s="462" t="str">
        <f>IF(AND('Mapa final'!$K$97="Baja",'Mapa final'!$O$97="Moderado"),CONCATENATE("R",'Mapa final'!$A$97),"")</f>
        <v>R31</v>
      </c>
      <c r="AE78" s="463"/>
      <c r="AF78" s="463" t="str">
        <f>IF(AND('Mapa final'!$K$100="Baja",'Mapa final'!$O$100="Moderado"),CONCATENATE("R",'Mapa final'!$A$100),"")</f>
        <v/>
      </c>
      <c r="AG78" s="463"/>
      <c r="AH78" s="463" t="str">
        <f>IF(AND('Mapa final'!$K$103="Baja",'Mapa final'!$O$103="Moderado"),CONCATENATE("R",'Mapa final'!$A$103),"")</f>
        <v/>
      </c>
      <c r="AI78" s="463"/>
      <c r="AJ78" s="463" t="str">
        <f>IF(AND('Mapa final'!$K$106="Baja",'Mapa final'!$O$106="Moderado"),CONCATENATE("R",'Mapa final'!$A$106),"")</f>
        <v/>
      </c>
      <c r="AK78" s="463"/>
      <c r="AL78" s="463" t="str">
        <f>IF(AND('Mapa final'!$K$109="Baja",'Mapa final'!$O$109="Moderado"),CONCATENATE("R",'Mapa final'!$A$109),"")</f>
        <v/>
      </c>
      <c r="AM78" s="466"/>
      <c r="AN78" s="496" t="str">
        <f>IF(AND('Mapa final'!$K$97="Baja",'Mapa final'!$O$97="Mayor"),CONCATENATE("R",'Mapa final'!$A$97),"")</f>
        <v/>
      </c>
      <c r="AO78" s="455"/>
      <c r="AP78" s="455" t="str">
        <f>IF(AND('Mapa final'!$K$100="Baja",'Mapa final'!$O$100="Mayor"),CONCATENATE("R",'Mapa final'!$A$100),"")</f>
        <v/>
      </c>
      <c r="AQ78" s="455"/>
      <c r="AR78" s="455" t="str">
        <f>IF(AND('Mapa final'!$K$103="Baja",'Mapa final'!$O$103="Mayor"),CONCATENATE("R",'Mapa final'!$A$103),"")</f>
        <v/>
      </c>
      <c r="AS78" s="455"/>
      <c r="AT78" s="455" t="str">
        <f>IF(AND('Mapa final'!$K$106="Baja",'Mapa final'!$O$106="Mayor"),CONCATENATE("R",'Mapa final'!$A$106),"")</f>
        <v/>
      </c>
      <c r="AU78" s="455"/>
      <c r="AV78" s="455" t="str">
        <f>IF(AND('Mapa final'!$K$109="Baja",'Mapa final'!$O$109="Mayor"),CONCATENATE("R",'Mapa final'!$A$109),"")</f>
        <v/>
      </c>
      <c r="AW78" s="495"/>
      <c r="AX78" s="487" t="str">
        <f>IF(AND('Mapa final'!$K$97="Baja",'Mapa final'!$O$97="Catastrófico"),CONCATENATE("R",'Mapa final'!$A$97),"")</f>
        <v/>
      </c>
      <c r="AY78" s="485"/>
      <c r="AZ78" s="485" t="str">
        <f>IF(AND('Mapa final'!$K$100="Baja",'Mapa final'!$O$100="Catastrófico"),CONCATENATE("R",'Mapa final'!$A$100),"")</f>
        <v/>
      </c>
      <c r="BA78" s="485"/>
      <c r="BB78" s="485" t="str">
        <f>IF(AND('Mapa final'!$K$103="Baja",'Mapa final'!$O$103="Catastrófico"),CONCATENATE("R",'Mapa final'!$A$103),"")</f>
        <v/>
      </c>
      <c r="BC78" s="485"/>
      <c r="BD78" s="485" t="str">
        <f>IF(AND('Mapa final'!$K$106="Baja",'Mapa final'!$O$106="Catastrófico"),CONCATENATE("R",'Mapa final'!$A$106),"")</f>
        <v/>
      </c>
      <c r="BE78" s="485"/>
      <c r="BF78" s="485" t="str">
        <f>IF(AND('Mapa final'!$K$109="Baja",'Mapa final'!$O$109="Catastrófico"),CONCATENATE("R",'Mapa final'!$A$109),"")</f>
        <v/>
      </c>
      <c r="BG78" s="486"/>
      <c r="BH78" s="56"/>
      <c r="BI78" s="536"/>
      <c r="BJ78" s="537"/>
      <c r="BK78" s="537"/>
      <c r="BL78" s="537"/>
      <c r="BM78" s="537"/>
      <c r="BN78" s="538"/>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row>
    <row r="79" spans="1:100" ht="15" customHeight="1" x14ac:dyDescent="0.35">
      <c r="A79" s="56"/>
      <c r="B79" s="311"/>
      <c r="C79" s="311"/>
      <c r="D79" s="312"/>
      <c r="E79" s="473"/>
      <c r="F79" s="474"/>
      <c r="G79" s="474"/>
      <c r="H79" s="474"/>
      <c r="I79" s="479"/>
      <c r="J79" s="456"/>
      <c r="K79" s="457"/>
      <c r="L79" s="457"/>
      <c r="M79" s="457"/>
      <c r="N79" s="457"/>
      <c r="O79" s="457"/>
      <c r="P79" s="457"/>
      <c r="Q79" s="457"/>
      <c r="R79" s="457"/>
      <c r="S79" s="505"/>
      <c r="T79" s="462"/>
      <c r="U79" s="463"/>
      <c r="V79" s="463"/>
      <c r="W79" s="463"/>
      <c r="X79" s="463"/>
      <c r="Y79" s="463"/>
      <c r="Z79" s="463"/>
      <c r="AA79" s="463"/>
      <c r="AB79" s="463"/>
      <c r="AC79" s="466"/>
      <c r="AD79" s="462"/>
      <c r="AE79" s="463"/>
      <c r="AF79" s="463"/>
      <c r="AG79" s="463"/>
      <c r="AH79" s="463"/>
      <c r="AI79" s="463"/>
      <c r="AJ79" s="463"/>
      <c r="AK79" s="463"/>
      <c r="AL79" s="463"/>
      <c r="AM79" s="466"/>
      <c r="AN79" s="496"/>
      <c r="AO79" s="455"/>
      <c r="AP79" s="455"/>
      <c r="AQ79" s="455"/>
      <c r="AR79" s="455"/>
      <c r="AS79" s="455"/>
      <c r="AT79" s="455"/>
      <c r="AU79" s="455"/>
      <c r="AV79" s="455"/>
      <c r="AW79" s="495"/>
      <c r="AX79" s="487"/>
      <c r="AY79" s="485"/>
      <c r="AZ79" s="485"/>
      <c r="BA79" s="485"/>
      <c r="BB79" s="485"/>
      <c r="BC79" s="485"/>
      <c r="BD79" s="485"/>
      <c r="BE79" s="485"/>
      <c r="BF79" s="485"/>
      <c r="BG79" s="486"/>
      <c r="BH79" s="56"/>
      <c r="BI79" s="536"/>
      <c r="BJ79" s="537"/>
      <c r="BK79" s="537"/>
      <c r="BL79" s="537"/>
      <c r="BM79" s="537"/>
      <c r="BN79" s="538"/>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row>
    <row r="80" spans="1:100" ht="15" customHeight="1" x14ac:dyDescent="0.35">
      <c r="A80" s="56"/>
      <c r="B80" s="311"/>
      <c r="C80" s="311"/>
      <c r="D80" s="312"/>
      <c r="E80" s="473"/>
      <c r="F80" s="474"/>
      <c r="G80" s="474"/>
      <c r="H80" s="474"/>
      <c r="I80" s="479"/>
      <c r="J80" s="456" t="str">
        <f>IF(AND('Mapa final'!$K$112="Baja",'Mapa final'!$O$112="Leve"),CONCATENATE("R",'Mapa final'!$A$112),"")</f>
        <v/>
      </c>
      <c r="K80" s="457"/>
      <c r="L80" s="457" t="str">
        <f>IF(AND('Mapa final'!$K$115="Baja",'Mapa final'!$O$115="Leve"),CONCATENATE("R",'Mapa final'!$A$115),"")</f>
        <v/>
      </c>
      <c r="M80" s="457"/>
      <c r="N80" s="457" t="str">
        <f>IF(AND('Mapa final'!$K$118="Baja",'Mapa final'!$O$118="Leve"),CONCATENATE("R",'Mapa final'!$A$118),"")</f>
        <v/>
      </c>
      <c r="O80" s="457"/>
      <c r="P80" s="457" t="str">
        <f>IF(AND('Mapa final'!$K$121="Baja",'Mapa final'!$O$121="Leve"),CONCATENATE("R",'Mapa final'!$A$121),"")</f>
        <v/>
      </c>
      <c r="Q80" s="457"/>
      <c r="R80" s="457" t="str">
        <f>IF(AND('Mapa final'!$K$124="Baja",'Mapa final'!$O$124="Leve"),CONCATENATE("R",'Mapa final'!$A$124),"")</f>
        <v/>
      </c>
      <c r="S80" s="505"/>
      <c r="T80" s="462" t="str">
        <f>IF(AND('Mapa final'!$K$112="Baja",'Mapa final'!$O$112="Menor"),CONCATENATE("R",'Mapa final'!$A$112),"")</f>
        <v/>
      </c>
      <c r="U80" s="463"/>
      <c r="V80" s="463" t="str">
        <f>IF(AND('Mapa final'!$K$115="Baja",'Mapa final'!$O$115="Menor"),CONCATENATE("R",'Mapa final'!$A$115),"")</f>
        <v/>
      </c>
      <c r="W80" s="463"/>
      <c r="X80" s="463" t="str">
        <f>IF(AND('Mapa final'!$K$118="Baja",'Mapa final'!$O$118="Menor"),CONCATENATE("R",'Mapa final'!$A$118),"")</f>
        <v>R38</v>
      </c>
      <c r="Y80" s="463"/>
      <c r="Z80" s="463" t="str">
        <f>IF(AND('Mapa final'!$K$121="Baja",'Mapa final'!$O$121="Menor"),CONCATENATE("R",'Mapa final'!$A$121),"")</f>
        <v/>
      </c>
      <c r="AA80" s="463"/>
      <c r="AB80" s="463" t="str">
        <f>IF(AND('Mapa final'!$K$124="Baja",'Mapa final'!$O$124="Menor"),CONCATENATE("R",'Mapa final'!$A$124),"")</f>
        <v/>
      </c>
      <c r="AC80" s="466"/>
      <c r="AD80" s="462" t="str">
        <f>IF(AND('Mapa final'!$K$112="Baja",'Mapa final'!$O$112="Moderado"),CONCATENATE("R",'Mapa final'!$A$112),"")</f>
        <v/>
      </c>
      <c r="AE80" s="463"/>
      <c r="AF80" s="463" t="str">
        <f>IF(AND('Mapa final'!$K$115="Baja",'Mapa final'!$O$115="Moderado"),CONCATENATE("R",'Mapa final'!$A$115),"")</f>
        <v/>
      </c>
      <c r="AG80" s="463"/>
      <c r="AH80" s="463" t="str">
        <f>IF(AND('Mapa final'!$K$118="Baja",'Mapa final'!$O$118="Moderado"),CONCATENATE("R",'Mapa final'!$A$118),"")</f>
        <v/>
      </c>
      <c r="AI80" s="463"/>
      <c r="AJ80" s="463" t="str">
        <f>IF(AND('Mapa final'!$K$121="Baja",'Mapa final'!$O$121="Moderado"),CONCATENATE("R",'Mapa final'!$A$121),"")</f>
        <v/>
      </c>
      <c r="AK80" s="463"/>
      <c r="AL80" s="463" t="str">
        <f>IF(AND('Mapa final'!$K$124="Baja",'Mapa final'!$O$124="Moderado"),CONCATENATE("R",'Mapa final'!$A$124),"")</f>
        <v/>
      </c>
      <c r="AM80" s="466"/>
      <c r="AN80" s="496" t="str">
        <f>IF(AND('Mapa final'!$K$112="Baja",'Mapa final'!$O$112="Mayor"),CONCATENATE("R",'Mapa final'!$A$112),"")</f>
        <v/>
      </c>
      <c r="AO80" s="455"/>
      <c r="AP80" s="455" t="str">
        <f>IF(AND('Mapa final'!$K$115="Baja",'Mapa final'!$O$115="Mayor"),CONCATENATE("R",'Mapa final'!$A$115),"")</f>
        <v/>
      </c>
      <c r="AQ80" s="455"/>
      <c r="AR80" s="455" t="str">
        <f>IF(AND('Mapa final'!$K$118="Baja",'Mapa final'!$O$118="Mayor"),CONCATENATE("R",'Mapa final'!$A$118),"")</f>
        <v/>
      </c>
      <c r="AS80" s="455"/>
      <c r="AT80" s="455" t="str">
        <f>IF(AND('Mapa final'!$K$121="Baja",'Mapa final'!$O$121="Mayor"),CONCATENATE("R",'Mapa final'!$A$121),"")</f>
        <v/>
      </c>
      <c r="AU80" s="455"/>
      <c r="AV80" s="455" t="str">
        <f>IF(AND('Mapa final'!$K$124="Baja",'Mapa final'!$O$124="Mayor"),CONCATENATE("R",'Mapa final'!$A$124),"")</f>
        <v/>
      </c>
      <c r="AW80" s="495"/>
      <c r="AX80" s="487" t="str">
        <f>IF(AND('Mapa final'!$K$112="Baja",'Mapa final'!$O$112="Catastrófico"),CONCATENATE("R",'Mapa final'!$A$112),"")</f>
        <v/>
      </c>
      <c r="AY80" s="485"/>
      <c r="AZ80" s="485" t="str">
        <f>IF(AND('Mapa final'!$K$115="Baja",'Mapa final'!$O$115="Catastrófico"),CONCATENATE("R",'Mapa final'!$A$115),"")</f>
        <v/>
      </c>
      <c r="BA80" s="485"/>
      <c r="BB80" s="485" t="str">
        <f>IF(AND('Mapa final'!$K$118="Baja",'Mapa final'!$O$118="Catastrófico"),CONCATENATE("R",'Mapa final'!$A$118),"")</f>
        <v/>
      </c>
      <c r="BC80" s="485"/>
      <c r="BD80" s="485" t="str">
        <f>IF(AND('Mapa final'!$K$121="Baja",'Mapa final'!$O$121="Catastrófico"),CONCATENATE("R",'Mapa final'!$A$121),"")</f>
        <v/>
      </c>
      <c r="BE80" s="485"/>
      <c r="BF80" s="485" t="str">
        <f>IF(AND('Mapa final'!$K$124="Baja",'Mapa final'!$O$124="Catastrófico"),CONCATENATE("R",'Mapa final'!$A$124),"")</f>
        <v/>
      </c>
      <c r="BG80" s="486"/>
      <c r="BH80" s="56"/>
      <c r="BI80" s="536"/>
      <c r="BJ80" s="537"/>
      <c r="BK80" s="537"/>
      <c r="BL80" s="537"/>
      <c r="BM80" s="537"/>
      <c r="BN80" s="538"/>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row>
    <row r="81" spans="1:100" ht="15" customHeight="1" x14ac:dyDescent="0.35">
      <c r="A81" s="56"/>
      <c r="B81" s="311"/>
      <c r="C81" s="311"/>
      <c r="D81" s="312"/>
      <c r="E81" s="473"/>
      <c r="F81" s="474"/>
      <c r="G81" s="474"/>
      <c r="H81" s="474"/>
      <c r="I81" s="479"/>
      <c r="J81" s="456"/>
      <c r="K81" s="457"/>
      <c r="L81" s="457"/>
      <c r="M81" s="457"/>
      <c r="N81" s="457"/>
      <c r="O81" s="457"/>
      <c r="P81" s="457"/>
      <c r="Q81" s="457"/>
      <c r="R81" s="457"/>
      <c r="S81" s="505"/>
      <c r="T81" s="462"/>
      <c r="U81" s="463"/>
      <c r="V81" s="463"/>
      <c r="W81" s="463"/>
      <c r="X81" s="463"/>
      <c r="Y81" s="463"/>
      <c r="Z81" s="463"/>
      <c r="AA81" s="463"/>
      <c r="AB81" s="463"/>
      <c r="AC81" s="466"/>
      <c r="AD81" s="462"/>
      <c r="AE81" s="463"/>
      <c r="AF81" s="463"/>
      <c r="AG81" s="463"/>
      <c r="AH81" s="463"/>
      <c r="AI81" s="463"/>
      <c r="AJ81" s="463"/>
      <c r="AK81" s="463"/>
      <c r="AL81" s="463"/>
      <c r="AM81" s="466"/>
      <c r="AN81" s="496"/>
      <c r="AO81" s="455"/>
      <c r="AP81" s="455"/>
      <c r="AQ81" s="455"/>
      <c r="AR81" s="455"/>
      <c r="AS81" s="455"/>
      <c r="AT81" s="455"/>
      <c r="AU81" s="455"/>
      <c r="AV81" s="455"/>
      <c r="AW81" s="495"/>
      <c r="AX81" s="487"/>
      <c r="AY81" s="485"/>
      <c r="AZ81" s="485"/>
      <c r="BA81" s="485"/>
      <c r="BB81" s="485"/>
      <c r="BC81" s="485"/>
      <c r="BD81" s="485"/>
      <c r="BE81" s="485"/>
      <c r="BF81" s="485"/>
      <c r="BG81" s="486"/>
      <c r="BH81" s="56"/>
      <c r="BI81" s="536"/>
      <c r="BJ81" s="537"/>
      <c r="BK81" s="537"/>
      <c r="BL81" s="537"/>
      <c r="BM81" s="537"/>
      <c r="BN81" s="538"/>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row>
    <row r="82" spans="1:100" ht="15" customHeight="1" x14ac:dyDescent="0.35">
      <c r="A82" s="56"/>
      <c r="B82" s="311"/>
      <c r="C82" s="311"/>
      <c r="D82" s="312"/>
      <c r="E82" s="473"/>
      <c r="F82" s="474"/>
      <c r="G82" s="474"/>
      <c r="H82" s="474"/>
      <c r="I82" s="479"/>
      <c r="J82" s="456" t="str">
        <f>IF(AND('Mapa final'!$K$127="Baja",'Mapa final'!$O$127="Leve"),CONCATENATE("R",'Mapa final'!$A$127),"")</f>
        <v/>
      </c>
      <c r="K82" s="457"/>
      <c r="L82" s="457" t="str">
        <f>IF(AND('Mapa final'!$K$130="Baja",'Mapa final'!$O$130="Leve"),CONCATENATE("R",'Mapa final'!$A$130),"")</f>
        <v/>
      </c>
      <c r="M82" s="457"/>
      <c r="N82" s="457" t="str">
        <f>IF(AND('Mapa final'!$K$133="Baja",'Mapa final'!$O$133="Leve"),CONCATENATE("R",'Mapa final'!$A$133),"")</f>
        <v/>
      </c>
      <c r="O82" s="457"/>
      <c r="P82" s="457" t="str">
        <f>IF(AND('Mapa final'!$K$136="Baja",'Mapa final'!$O$136="Leve"),CONCATENATE("R",'Mapa final'!$A$136),"")</f>
        <v/>
      </c>
      <c r="Q82" s="457"/>
      <c r="R82" s="457" t="str">
        <f>IF(AND('Mapa final'!$K$139="Baja",'Mapa final'!$O$139="Leve"),CONCATENATE("R",'Mapa final'!$A$139),"")</f>
        <v/>
      </c>
      <c r="S82" s="505"/>
      <c r="T82" s="462" t="str">
        <f>IF(AND('Mapa final'!$K$127="Baja",'Mapa final'!$O$127="Menor"),CONCATENATE("R",'Mapa final'!$A$127),"")</f>
        <v/>
      </c>
      <c r="U82" s="463"/>
      <c r="V82" s="463" t="str">
        <f>IF(AND('Mapa final'!$K$130="Baja",'Mapa final'!$O$130="Menor"),CONCATENATE("R",'Mapa final'!$A$130),"")</f>
        <v/>
      </c>
      <c r="W82" s="463"/>
      <c r="X82" s="463" t="str">
        <f>IF(AND('Mapa final'!$K$133="Baja",'Mapa final'!$O$133="Menor"),CONCATENATE("R",'Mapa final'!$A$133),"")</f>
        <v/>
      </c>
      <c r="Y82" s="463"/>
      <c r="Z82" s="463" t="str">
        <f>IF(AND('Mapa final'!$K$136="Baja",'Mapa final'!$O$136="Menor"),CONCATENATE("R",'Mapa final'!$A$136),"")</f>
        <v/>
      </c>
      <c r="AA82" s="463"/>
      <c r="AB82" s="463" t="str">
        <f>IF(AND('Mapa final'!$K$139="Baja",'Mapa final'!$O$139="Menor"),CONCATENATE("R",'Mapa final'!$A$139),"")</f>
        <v/>
      </c>
      <c r="AC82" s="466"/>
      <c r="AD82" s="462" t="str">
        <f>IF(AND('Mapa final'!$K$127="Baja",'Mapa final'!$O$127="Moderado"),CONCATENATE("R",'Mapa final'!$A$127),"")</f>
        <v/>
      </c>
      <c r="AE82" s="463"/>
      <c r="AF82" s="463" t="str">
        <f>IF(AND('Mapa final'!$K$130="Baja",'Mapa final'!$O$130="Moderado"),CONCATENATE("R",'Mapa final'!$A$130),"")</f>
        <v>R42</v>
      </c>
      <c r="AG82" s="463"/>
      <c r="AH82" s="463" t="str">
        <f>IF(AND('Mapa final'!$K$133="Baja",'Mapa final'!$O$133="Moderado"),CONCATENATE("R",'Mapa final'!$A$133),"")</f>
        <v/>
      </c>
      <c r="AI82" s="463"/>
      <c r="AJ82" s="463" t="str">
        <f>IF(AND('Mapa final'!$K$136="Baja",'Mapa final'!$O$136="Moderado"),CONCATENATE("R",'Mapa final'!$A$136),"")</f>
        <v/>
      </c>
      <c r="AK82" s="463"/>
      <c r="AL82" s="463" t="str">
        <f>IF(AND('Mapa final'!$K$139="Baja",'Mapa final'!$O$139="Moderado"),CONCATENATE("R",'Mapa final'!$A$139),"")</f>
        <v/>
      </c>
      <c r="AM82" s="466"/>
      <c r="AN82" s="496" t="str">
        <f>IF(AND('Mapa final'!$K$127="Baja",'Mapa final'!$O$127="Mayor"),CONCATENATE("R",'Mapa final'!$A$127),"")</f>
        <v/>
      </c>
      <c r="AO82" s="455"/>
      <c r="AP82" s="455" t="str">
        <f>IF(AND('Mapa final'!$K$130="Baja",'Mapa final'!$O$130="Mayor"),CONCATENATE("R",'Mapa final'!$A$130),"")</f>
        <v/>
      </c>
      <c r="AQ82" s="455"/>
      <c r="AR82" s="455" t="str">
        <f>IF(AND('Mapa final'!$K$133="Baja",'Mapa final'!$O$133="Mayor"),CONCATENATE("R",'Mapa final'!$A$133),"")</f>
        <v/>
      </c>
      <c r="AS82" s="455"/>
      <c r="AT82" s="455" t="str">
        <f>IF(AND('Mapa final'!$K$136="Baja",'Mapa final'!$O$136="Mayor"),CONCATENATE("R",'Mapa final'!$A$136),"")</f>
        <v/>
      </c>
      <c r="AU82" s="455"/>
      <c r="AV82" s="455" t="str">
        <f>IF(AND('Mapa final'!$K$139="Baja",'Mapa final'!$O$139="Mayor"),CONCATENATE("R",'Mapa final'!$A$139),"")</f>
        <v/>
      </c>
      <c r="AW82" s="495"/>
      <c r="AX82" s="487" t="str">
        <f>IF(AND('Mapa final'!$K$127="Baja",'Mapa final'!$O$127="Catastrófico"),CONCATENATE("R",'Mapa final'!$A$127),"")</f>
        <v/>
      </c>
      <c r="AY82" s="485"/>
      <c r="AZ82" s="485" t="str">
        <f>IF(AND('Mapa final'!$K$130="Baja",'Mapa final'!$O$130="Catastrófico"),CONCATENATE("R",'Mapa final'!$A$130),"")</f>
        <v/>
      </c>
      <c r="BA82" s="485"/>
      <c r="BB82" s="485" t="str">
        <f>IF(AND('Mapa final'!$K$133="Baja",'Mapa final'!$O$133="Catastrófico"),CONCATENATE("R",'Mapa final'!$A$133),"")</f>
        <v/>
      </c>
      <c r="BC82" s="485"/>
      <c r="BD82" s="485" t="str">
        <f>IF(AND('Mapa final'!$K$136="Baja",'Mapa final'!$O$136="Catastrófico"),CONCATENATE("R",'Mapa final'!$A$136),"")</f>
        <v/>
      </c>
      <c r="BE82" s="485"/>
      <c r="BF82" s="485" t="str">
        <f>IF(AND('Mapa final'!$K$139="Baja",'Mapa final'!$O$139="Catastrófico"),CONCATENATE("R",'Mapa final'!$A$139),"")</f>
        <v/>
      </c>
      <c r="BG82" s="486"/>
      <c r="BH82" s="56"/>
      <c r="BI82" s="536"/>
      <c r="BJ82" s="537"/>
      <c r="BK82" s="537"/>
      <c r="BL82" s="537"/>
      <c r="BM82" s="537"/>
      <c r="BN82" s="538"/>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row>
    <row r="83" spans="1:100" ht="15" customHeight="1" x14ac:dyDescent="0.35">
      <c r="A83" s="56"/>
      <c r="B83" s="311"/>
      <c r="C83" s="311"/>
      <c r="D83" s="312"/>
      <c r="E83" s="473"/>
      <c r="F83" s="474"/>
      <c r="G83" s="474"/>
      <c r="H83" s="474"/>
      <c r="I83" s="479"/>
      <c r="J83" s="456"/>
      <c r="K83" s="457"/>
      <c r="L83" s="457"/>
      <c r="M83" s="457"/>
      <c r="N83" s="457"/>
      <c r="O83" s="457"/>
      <c r="P83" s="457"/>
      <c r="Q83" s="457"/>
      <c r="R83" s="457"/>
      <c r="S83" s="505"/>
      <c r="T83" s="462"/>
      <c r="U83" s="463"/>
      <c r="V83" s="463"/>
      <c r="W83" s="463"/>
      <c r="X83" s="463"/>
      <c r="Y83" s="463"/>
      <c r="Z83" s="463"/>
      <c r="AA83" s="463"/>
      <c r="AB83" s="463"/>
      <c r="AC83" s="466"/>
      <c r="AD83" s="462"/>
      <c r="AE83" s="463"/>
      <c r="AF83" s="463"/>
      <c r="AG83" s="463"/>
      <c r="AH83" s="463"/>
      <c r="AI83" s="463"/>
      <c r="AJ83" s="463"/>
      <c r="AK83" s="463"/>
      <c r="AL83" s="463"/>
      <c r="AM83" s="466"/>
      <c r="AN83" s="496"/>
      <c r="AO83" s="455"/>
      <c r="AP83" s="455"/>
      <c r="AQ83" s="455"/>
      <c r="AR83" s="455"/>
      <c r="AS83" s="455"/>
      <c r="AT83" s="455"/>
      <c r="AU83" s="455"/>
      <c r="AV83" s="455"/>
      <c r="AW83" s="495"/>
      <c r="AX83" s="487"/>
      <c r="AY83" s="485"/>
      <c r="AZ83" s="485"/>
      <c r="BA83" s="485"/>
      <c r="BB83" s="485"/>
      <c r="BC83" s="485"/>
      <c r="BD83" s="485"/>
      <c r="BE83" s="485"/>
      <c r="BF83" s="485"/>
      <c r="BG83" s="486"/>
      <c r="BH83" s="56"/>
      <c r="BI83" s="536"/>
      <c r="BJ83" s="537"/>
      <c r="BK83" s="537"/>
      <c r="BL83" s="537"/>
      <c r="BM83" s="537"/>
      <c r="BN83" s="538"/>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row>
    <row r="84" spans="1:100" ht="15" customHeight="1" x14ac:dyDescent="0.35">
      <c r="A84" s="56"/>
      <c r="B84" s="311"/>
      <c r="C84" s="311"/>
      <c r="D84" s="312"/>
      <c r="E84" s="473"/>
      <c r="F84" s="474"/>
      <c r="G84" s="474"/>
      <c r="H84" s="474"/>
      <c r="I84" s="479"/>
      <c r="J84" s="456" t="str">
        <f>IF(AND('Mapa final'!$K$142="Baja",'Mapa final'!$O$142="Leve"),CONCATENATE("R",'Mapa final'!$A$142),"")</f>
        <v/>
      </c>
      <c r="K84" s="457"/>
      <c r="L84" s="457" t="str">
        <f>IF(AND('Mapa final'!$K$145="Baja",'Mapa final'!$O$145="Leve"),CONCATENATE("R",'Mapa final'!$A$145),"")</f>
        <v/>
      </c>
      <c r="M84" s="457"/>
      <c r="N84" s="457" t="str">
        <f>IF(AND('Mapa final'!$K$148="Baja",'Mapa final'!$O$148="Leve"),CONCATENATE("R",'Mapa final'!$A$148),"")</f>
        <v/>
      </c>
      <c r="O84" s="457"/>
      <c r="P84" s="457" t="str">
        <f>IF(AND('Mapa final'!$K$151="Baja",'Mapa final'!$O$151="Leve"),CONCATENATE("R",'Mapa final'!$A$151),"")</f>
        <v/>
      </c>
      <c r="Q84" s="457"/>
      <c r="R84" s="457" t="str">
        <f>IF(AND('Mapa final'!$K$154="Baja",'Mapa final'!$O$154="Leve"),CONCATENATE("R",'Mapa final'!$A$154),"")</f>
        <v/>
      </c>
      <c r="S84" s="505"/>
      <c r="T84" s="462" t="str">
        <f>IF(AND('Mapa final'!$K$142="Baja",'Mapa final'!$O$142="Menor"),CONCATENATE("R",'Mapa final'!$A$142),"")</f>
        <v/>
      </c>
      <c r="U84" s="463"/>
      <c r="V84" s="463" t="str">
        <f>IF(AND('Mapa final'!$K$145="Baja",'Mapa final'!$O$145="Menor"),CONCATENATE("R",'Mapa final'!$A$145),"")</f>
        <v/>
      </c>
      <c r="W84" s="463"/>
      <c r="X84" s="463" t="str">
        <f>IF(AND('Mapa final'!$K$148="Baja",'Mapa final'!$O$148="Menor"),CONCATENATE("R",'Mapa final'!$A$148),"")</f>
        <v/>
      </c>
      <c r="Y84" s="463"/>
      <c r="Z84" s="463" t="str">
        <f>IF(AND('Mapa final'!$K$151="Baja",'Mapa final'!$O$151="Menor"),CONCATENATE("R",'Mapa final'!$A$151),"")</f>
        <v/>
      </c>
      <c r="AA84" s="463"/>
      <c r="AB84" s="463" t="str">
        <f>IF(AND('Mapa final'!$K$154="Baja",'Mapa final'!$O$154="Menor"),CONCATENATE("R",'Mapa final'!$A$154),"")</f>
        <v/>
      </c>
      <c r="AC84" s="466"/>
      <c r="AD84" s="462" t="str">
        <f>IF(AND('Mapa final'!$K$142="Baja",'Mapa final'!$O$142="Moderado"),CONCATENATE("R",'Mapa final'!$A$142),"")</f>
        <v/>
      </c>
      <c r="AE84" s="463"/>
      <c r="AF84" s="463" t="str">
        <f>IF(AND('Mapa final'!$K$145="Baja",'Mapa final'!$O$145="Moderado"),CONCATENATE("R",'Mapa final'!$A$145),"")</f>
        <v/>
      </c>
      <c r="AG84" s="463"/>
      <c r="AH84" s="463" t="str">
        <f>IF(AND('Mapa final'!$K$148="Baja",'Mapa final'!$O$148="Moderado"),CONCATENATE("R",'Mapa final'!$A$148),"")</f>
        <v/>
      </c>
      <c r="AI84" s="463"/>
      <c r="AJ84" s="463" t="str">
        <f>IF(AND('Mapa final'!$K$151="Baja",'Mapa final'!$O$151="Moderado"),CONCATENATE("R",'Mapa final'!$A$151),"")</f>
        <v/>
      </c>
      <c r="AK84" s="463"/>
      <c r="AL84" s="463" t="str">
        <f>IF(AND('Mapa final'!$K$154="Baja",'Mapa final'!$O$154="Moderado"),CONCATENATE("R",'Mapa final'!$A$154),"")</f>
        <v/>
      </c>
      <c r="AM84" s="466"/>
      <c r="AN84" s="496" t="str">
        <f>IF(AND('Mapa final'!$K$142="Baja",'Mapa final'!$O$142="Mayor"),CONCATENATE("R",'Mapa final'!$A$142),"")</f>
        <v/>
      </c>
      <c r="AO84" s="455"/>
      <c r="AP84" s="455" t="str">
        <f>IF(AND('Mapa final'!$K$145="Baja",'Mapa final'!$O$145="Mayor"),CONCATENATE("R",'Mapa final'!$A$145),"")</f>
        <v/>
      </c>
      <c r="AQ84" s="455"/>
      <c r="AR84" s="455" t="str">
        <f>IF(AND('Mapa final'!$K$148="Baja",'Mapa final'!$O$148="Mayor"),CONCATENATE("R",'Mapa final'!$A$148),"")</f>
        <v/>
      </c>
      <c r="AS84" s="455"/>
      <c r="AT84" s="455" t="str">
        <f>IF(AND('Mapa final'!$K$151="Baja",'Mapa final'!$O$151="Mayor"),CONCATENATE("R",'Mapa final'!$A$151),"")</f>
        <v/>
      </c>
      <c r="AU84" s="455"/>
      <c r="AV84" s="455" t="str">
        <f>IF(AND('Mapa final'!$K$154="Baja",'Mapa final'!$O$154="Mayor"),CONCATENATE("R",'Mapa final'!$A$154),"")</f>
        <v/>
      </c>
      <c r="AW84" s="495"/>
      <c r="AX84" s="487" t="str">
        <f>IF(AND('Mapa final'!$K$142="Baja",'Mapa final'!$O$142="Catastrófico"),CONCATENATE("R",'Mapa final'!$A$142),"")</f>
        <v/>
      </c>
      <c r="AY84" s="485"/>
      <c r="AZ84" s="485" t="str">
        <f>IF(AND('Mapa final'!$K$145="Baja",'Mapa final'!$O$145="Catastrófico"),CONCATENATE("R",'Mapa final'!$A$145),"")</f>
        <v/>
      </c>
      <c r="BA84" s="485"/>
      <c r="BB84" s="485" t="str">
        <f>IF(AND('Mapa final'!$K$148="Baja",'Mapa final'!$O$148="Catastrófico"),CONCATENATE("R",'Mapa final'!$A$148),"")</f>
        <v/>
      </c>
      <c r="BC84" s="485"/>
      <c r="BD84" s="485" t="str">
        <f>IF(AND('Mapa final'!$K$151="Baja",'Mapa final'!$O$151="Catastrófico"),CONCATENATE("R",'Mapa final'!$A$151),"")</f>
        <v/>
      </c>
      <c r="BE84" s="485"/>
      <c r="BF84" s="485" t="str">
        <f>IF(AND('Mapa final'!$K$154="Baja",'Mapa final'!$O$154="Catastrófico"),CONCATENATE("R",'Mapa final'!$A$154),"")</f>
        <v/>
      </c>
      <c r="BG84" s="486"/>
      <c r="BH84" s="56"/>
      <c r="BI84" s="536"/>
      <c r="BJ84" s="537"/>
      <c r="BK84" s="537"/>
      <c r="BL84" s="537"/>
      <c r="BM84" s="537"/>
      <c r="BN84" s="538"/>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row>
    <row r="85" spans="1:100" ht="15.75" customHeight="1" thickBot="1" x14ac:dyDescent="0.4">
      <c r="A85" s="56"/>
      <c r="B85" s="311"/>
      <c r="C85" s="311"/>
      <c r="D85" s="312"/>
      <c r="E85" s="476"/>
      <c r="F85" s="477"/>
      <c r="G85" s="477"/>
      <c r="H85" s="477"/>
      <c r="I85" s="477"/>
      <c r="J85" s="458"/>
      <c r="K85" s="459"/>
      <c r="L85" s="459"/>
      <c r="M85" s="459"/>
      <c r="N85" s="459"/>
      <c r="O85" s="459"/>
      <c r="P85" s="459"/>
      <c r="Q85" s="459"/>
      <c r="R85" s="459"/>
      <c r="S85" s="542"/>
      <c r="T85" s="464"/>
      <c r="U85" s="465"/>
      <c r="V85" s="465"/>
      <c r="W85" s="465"/>
      <c r="X85" s="465"/>
      <c r="Y85" s="465"/>
      <c r="Z85" s="465"/>
      <c r="AA85" s="465"/>
      <c r="AB85" s="465"/>
      <c r="AC85" s="467"/>
      <c r="AD85" s="464"/>
      <c r="AE85" s="465"/>
      <c r="AF85" s="465"/>
      <c r="AG85" s="465"/>
      <c r="AH85" s="465"/>
      <c r="AI85" s="465"/>
      <c r="AJ85" s="465"/>
      <c r="AK85" s="465"/>
      <c r="AL85" s="465"/>
      <c r="AM85" s="467"/>
      <c r="AN85" s="497"/>
      <c r="AO85" s="494"/>
      <c r="AP85" s="494"/>
      <c r="AQ85" s="494"/>
      <c r="AR85" s="494"/>
      <c r="AS85" s="494"/>
      <c r="AT85" s="494"/>
      <c r="AU85" s="494"/>
      <c r="AV85" s="494"/>
      <c r="AW85" s="498"/>
      <c r="AX85" s="488"/>
      <c r="AY85" s="489"/>
      <c r="AZ85" s="489"/>
      <c r="BA85" s="489"/>
      <c r="BB85" s="489"/>
      <c r="BC85" s="489"/>
      <c r="BD85" s="489"/>
      <c r="BE85" s="489"/>
      <c r="BF85" s="489"/>
      <c r="BG85" s="490"/>
      <c r="BH85" s="56"/>
      <c r="BI85" s="536"/>
      <c r="BJ85" s="537"/>
      <c r="BK85" s="537"/>
      <c r="BL85" s="537"/>
      <c r="BM85" s="537"/>
      <c r="BN85" s="538"/>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row>
    <row r="86" spans="1:100" ht="15" customHeight="1" x14ac:dyDescent="0.35">
      <c r="A86" s="56"/>
      <c r="B86" s="311"/>
      <c r="C86" s="311"/>
      <c r="D86" s="312"/>
      <c r="E86" s="470" t="s">
        <v>104</v>
      </c>
      <c r="F86" s="471"/>
      <c r="G86" s="471"/>
      <c r="H86" s="471"/>
      <c r="I86" s="472"/>
      <c r="J86" s="460" t="str">
        <f>IF(AND('Mapa final'!$K$7="Muy Baja",'Mapa final'!$O$7="Leve"),CONCATENATE("R",'Mapa final'!$A$7),"")</f>
        <v/>
      </c>
      <c r="K86" s="461"/>
      <c r="L86" s="461" t="str">
        <f>IF(AND('Mapa final'!$K$10="Muy Baja",'Mapa final'!$O$10="Leve"),CONCATENATE("R",'Mapa final'!$A$10),"")</f>
        <v/>
      </c>
      <c r="M86" s="461"/>
      <c r="N86" s="461" t="str">
        <f>IF(AND('Mapa final'!$K$13="Muy Baja",'Mapa final'!$O$13="Leve"),CONCATENATE("R",'Mapa final'!$A$13),"")</f>
        <v/>
      </c>
      <c r="O86" s="461"/>
      <c r="P86" s="461" t="e">
        <f>IF(AND('Mapa final'!#REF!="Muy Baja",'Mapa final'!#REF!="Leve"),CONCATENATE("R",'Mapa final'!#REF!),"")</f>
        <v>#REF!</v>
      </c>
      <c r="Q86" s="461"/>
      <c r="R86" s="461" t="str">
        <f>IF(AND('Mapa final'!$K$16="Muy Baja",'Mapa final'!$O$16="Leve"),CONCATENATE("R",'Mapa final'!$A$16),"")</f>
        <v/>
      </c>
      <c r="S86" s="504"/>
      <c r="T86" s="460" t="str">
        <f>IF(AND('Mapa final'!$K$7="Muy Baja",'Mapa final'!$O$7="Menor"),CONCATENATE("R",'Mapa final'!$A$7),"")</f>
        <v/>
      </c>
      <c r="U86" s="461"/>
      <c r="V86" s="461" t="str">
        <f>IF(AND('Mapa final'!$K$10="Muy Baja",'Mapa final'!$O$10="Menor"),CONCATENATE("R",'Mapa final'!$A$10),"")</f>
        <v/>
      </c>
      <c r="W86" s="461"/>
      <c r="X86" s="461" t="str">
        <f>IF(AND('Mapa final'!$K$13="Muy Baja",'Mapa final'!$O$13="Menor"),CONCATENATE("R",'Mapa final'!$A$13),"")</f>
        <v/>
      </c>
      <c r="Y86" s="461"/>
      <c r="Z86" s="461" t="e">
        <f>IF(AND('Mapa final'!#REF!="Muy Baja",'Mapa final'!#REF!="Menor"),CONCATENATE("R",'Mapa final'!#REF!),"")</f>
        <v>#REF!</v>
      </c>
      <c r="AA86" s="461"/>
      <c r="AB86" s="461" t="str">
        <f>IF(AND('Mapa final'!$K$16="Muy Baja",'Mapa final'!$O$16="Menor"),CONCATENATE("R",'Mapa final'!$A$16),"")</f>
        <v/>
      </c>
      <c r="AC86" s="504"/>
      <c r="AD86" s="483" t="str">
        <f>IF(AND('Mapa final'!$K$7="Muy Baja",'Mapa final'!$O$7="Moderado"),CONCATENATE("R",'Mapa final'!$A$7),"")</f>
        <v/>
      </c>
      <c r="AE86" s="468"/>
      <c r="AF86" s="468" t="str">
        <f>IF(AND('Mapa final'!$K$10="Muy Baja",'Mapa final'!$O$10="Moderado"),CONCATENATE("R",'Mapa final'!$A$10),"")</f>
        <v/>
      </c>
      <c r="AG86" s="468"/>
      <c r="AH86" s="468" t="str">
        <f>IF(AND('Mapa final'!$K$13="Muy Baja",'Mapa final'!$O$13="Moderado"),CONCATENATE("R",'Mapa final'!$A$13),"")</f>
        <v/>
      </c>
      <c r="AI86" s="468"/>
      <c r="AJ86" s="468" t="e">
        <f>IF(AND('Mapa final'!#REF!="Muy Baja",'Mapa final'!#REF!="Moderado"),CONCATENATE("R",'Mapa final'!#REF!),"")</f>
        <v>#REF!</v>
      </c>
      <c r="AK86" s="468"/>
      <c r="AL86" s="468" t="str">
        <f>IF(AND('Mapa final'!$K$16="Muy Baja",'Mapa final'!$O$16="Moderado"),CONCATENATE("R",'Mapa final'!$A$16),"")</f>
        <v/>
      </c>
      <c r="AM86" s="484"/>
      <c r="AN86" s="499" t="str">
        <f>IF(AND('Mapa final'!$K$7="Muy Baja",'Mapa final'!$O$7="Mayor"),CONCATENATE("R",'Mapa final'!$A$7),"")</f>
        <v/>
      </c>
      <c r="AO86" s="500"/>
      <c r="AP86" s="500" t="str">
        <f>IF(AND('Mapa final'!$K$10="Muy Baja",'Mapa final'!$O$10="Mayor"),CONCATENATE("R",'Mapa final'!$A$10),"")</f>
        <v/>
      </c>
      <c r="AQ86" s="500"/>
      <c r="AR86" s="500" t="str">
        <f>IF(AND('Mapa final'!$K$13="Muy Baja",'Mapa final'!$O$13="Mayor"),CONCATENATE("R",'Mapa final'!$A$13),"")</f>
        <v/>
      </c>
      <c r="AS86" s="500"/>
      <c r="AT86" s="500" t="e">
        <f>IF(AND('Mapa final'!#REF!="Muy Baja",'Mapa final'!#REF!="Mayor"),CONCATENATE("R",'Mapa final'!#REF!),"")</f>
        <v>#REF!</v>
      </c>
      <c r="AU86" s="500"/>
      <c r="AV86" s="500" t="str">
        <f>IF(AND('Mapa final'!$K$16="Muy Baja",'Mapa final'!$O$16="Mayor"),CONCATENATE("R",'Mapa final'!$A$16),"")</f>
        <v/>
      </c>
      <c r="AW86" s="501"/>
      <c r="AX86" s="491" t="str">
        <f>IF(AND('Mapa final'!$K$7="Muy Baja",'Mapa final'!$O$7="Catastrófico"),CONCATENATE("R",'Mapa final'!$A$7),"")</f>
        <v/>
      </c>
      <c r="AY86" s="492"/>
      <c r="AZ86" s="492" t="str">
        <f>IF(AND('Mapa final'!$K$10="Muy Baja",'Mapa final'!$O$10="Catastrófico"),CONCATENATE("R",'Mapa final'!$A$10),"")</f>
        <v/>
      </c>
      <c r="BA86" s="492"/>
      <c r="BB86" s="492" t="str">
        <f>IF(AND('Mapa final'!$K$13="Muy Baja",'Mapa final'!$O$13="Catastrófico"),CONCATENATE("R",'Mapa final'!$A$13),"")</f>
        <v/>
      </c>
      <c r="BC86" s="492"/>
      <c r="BD86" s="492" t="e">
        <f>IF(AND('Mapa final'!#REF!="Muy Baja",'Mapa final'!#REF!="Catastrófico"),CONCATENATE("R",'Mapa final'!#REF!),"")</f>
        <v>#REF!</v>
      </c>
      <c r="BE86" s="492"/>
      <c r="BF86" s="492" t="str">
        <f>IF(AND('Mapa final'!$K$16="Muy Baja",'Mapa final'!$O$16="Catastrófico"),CONCATENATE("R",'Mapa final'!$A$16),"")</f>
        <v/>
      </c>
      <c r="BG86" s="493"/>
      <c r="BH86" s="56"/>
      <c r="BI86" s="536"/>
      <c r="BJ86" s="537"/>
      <c r="BK86" s="537"/>
      <c r="BL86" s="537"/>
      <c r="BM86" s="537"/>
      <c r="BN86" s="538"/>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row>
    <row r="87" spans="1:100" ht="15" customHeight="1" x14ac:dyDescent="0.35">
      <c r="A87" s="56"/>
      <c r="B87" s="311"/>
      <c r="C87" s="311"/>
      <c r="D87" s="312"/>
      <c r="E87" s="473"/>
      <c r="F87" s="474"/>
      <c r="G87" s="474"/>
      <c r="H87" s="474"/>
      <c r="I87" s="475"/>
      <c r="J87" s="456"/>
      <c r="K87" s="457"/>
      <c r="L87" s="457"/>
      <c r="M87" s="457"/>
      <c r="N87" s="457"/>
      <c r="O87" s="457"/>
      <c r="P87" s="457"/>
      <c r="Q87" s="457"/>
      <c r="R87" s="457"/>
      <c r="S87" s="505"/>
      <c r="T87" s="456"/>
      <c r="U87" s="457"/>
      <c r="V87" s="457"/>
      <c r="W87" s="457"/>
      <c r="X87" s="457"/>
      <c r="Y87" s="457"/>
      <c r="Z87" s="457"/>
      <c r="AA87" s="457"/>
      <c r="AB87" s="457"/>
      <c r="AC87" s="505"/>
      <c r="AD87" s="462"/>
      <c r="AE87" s="463"/>
      <c r="AF87" s="463"/>
      <c r="AG87" s="463"/>
      <c r="AH87" s="463"/>
      <c r="AI87" s="463"/>
      <c r="AJ87" s="463"/>
      <c r="AK87" s="463"/>
      <c r="AL87" s="463"/>
      <c r="AM87" s="466"/>
      <c r="AN87" s="496"/>
      <c r="AO87" s="455"/>
      <c r="AP87" s="455"/>
      <c r="AQ87" s="455"/>
      <c r="AR87" s="455"/>
      <c r="AS87" s="455"/>
      <c r="AT87" s="455"/>
      <c r="AU87" s="455"/>
      <c r="AV87" s="455"/>
      <c r="AW87" s="495"/>
      <c r="AX87" s="487"/>
      <c r="AY87" s="485"/>
      <c r="AZ87" s="485"/>
      <c r="BA87" s="485"/>
      <c r="BB87" s="485"/>
      <c r="BC87" s="485"/>
      <c r="BD87" s="485"/>
      <c r="BE87" s="485"/>
      <c r="BF87" s="485"/>
      <c r="BG87" s="486"/>
      <c r="BH87" s="56"/>
      <c r="BI87" s="536"/>
      <c r="BJ87" s="537"/>
      <c r="BK87" s="537"/>
      <c r="BL87" s="537"/>
      <c r="BM87" s="537"/>
      <c r="BN87" s="538"/>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5" customHeight="1" x14ac:dyDescent="0.35">
      <c r="A88" s="56"/>
      <c r="B88" s="311"/>
      <c r="C88" s="311"/>
      <c r="D88" s="312"/>
      <c r="E88" s="473"/>
      <c r="F88" s="474"/>
      <c r="G88" s="474"/>
      <c r="H88" s="474"/>
      <c r="I88" s="475"/>
      <c r="J88" s="456" t="str">
        <f>IF(AND('Mapa final'!$K$19="Muy Baja",'Mapa final'!$O$19="Leve"),CONCATENATE("R",'Mapa final'!$A$19),"")</f>
        <v/>
      </c>
      <c r="K88" s="457"/>
      <c r="L88" s="457" t="str">
        <f>IF(AND('Mapa final'!$K$22="Muy Baja",'Mapa final'!$O$22="Leve"),CONCATENATE("R",'Mapa final'!$A$22),"")</f>
        <v/>
      </c>
      <c r="M88" s="457"/>
      <c r="N88" s="457" t="str">
        <f>IF(AND('Mapa final'!$K$25="Muy Baja",'Mapa final'!$O$25="Leve"),CONCATENATE("R",'Mapa final'!$A$25),"")</f>
        <v/>
      </c>
      <c r="O88" s="457"/>
      <c r="P88" s="457" t="str">
        <f>IF(AND('Mapa final'!$K$28="Muy Baja",'Mapa final'!$O$28="Leve"),CONCATENATE("R",'Mapa final'!$A$28),"")</f>
        <v/>
      </c>
      <c r="Q88" s="457"/>
      <c r="R88" s="457" t="str">
        <f>IF(AND('Mapa final'!$K$31="Muy Baja",'Mapa final'!$O$31="Leve"),CONCATENATE("R",'Mapa final'!$A$31),"")</f>
        <v/>
      </c>
      <c r="S88" s="505"/>
      <c r="T88" s="456" t="str">
        <f>IF(AND('Mapa final'!$K$19="Muy Baja",'Mapa final'!$O$19="Menor"),CONCATENATE("R",'Mapa final'!$A$19),"")</f>
        <v/>
      </c>
      <c r="U88" s="457"/>
      <c r="V88" s="457" t="str">
        <f>IF(AND('Mapa final'!$K$22="Muy Baja",'Mapa final'!$O$22="Menor"),CONCATENATE("R",'Mapa final'!$A$22),"")</f>
        <v/>
      </c>
      <c r="W88" s="457"/>
      <c r="X88" s="457" t="str">
        <f>IF(AND('Mapa final'!$K$25="Muy Baja",'Mapa final'!$O$25="Menor"),CONCATENATE("R",'Mapa final'!$A$25),"")</f>
        <v/>
      </c>
      <c r="Y88" s="457"/>
      <c r="Z88" s="457" t="str">
        <f>IF(AND('Mapa final'!$K$28="Muy Baja",'Mapa final'!$O$28="Menor"),CONCATENATE("R",'Mapa final'!$A$28),"")</f>
        <v/>
      </c>
      <c r="AA88" s="457"/>
      <c r="AB88" s="457" t="str">
        <f>IF(AND('Mapa final'!$K$31="Muy Baja",'Mapa final'!$O$31="Menor"),CONCATENATE("R",'Mapa final'!$A$31),"")</f>
        <v/>
      </c>
      <c r="AC88" s="505"/>
      <c r="AD88" s="462" t="str">
        <f>IF(AND('Mapa final'!$K$19="Muy Baja",'Mapa final'!$O$19="Moderado"),CONCATENATE("R",'Mapa final'!$A$19),"")</f>
        <v>R5</v>
      </c>
      <c r="AE88" s="463"/>
      <c r="AF88" s="463" t="str">
        <f>IF(AND('Mapa final'!$K$22="Muy Baja",'Mapa final'!$O$22="Moderado"),CONCATENATE("R",'Mapa final'!$A$22),"")</f>
        <v>R6</v>
      </c>
      <c r="AG88" s="463"/>
      <c r="AH88" s="463" t="str">
        <f>IF(AND('Mapa final'!$K$25="Muy Baja",'Mapa final'!$O$25="Moderado"),CONCATENATE("R",'Mapa final'!$A$25),"")</f>
        <v/>
      </c>
      <c r="AI88" s="463"/>
      <c r="AJ88" s="463" t="str">
        <f>IF(AND('Mapa final'!$K$28="Muy Baja",'Mapa final'!$O$28="Moderado"),CONCATENATE("R",'Mapa final'!$A$28),"")</f>
        <v/>
      </c>
      <c r="AK88" s="463"/>
      <c r="AL88" s="463" t="str">
        <f>IF(AND('Mapa final'!$K$31="Muy Baja",'Mapa final'!$O$31="Moderado"),CONCATENATE("R",'Mapa final'!$A$31),"")</f>
        <v/>
      </c>
      <c r="AM88" s="466"/>
      <c r="AN88" s="496" t="str">
        <f>IF(AND('Mapa final'!$K$19="Muy Baja",'Mapa final'!$O$19="Mayor"),CONCATENATE("R",'Mapa final'!$A$19),"")</f>
        <v/>
      </c>
      <c r="AO88" s="455"/>
      <c r="AP88" s="455" t="str">
        <f>IF(AND('Mapa final'!$K$22="Muy Baja",'Mapa final'!$O$22="Mayor"),CONCATENATE("R",'Mapa final'!$A$22),"")</f>
        <v/>
      </c>
      <c r="AQ88" s="455"/>
      <c r="AR88" s="455" t="str">
        <f>IF(AND('Mapa final'!$K$25="Muy Baja",'Mapa final'!$O$25="Mayor"),CONCATENATE("R",'Mapa final'!$A$25),"")</f>
        <v/>
      </c>
      <c r="AS88" s="455"/>
      <c r="AT88" s="455" t="str">
        <f>IF(AND('Mapa final'!$K$28="Muy Baja",'Mapa final'!$O$28="Mayor"),CONCATENATE("R",'Mapa final'!$A$28),"")</f>
        <v/>
      </c>
      <c r="AU88" s="455"/>
      <c r="AV88" s="455" t="str">
        <f>IF(AND('Mapa final'!$K$31="Muy Baja",'Mapa final'!$O$31="Mayor"),CONCATENATE("R",'Mapa final'!$A$31),"")</f>
        <v/>
      </c>
      <c r="AW88" s="495"/>
      <c r="AX88" s="487" t="str">
        <f>IF(AND('Mapa final'!$K$19="Muy Baja",'Mapa final'!$O$19="Catastrófico"),CONCATENATE("R",'Mapa final'!$A$19),"")</f>
        <v/>
      </c>
      <c r="AY88" s="485"/>
      <c r="AZ88" s="485" t="str">
        <f>IF(AND('Mapa final'!$K$22="Muy Baja",'Mapa final'!$O$22="Catastrófico"),CONCATENATE("R",'Mapa final'!$A$22),"")</f>
        <v/>
      </c>
      <c r="BA88" s="485"/>
      <c r="BB88" s="485" t="str">
        <f>IF(AND('Mapa final'!$K$25="Muy Baja",'Mapa final'!$O$25="Catastrófico"),CONCATENATE("R",'Mapa final'!$A$25),"")</f>
        <v/>
      </c>
      <c r="BC88" s="485"/>
      <c r="BD88" s="485" t="str">
        <f>IF(AND('Mapa final'!$K$28="Muy Baja",'Mapa final'!$O$28="Catastrófico"),CONCATENATE("R",'Mapa final'!$A$28),"")</f>
        <v/>
      </c>
      <c r="BE88" s="485"/>
      <c r="BF88" s="485" t="str">
        <f>IF(AND('Mapa final'!$K$31="Muy Baja",'Mapa final'!$O$31="Catastrófico"),CONCATENATE("R",'Mapa final'!$A$31),"")</f>
        <v/>
      </c>
      <c r="BG88" s="486"/>
      <c r="BH88" s="56"/>
      <c r="BI88" s="536"/>
      <c r="BJ88" s="537"/>
      <c r="BK88" s="537"/>
      <c r="BL88" s="537"/>
      <c r="BM88" s="537"/>
      <c r="BN88" s="538"/>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row>
    <row r="89" spans="1:100" ht="15" customHeight="1" x14ac:dyDescent="0.35">
      <c r="A89" s="56"/>
      <c r="B89" s="311"/>
      <c r="C89" s="311"/>
      <c r="D89" s="312"/>
      <c r="E89" s="473"/>
      <c r="F89" s="474"/>
      <c r="G89" s="474"/>
      <c r="H89" s="474"/>
      <c r="I89" s="475"/>
      <c r="J89" s="456"/>
      <c r="K89" s="457"/>
      <c r="L89" s="457"/>
      <c r="M89" s="457"/>
      <c r="N89" s="457"/>
      <c r="O89" s="457"/>
      <c r="P89" s="457"/>
      <c r="Q89" s="457"/>
      <c r="R89" s="457"/>
      <c r="S89" s="505"/>
      <c r="T89" s="456"/>
      <c r="U89" s="457"/>
      <c r="V89" s="457"/>
      <c r="W89" s="457"/>
      <c r="X89" s="457"/>
      <c r="Y89" s="457"/>
      <c r="Z89" s="457"/>
      <c r="AA89" s="457"/>
      <c r="AB89" s="457"/>
      <c r="AC89" s="505"/>
      <c r="AD89" s="462"/>
      <c r="AE89" s="463"/>
      <c r="AF89" s="463"/>
      <c r="AG89" s="463"/>
      <c r="AH89" s="463"/>
      <c r="AI89" s="463"/>
      <c r="AJ89" s="463"/>
      <c r="AK89" s="463"/>
      <c r="AL89" s="463"/>
      <c r="AM89" s="466"/>
      <c r="AN89" s="496"/>
      <c r="AO89" s="455"/>
      <c r="AP89" s="455"/>
      <c r="AQ89" s="455"/>
      <c r="AR89" s="455"/>
      <c r="AS89" s="455"/>
      <c r="AT89" s="455"/>
      <c r="AU89" s="455"/>
      <c r="AV89" s="455"/>
      <c r="AW89" s="495"/>
      <c r="AX89" s="487"/>
      <c r="AY89" s="485"/>
      <c r="AZ89" s="485"/>
      <c r="BA89" s="485"/>
      <c r="BB89" s="485"/>
      <c r="BC89" s="485"/>
      <c r="BD89" s="485"/>
      <c r="BE89" s="485"/>
      <c r="BF89" s="485"/>
      <c r="BG89" s="486"/>
      <c r="BH89" s="56"/>
      <c r="BI89" s="536"/>
      <c r="BJ89" s="537"/>
      <c r="BK89" s="537"/>
      <c r="BL89" s="537"/>
      <c r="BM89" s="537"/>
      <c r="BN89" s="538"/>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row>
    <row r="90" spans="1:100" ht="15" customHeight="1" x14ac:dyDescent="0.35">
      <c r="A90" s="56"/>
      <c r="B90" s="311"/>
      <c r="C90" s="311"/>
      <c r="D90" s="312"/>
      <c r="E90" s="473"/>
      <c r="F90" s="474"/>
      <c r="G90" s="474"/>
      <c r="H90" s="474"/>
      <c r="I90" s="475"/>
      <c r="J90" s="456" t="str">
        <f>IF(AND('Mapa final'!$K$34="Muy Baja",'Mapa final'!$O$34="Leve"),CONCATENATE("R",'Mapa final'!$A$34),"")</f>
        <v/>
      </c>
      <c r="K90" s="457"/>
      <c r="L90" s="457" t="str">
        <f>IF(AND('Mapa final'!$K$37="Muy Baja",'Mapa final'!$O$37="Leve"),CONCATENATE("R",'Mapa final'!$A$37),"")</f>
        <v/>
      </c>
      <c r="M90" s="457"/>
      <c r="N90" s="457" t="str">
        <f>IF(AND('Mapa final'!$K$40="Muy Baja",'Mapa final'!$O$40="Leve"),CONCATENATE("R",'Mapa final'!$A$40),"")</f>
        <v/>
      </c>
      <c r="O90" s="457"/>
      <c r="P90" s="457" t="str">
        <f>IF(AND('Mapa final'!$K$43="Muy Baja",'Mapa final'!$O$43="Leve"),CONCATENATE("R",'Mapa final'!$A$43),"")</f>
        <v/>
      </c>
      <c r="Q90" s="457"/>
      <c r="R90" s="457" t="str">
        <f>IF(AND('Mapa final'!$K$46="Muy Baja",'Mapa final'!$O$46="Leve"),CONCATENATE("R",'Mapa final'!$A$46),"")</f>
        <v/>
      </c>
      <c r="S90" s="505"/>
      <c r="T90" s="456" t="str">
        <f>IF(AND('Mapa final'!$K$34="Muy Baja",'Mapa final'!$O$34="Menor"),CONCATENATE("R",'Mapa final'!$A$34),"")</f>
        <v/>
      </c>
      <c r="U90" s="457"/>
      <c r="V90" s="457" t="str">
        <f>IF(AND('Mapa final'!$K$37="Muy Baja",'Mapa final'!$O$37="Menor"),CONCATENATE("R",'Mapa final'!$A$37),"")</f>
        <v/>
      </c>
      <c r="W90" s="457"/>
      <c r="X90" s="457" t="str">
        <f>IF(AND('Mapa final'!$K$40="Muy Baja",'Mapa final'!$O$40="Menor"),CONCATENATE("R",'Mapa final'!$A$40),"")</f>
        <v/>
      </c>
      <c r="Y90" s="457"/>
      <c r="Z90" s="457" t="str">
        <f>IF(AND('Mapa final'!$K$43="Muy Baja",'Mapa final'!$O$43="Menor"),CONCATENATE("R",'Mapa final'!$A$43),"")</f>
        <v/>
      </c>
      <c r="AA90" s="457"/>
      <c r="AB90" s="457" t="str">
        <f>IF(AND('Mapa final'!$K$46="Muy Baja",'Mapa final'!$O$46="Menor"),CONCATENATE("R",'Mapa final'!$A$46),"")</f>
        <v/>
      </c>
      <c r="AC90" s="505"/>
      <c r="AD90" s="462" t="str">
        <f>IF(AND('Mapa final'!$K$34="Muy Baja",'Mapa final'!$O$34="Moderado"),CONCATENATE("R",'Mapa final'!$A$34),"")</f>
        <v/>
      </c>
      <c r="AE90" s="463"/>
      <c r="AF90" s="463" t="str">
        <f>IF(AND('Mapa final'!$K$37="Muy Baja",'Mapa final'!$O$37="Moderado"),CONCATENATE("R",'Mapa final'!$A$37),"")</f>
        <v/>
      </c>
      <c r="AG90" s="463"/>
      <c r="AH90" s="463" t="str">
        <f>IF(AND('Mapa final'!$K$40="Muy Baja",'Mapa final'!$O$40="Moderado"),CONCATENATE("R",'Mapa final'!$A$40),"")</f>
        <v>R12</v>
      </c>
      <c r="AI90" s="463"/>
      <c r="AJ90" s="463" t="str">
        <f>IF(AND('Mapa final'!$K$43="Muy Baja",'Mapa final'!$O$43="Moderado"),CONCATENATE("R",'Mapa final'!$A$43),"")</f>
        <v/>
      </c>
      <c r="AK90" s="463"/>
      <c r="AL90" s="463" t="str">
        <f>IF(AND('Mapa final'!$K$46="Muy Baja",'Mapa final'!$O$46="Moderado"),CONCATENATE("R",'Mapa final'!$A$46),"")</f>
        <v/>
      </c>
      <c r="AM90" s="466"/>
      <c r="AN90" s="496" t="str">
        <f>IF(AND('Mapa final'!$K$34="Muy Baja",'Mapa final'!$O$34="Mayor"),CONCATENATE("R",'Mapa final'!$A$34),"")</f>
        <v/>
      </c>
      <c r="AO90" s="455"/>
      <c r="AP90" s="455" t="str">
        <f>IF(AND('Mapa final'!$K$37="Muy Baja",'Mapa final'!$O$37="Mayor"),CONCATENATE("R",'Mapa final'!$A$37),"")</f>
        <v/>
      </c>
      <c r="AQ90" s="455"/>
      <c r="AR90" s="455" t="str">
        <f>IF(AND('Mapa final'!$K$40="Muy Baja",'Mapa final'!$O$40="Mayor"),CONCATENATE("R",'Mapa final'!$A$40),"")</f>
        <v/>
      </c>
      <c r="AS90" s="455"/>
      <c r="AT90" s="455" t="str">
        <f>IF(AND('Mapa final'!$K$43="Muy Baja",'Mapa final'!$O$43="Mayor"),CONCATENATE("R",'Mapa final'!$A$43),"")</f>
        <v/>
      </c>
      <c r="AU90" s="455"/>
      <c r="AV90" s="455" t="str">
        <f>IF(AND('Mapa final'!$K$46="Muy Baja",'Mapa final'!$O$46="Mayor"),CONCATENATE("R",'Mapa final'!$A$46),"")</f>
        <v/>
      </c>
      <c r="AW90" s="495"/>
      <c r="AX90" s="487" t="str">
        <f>IF(AND('Mapa final'!$K$34="Muy Baja",'Mapa final'!$O$34="Catastrófico"),CONCATENATE("R",'Mapa final'!$A$34),"")</f>
        <v/>
      </c>
      <c r="AY90" s="485"/>
      <c r="AZ90" s="485" t="str">
        <f>IF(AND('Mapa final'!$K$37="Muy Baja",'Mapa final'!$O$37="Catastrófico"),CONCATENATE("R",'Mapa final'!$A$37),"")</f>
        <v/>
      </c>
      <c r="BA90" s="485"/>
      <c r="BB90" s="485" t="str">
        <f>IF(AND('Mapa final'!$K$40="Muy Baja",'Mapa final'!$O$40="Catastrófico"),CONCATENATE("R",'Mapa final'!$A$40),"")</f>
        <v/>
      </c>
      <c r="BC90" s="485"/>
      <c r="BD90" s="485" t="str">
        <f>IF(AND('Mapa final'!$K$43="Muy Baja",'Mapa final'!$O$43="Catastrófico"),CONCATENATE("R",'Mapa final'!$A$43),"")</f>
        <v/>
      </c>
      <c r="BE90" s="485"/>
      <c r="BF90" s="485" t="str">
        <f>IF(AND('Mapa final'!$K$46="Muy Baja",'Mapa final'!$O$46="Catastrófico"),CONCATENATE("R",'Mapa final'!$A$46),"")</f>
        <v/>
      </c>
      <c r="BG90" s="486"/>
      <c r="BH90" s="56"/>
      <c r="BI90" s="536"/>
      <c r="BJ90" s="537"/>
      <c r="BK90" s="537"/>
      <c r="BL90" s="537"/>
      <c r="BM90" s="537"/>
      <c r="BN90" s="538"/>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row>
    <row r="91" spans="1:100" ht="15" customHeight="1" x14ac:dyDescent="0.35">
      <c r="A91" s="56"/>
      <c r="B91" s="311"/>
      <c r="C91" s="311"/>
      <c r="D91" s="312"/>
      <c r="E91" s="473"/>
      <c r="F91" s="474"/>
      <c r="G91" s="474"/>
      <c r="H91" s="474"/>
      <c r="I91" s="475"/>
      <c r="J91" s="456"/>
      <c r="K91" s="457"/>
      <c r="L91" s="457"/>
      <c r="M91" s="457"/>
      <c r="N91" s="457"/>
      <c r="O91" s="457"/>
      <c r="P91" s="457"/>
      <c r="Q91" s="457"/>
      <c r="R91" s="457"/>
      <c r="S91" s="505"/>
      <c r="T91" s="456"/>
      <c r="U91" s="457"/>
      <c r="V91" s="457"/>
      <c r="W91" s="457"/>
      <c r="X91" s="457"/>
      <c r="Y91" s="457"/>
      <c r="Z91" s="457"/>
      <c r="AA91" s="457"/>
      <c r="AB91" s="457"/>
      <c r="AC91" s="505"/>
      <c r="AD91" s="462"/>
      <c r="AE91" s="463"/>
      <c r="AF91" s="463"/>
      <c r="AG91" s="463"/>
      <c r="AH91" s="463"/>
      <c r="AI91" s="463"/>
      <c r="AJ91" s="463"/>
      <c r="AK91" s="463"/>
      <c r="AL91" s="463"/>
      <c r="AM91" s="466"/>
      <c r="AN91" s="496"/>
      <c r="AO91" s="455"/>
      <c r="AP91" s="455"/>
      <c r="AQ91" s="455"/>
      <c r="AR91" s="455"/>
      <c r="AS91" s="455"/>
      <c r="AT91" s="455"/>
      <c r="AU91" s="455"/>
      <c r="AV91" s="455"/>
      <c r="AW91" s="495"/>
      <c r="AX91" s="487"/>
      <c r="AY91" s="485"/>
      <c r="AZ91" s="485"/>
      <c r="BA91" s="485"/>
      <c r="BB91" s="485"/>
      <c r="BC91" s="485"/>
      <c r="BD91" s="485"/>
      <c r="BE91" s="485"/>
      <c r="BF91" s="485"/>
      <c r="BG91" s="486"/>
      <c r="BH91" s="56"/>
      <c r="BI91" s="536"/>
      <c r="BJ91" s="537"/>
      <c r="BK91" s="537"/>
      <c r="BL91" s="537"/>
      <c r="BM91" s="537"/>
      <c r="BN91" s="538"/>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row>
    <row r="92" spans="1:100" ht="15" customHeight="1" x14ac:dyDescent="0.35">
      <c r="A92" s="56"/>
      <c r="B92" s="311"/>
      <c r="C92" s="311"/>
      <c r="D92" s="312"/>
      <c r="E92" s="473"/>
      <c r="F92" s="474"/>
      <c r="G92" s="474"/>
      <c r="H92" s="474"/>
      <c r="I92" s="475"/>
      <c r="J92" s="456" t="str">
        <f>IF(AND('Mapa final'!$K$49="Muy Baja",'Mapa final'!$O$49="Leve"),CONCATENATE("R",'Mapa final'!$A$49),"")</f>
        <v/>
      </c>
      <c r="K92" s="457"/>
      <c r="L92" s="457" t="str">
        <f>IF(AND('Mapa final'!$K$52="Muy Baja",'Mapa final'!$O$52="Leve"),CONCATENATE("R",'Mapa final'!$A$52),"")</f>
        <v/>
      </c>
      <c r="M92" s="457"/>
      <c r="N92" s="457" t="str">
        <f>IF(AND('Mapa final'!$K$55="Muy Baja",'Mapa final'!$O$55="Leve"),CONCATENATE("R",'Mapa final'!$A$55),"")</f>
        <v/>
      </c>
      <c r="O92" s="457"/>
      <c r="P92" s="457" t="str">
        <f>IF(AND('Mapa final'!$K$58="Muy Baja",'Mapa final'!$O$58="Leve"),CONCATENATE("R",'Mapa final'!$A$58),"")</f>
        <v/>
      </c>
      <c r="Q92" s="457"/>
      <c r="R92" s="457" t="str">
        <f>IF(AND('Mapa final'!$K$61="Muy Baja",'Mapa final'!$O$61="Leve"),CONCATENATE("R",'Mapa final'!$A$61),"")</f>
        <v/>
      </c>
      <c r="S92" s="505"/>
      <c r="T92" s="456" t="str">
        <f>IF(AND('Mapa final'!$K$49="Muy Baja",'Mapa final'!$O$49="Menor"),CONCATENATE("R",'Mapa final'!$A$49),"")</f>
        <v/>
      </c>
      <c r="U92" s="457"/>
      <c r="V92" s="457" t="str">
        <f>IF(AND('Mapa final'!$K$52="Muy Baja",'Mapa final'!$O$52="Menor"),CONCATENATE("R",'Mapa final'!$A$52),"")</f>
        <v/>
      </c>
      <c r="W92" s="457"/>
      <c r="X92" s="457" t="str">
        <f>IF(AND('Mapa final'!$K$55="Muy Baja",'Mapa final'!$O$55="Menor"),CONCATENATE("R",'Mapa final'!$A$55),"")</f>
        <v/>
      </c>
      <c r="Y92" s="457"/>
      <c r="Z92" s="457" t="str">
        <f>IF(AND('Mapa final'!$K$58="Muy Baja",'Mapa final'!$O$58="Menor"),CONCATENATE("R",'Mapa final'!$A$58),"")</f>
        <v/>
      </c>
      <c r="AA92" s="457"/>
      <c r="AB92" s="457" t="str">
        <f>IF(AND('Mapa final'!$K$61="Muy Baja",'Mapa final'!$O$61="Menor"),CONCATENATE("R",'Mapa final'!$A$61),"")</f>
        <v/>
      </c>
      <c r="AC92" s="505"/>
      <c r="AD92" s="462" t="str">
        <f>IF(AND('Mapa final'!$K$49="Muy Baja",'Mapa final'!$O$49="Moderado"),CONCATENATE("R",'Mapa final'!$A$49),"")</f>
        <v/>
      </c>
      <c r="AE92" s="463"/>
      <c r="AF92" s="463" t="str">
        <f>IF(AND('Mapa final'!$K$52="Muy Baja",'Mapa final'!$O$52="Moderado"),CONCATENATE("R",'Mapa final'!$A$52),"")</f>
        <v/>
      </c>
      <c r="AG92" s="463"/>
      <c r="AH92" s="463" t="str">
        <f>IF(AND('Mapa final'!$K$55="Muy Baja",'Mapa final'!$O$55="Moderado"),CONCATENATE("R",'Mapa final'!$A$55),"")</f>
        <v/>
      </c>
      <c r="AI92" s="463"/>
      <c r="AJ92" s="463" t="str">
        <f>IF(AND('Mapa final'!$K$58="Muy Baja",'Mapa final'!$O$58="Moderado"),CONCATENATE("R",'Mapa final'!$A$58),"")</f>
        <v/>
      </c>
      <c r="AK92" s="463"/>
      <c r="AL92" s="463" t="str">
        <f>IF(AND('Mapa final'!$K$61="Muy Baja",'Mapa final'!$O$61="Moderado"),CONCATENATE("R",'Mapa final'!$A$61),"")</f>
        <v/>
      </c>
      <c r="AM92" s="466"/>
      <c r="AN92" s="496" t="str">
        <f>IF(AND('Mapa final'!$K$49="Muy Baja",'Mapa final'!$O$49="Mayor"),CONCATENATE("R",'Mapa final'!$A$49),"")</f>
        <v/>
      </c>
      <c r="AO92" s="455"/>
      <c r="AP92" s="455" t="str">
        <f>IF(AND('Mapa final'!$K$52="Muy Baja",'Mapa final'!$O$52="Mayor"),CONCATENATE("R",'Mapa final'!$A$52),"")</f>
        <v/>
      </c>
      <c r="AQ92" s="455"/>
      <c r="AR92" s="455" t="str">
        <f>IF(AND('Mapa final'!$K$55="Muy Baja",'Mapa final'!$O$55="Mayor"),CONCATENATE("R",'Mapa final'!$A$55),"")</f>
        <v/>
      </c>
      <c r="AS92" s="455"/>
      <c r="AT92" s="455" t="str">
        <f>IF(AND('Mapa final'!$K$58="Muy Baja",'Mapa final'!$O$58="Mayor"),CONCATENATE("R",'Mapa final'!$A$58),"")</f>
        <v/>
      </c>
      <c r="AU92" s="455"/>
      <c r="AV92" s="455" t="str">
        <f>IF(AND('Mapa final'!$K$61="Muy Baja",'Mapa final'!$O$61="Mayor"),CONCATENATE("R",'Mapa final'!$A$61),"")</f>
        <v/>
      </c>
      <c r="AW92" s="495"/>
      <c r="AX92" s="487" t="str">
        <f>IF(AND('Mapa final'!$K$49="Muy Baja",'Mapa final'!$O$49="Catastrófico"),CONCATENATE("R",'Mapa final'!$A$49),"")</f>
        <v/>
      </c>
      <c r="AY92" s="485"/>
      <c r="AZ92" s="485" t="str">
        <f>IF(AND('Mapa final'!$K$52="Muy Baja",'Mapa final'!$O$52="Catastrófico"),CONCATENATE("R",'Mapa final'!$A$52),"")</f>
        <v/>
      </c>
      <c r="BA92" s="485"/>
      <c r="BB92" s="485" t="str">
        <f>IF(AND('Mapa final'!$K$55="Muy Baja",'Mapa final'!$O$55="Catastrófico"),CONCATENATE("R",'Mapa final'!$A$55),"")</f>
        <v/>
      </c>
      <c r="BC92" s="485"/>
      <c r="BD92" s="485" t="str">
        <f>IF(AND('Mapa final'!$K$58="Muy Baja",'Mapa final'!$O$58="Catastrófico"),CONCATENATE("R",'Mapa final'!$A$58),"")</f>
        <v/>
      </c>
      <c r="BE92" s="485"/>
      <c r="BF92" s="485" t="str">
        <f>IF(AND('Mapa final'!$K$61="Muy Baja",'Mapa final'!$O$61="Catastrófico"),CONCATENATE("R",'Mapa final'!$A$61),"")</f>
        <v/>
      </c>
      <c r="BG92" s="486"/>
      <c r="BH92" s="56"/>
      <c r="BI92" s="536"/>
      <c r="BJ92" s="537"/>
      <c r="BK92" s="537"/>
      <c r="BL92" s="537"/>
      <c r="BM92" s="537"/>
      <c r="BN92" s="538"/>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row>
    <row r="93" spans="1:100" ht="15" customHeight="1" x14ac:dyDescent="0.35">
      <c r="A93" s="56"/>
      <c r="B93" s="311"/>
      <c r="C93" s="311"/>
      <c r="D93" s="312"/>
      <c r="E93" s="473"/>
      <c r="F93" s="474"/>
      <c r="G93" s="474"/>
      <c r="H93" s="474"/>
      <c r="I93" s="475"/>
      <c r="J93" s="456"/>
      <c r="K93" s="457"/>
      <c r="L93" s="457"/>
      <c r="M93" s="457"/>
      <c r="N93" s="457"/>
      <c r="O93" s="457"/>
      <c r="P93" s="457"/>
      <c r="Q93" s="457"/>
      <c r="R93" s="457"/>
      <c r="S93" s="505"/>
      <c r="T93" s="456"/>
      <c r="U93" s="457"/>
      <c r="V93" s="457"/>
      <c r="W93" s="457"/>
      <c r="X93" s="457"/>
      <c r="Y93" s="457"/>
      <c r="Z93" s="457"/>
      <c r="AA93" s="457"/>
      <c r="AB93" s="457"/>
      <c r="AC93" s="505"/>
      <c r="AD93" s="462"/>
      <c r="AE93" s="463"/>
      <c r="AF93" s="463"/>
      <c r="AG93" s="463"/>
      <c r="AH93" s="463"/>
      <c r="AI93" s="463"/>
      <c r="AJ93" s="463"/>
      <c r="AK93" s="463"/>
      <c r="AL93" s="463"/>
      <c r="AM93" s="466"/>
      <c r="AN93" s="496"/>
      <c r="AO93" s="455"/>
      <c r="AP93" s="455"/>
      <c r="AQ93" s="455"/>
      <c r="AR93" s="455"/>
      <c r="AS93" s="455"/>
      <c r="AT93" s="455"/>
      <c r="AU93" s="455"/>
      <c r="AV93" s="455"/>
      <c r="AW93" s="495"/>
      <c r="AX93" s="487"/>
      <c r="AY93" s="485"/>
      <c r="AZ93" s="485"/>
      <c r="BA93" s="485"/>
      <c r="BB93" s="485"/>
      <c r="BC93" s="485"/>
      <c r="BD93" s="485"/>
      <c r="BE93" s="485"/>
      <c r="BF93" s="485"/>
      <c r="BG93" s="486"/>
      <c r="BH93" s="56"/>
      <c r="BI93" s="536"/>
      <c r="BJ93" s="537"/>
      <c r="BK93" s="537"/>
      <c r="BL93" s="537"/>
      <c r="BM93" s="537"/>
      <c r="BN93" s="538"/>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row>
    <row r="94" spans="1:100" ht="15" customHeight="1" x14ac:dyDescent="0.35">
      <c r="A94" s="56"/>
      <c r="B94" s="311"/>
      <c r="C94" s="311"/>
      <c r="D94" s="312"/>
      <c r="E94" s="473"/>
      <c r="F94" s="474"/>
      <c r="G94" s="474"/>
      <c r="H94" s="474"/>
      <c r="I94" s="475"/>
      <c r="J94" s="456" t="str">
        <f>IF(AND('Mapa final'!$K$64="Muy Baja",'Mapa final'!$O$64="Leve"),CONCATENATE("R",'Mapa final'!$A$64),"")</f>
        <v/>
      </c>
      <c r="K94" s="457"/>
      <c r="L94" s="457" t="str">
        <f>IF(AND('Mapa final'!$K$67="Muy Baja",'Mapa final'!$O$67="Leve"),CONCATENATE("R",'Mapa final'!$A$67),"")</f>
        <v/>
      </c>
      <c r="M94" s="457"/>
      <c r="N94" s="457" t="str">
        <f>IF(AND('Mapa final'!$K$73="Muy Baja",'Mapa final'!$O$73="Leve"),CONCATENATE("R",'Mapa final'!$A$73),"")</f>
        <v/>
      </c>
      <c r="O94" s="457"/>
      <c r="P94" s="457" t="str">
        <f>IF(AND('Mapa final'!$K$76="Muy Baja",'Mapa final'!$O$76="Leve"),CONCATENATE("R",'Mapa final'!$A$76),"")</f>
        <v/>
      </c>
      <c r="Q94" s="457"/>
      <c r="R94" s="457" t="str">
        <f>IF(AND('Mapa final'!$K$79="Muy Baja",'Mapa final'!$O$79="Leve"),CONCATENATE("R",'Mapa final'!$A$79),"")</f>
        <v/>
      </c>
      <c r="S94" s="505"/>
      <c r="T94" s="456" t="str">
        <f>IF(AND('Mapa final'!$K$64="Muy Baja",'Mapa final'!$O$64="Menor"),CONCATENATE("R",'Mapa final'!$A$64),"")</f>
        <v/>
      </c>
      <c r="U94" s="457"/>
      <c r="V94" s="457" t="str">
        <f>IF(AND('Mapa final'!$K$67="Muy Baja",'Mapa final'!$O$67="Menor"),CONCATENATE("R",'Mapa final'!$A$67),"")</f>
        <v/>
      </c>
      <c r="W94" s="457"/>
      <c r="X94" s="457" t="str">
        <f>IF(AND('Mapa final'!$K$73="Muy Baja",'Mapa final'!$O$73="Menor"),CONCATENATE("R",'Mapa final'!$A$73),"")</f>
        <v/>
      </c>
      <c r="Y94" s="457"/>
      <c r="Z94" s="457" t="str">
        <f>IF(AND('Mapa final'!$K$76="Muy Baja",'Mapa final'!$O$76="Menor"),CONCATENATE("R",'Mapa final'!$A$76),"")</f>
        <v/>
      </c>
      <c r="AA94" s="457"/>
      <c r="AB94" s="457" t="str">
        <f>IF(AND('Mapa final'!$K$79="Muy Baja",'Mapa final'!$O$79="Menor"),CONCATENATE("R",'Mapa final'!$A$79),"")</f>
        <v/>
      </c>
      <c r="AC94" s="505"/>
      <c r="AD94" s="462" t="str">
        <f>IF(AND('Mapa final'!$K$64="Muy Baja",'Mapa final'!$O$64="Moderado"),CONCATENATE("R",'Mapa final'!$A$64),"")</f>
        <v/>
      </c>
      <c r="AE94" s="463"/>
      <c r="AF94" s="463" t="str">
        <f>IF(AND('Mapa final'!$K$67="Muy Baja",'Mapa final'!$O$67="Moderado"),CONCATENATE("R",'Mapa final'!$A$67),"")</f>
        <v/>
      </c>
      <c r="AG94" s="463"/>
      <c r="AH94" s="463" t="str">
        <f>IF(AND('Mapa final'!$K$73="Muy Baja",'Mapa final'!$O$73="Moderado"),CONCATENATE("R",'Mapa final'!$A$73),"")</f>
        <v/>
      </c>
      <c r="AI94" s="463"/>
      <c r="AJ94" s="463" t="str">
        <f>IF(AND('Mapa final'!$K$76="Muy Baja",'Mapa final'!$O$76="Moderado"),CONCATENATE("R",'Mapa final'!$A$76),"")</f>
        <v/>
      </c>
      <c r="AK94" s="463"/>
      <c r="AL94" s="463" t="str">
        <f>IF(AND('Mapa final'!$K$79="Muy Baja",'Mapa final'!$O$79="Moderado"),CONCATENATE("R",'Mapa final'!$A$79),"")</f>
        <v/>
      </c>
      <c r="AM94" s="466"/>
      <c r="AN94" s="496" t="str">
        <f>IF(AND('Mapa final'!$K$64="Muy Baja",'Mapa final'!$O$64="Mayor"),CONCATENATE("R",'Mapa final'!$A$64),"")</f>
        <v/>
      </c>
      <c r="AO94" s="455"/>
      <c r="AP94" s="455" t="str">
        <f>IF(AND('Mapa final'!$K$67="Muy Baja",'Mapa final'!$O$67="Mayor"),CONCATENATE("R",'Mapa final'!$A$67),"")</f>
        <v/>
      </c>
      <c r="AQ94" s="455"/>
      <c r="AR94" s="455" t="str">
        <f>IF(AND('Mapa final'!$K$73="Muy Baja",'Mapa final'!$O$73="Mayor"),CONCATENATE("R",'Mapa final'!$A$73),"")</f>
        <v/>
      </c>
      <c r="AS94" s="455"/>
      <c r="AT94" s="455" t="str">
        <f>IF(AND('Mapa final'!$K$76="Muy Baja",'Mapa final'!$O$76="Mayor"),CONCATENATE("R",'Mapa final'!$A$76),"")</f>
        <v/>
      </c>
      <c r="AU94" s="455"/>
      <c r="AV94" s="455" t="str">
        <f>IF(AND('Mapa final'!$K$79="Muy Baja",'Mapa final'!$O$79="Mayor"),CONCATENATE("R",'Mapa final'!$A$79),"")</f>
        <v/>
      </c>
      <c r="AW94" s="495"/>
      <c r="AX94" s="487" t="str">
        <f>IF(AND('Mapa final'!$K$64="Muy Baja",'Mapa final'!$O$64="Catastrófico"),CONCATENATE("R",'Mapa final'!$A$64),"")</f>
        <v/>
      </c>
      <c r="AY94" s="485"/>
      <c r="AZ94" s="485" t="str">
        <f>IF(AND('Mapa final'!$K$67="Muy Baja",'Mapa final'!$O$67="Catastrófico"),CONCATENATE("R",'Mapa final'!$A$67),"")</f>
        <v/>
      </c>
      <c r="BA94" s="485"/>
      <c r="BB94" s="485" t="str">
        <f>IF(AND('Mapa final'!$K$73="Muy Baja",'Mapa final'!$O$73="Catastrófico"),CONCATENATE("R",'Mapa final'!$A$73),"")</f>
        <v/>
      </c>
      <c r="BC94" s="485"/>
      <c r="BD94" s="485" t="str">
        <f>IF(AND('Mapa final'!$K$76="Muy Baja",'Mapa final'!$O$76="Catastrófico"),CONCATENATE("R",'Mapa final'!$A$76),"")</f>
        <v/>
      </c>
      <c r="BE94" s="485"/>
      <c r="BF94" s="485" t="str">
        <f>IF(AND('Mapa final'!$K$79="Muy Baja",'Mapa final'!$O$79="Catastrófico"),CONCATENATE("R",'Mapa final'!$A$79),"")</f>
        <v/>
      </c>
      <c r="BG94" s="486"/>
      <c r="BH94" s="56"/>
      <c r="BI94" s="536"/>
      <c r="BJ94" s="537"/>
      <c r="BK94" s="537"/>
      <c r="BL94" s="537"/>
      <c r="BM94" s="537"/>
      <c r="BN94" s="538"/>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row>
    <row r="95" spans="1:100" ht="15" customHeight="1" x14ac:dyDescent="0.35">
      <c r="A95" s="56"/>
      <c r="B95" s="311"/>
      <c r="C95" s="311"/>
      <c r="D95" s="312"/>
      <c r="E95" s="473"/>
      <c r="F95" s="474"/>
      <c r="G95" s="474"/>
      <c r="H95" s="474"/>
      <c r="I95" s="475"/>
      <c r="J95" s="456"/>
      <c r="K95" s="457"/>
      <c r="L95" s="457"/>
      <c r="M95" s="457"/>
      <c r="N95" s="457"/>
      <c r="O95" s="457"/>
      <c r="P95" s="457"/>
      <c r="Q95" s="457"/>
      <c r="R95" s="457"/>
      <c r="S95" s="505"/>
      <c r="T95" s="456"/>
      <c r="U95" s="457"/>
      <c r="V95" s="457"/>
      <c r="W95" s="457"/>
      <c r="X95" s="457"/>
      <c r="Y95" s="457"/>
      <c r="Z95" s="457"/>
      <c r="AA95" s="457"/>
      <c r="AB95" s="457"/>
      <c r="AC95" s="505"/>
      <c r="AD95" s="462"/>
      <c r="AE95" s="463"/>
      <c r="AF95" s="463"/>
      <c r="AG95" s="463"/>
      <c r="AH95" s="463"/>
      <c r="AI95" s="463"/>
      <c r="AJ95" s="463"/>
      <c r="AK95" s="463"/>
      <c r="AL95" s="463"/>
      <c r="AM95" s="466"/>
      <c r="AN95" s="496"/>
      <c r="AO95" s="455"/>
      <c r="AP95" s="455"/>
      <c r="AQ95" s="455"/>
      <c r="AR95" s="455"/>
      <c r="AS95" s="455"/>
      <c r="AT95" s="455"/>
      <c r="AU95" s="455"/>
      <c r="AV95" s="455"/>
      <c r="AW95" s="495"/>
      <c r="AX95" s="487"/>
      <c r="AY95" s="485"/>
      <c r="AZ95" s="485"/>
      <c r="BA95" s="485"/>
      <c r="BB95" s="485"/>
      <c r="BC95" s="485"/>
      <c r="BD95" s="485"/>
      <c r="BE95" s="485"/>
      <c r="BF95" s="485"/>
      <c r="BG95" s="486"/>
      <c r="BH95" s="56"/>
      <c r="BI95" s="536"/>
      <c r="BJ95" s="537"/>
      <c r="BK95" s="537"/>
      <c r="BL95" s="537"/>
      <c r="BM95" s="537"/>
      <c r="BN95" s="538"/>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row>
    <row r="96" spans="1:100" ht="15" customHeight="1" x14ac:dyDescent="0.35">
      <c r="A96" s="56"/>
      <c r="B96" s="311"/>
      <c r="C96" s="311"/>
      <c r="D96" s="312"/>
      <c r="E96" s="473"/>
      <c r="F96" s="474"/>
      <c r="G96" s="474"/>
      <c r="H96" s="474"/>
      <c r="I96" s="475"/>
      <c r="J96" s="456" t="str">
        <f>IF(AND('Mapa final'!$K$82="Muy Baja",'Mapa final'!$O$82="Leve"),CONCATENATE("R",'Mapa final'!$A$82),"")</f>
        <v/>
      </c>
      <c r="K96" s="457"/>
      <c r="L96" s="457" t="str">
        <f>IF(AND('Mapa final'!$K$85="Muy Baja",'Mapa final'!$O$85="Leve"),CONCATENATE("R",'Mapa final'!$A$85),"")</f>
        <v/>
      </c>
      <c r="M96" s="457"/>
      <c r="N96" s="457" t="str">
        <f>IF(AND('Mapa final'!$K$88="Muy Baja",'Mapa final'!$O$88="Leve"),CONCATENATE("R",'Mapa final'!$A$88),"")</f>
        <v/>
      </c>
      <c r="O96" s="457"/>
      <c r="P96" s="457" t="str">
        <f>IF(AND('Mapa final'!$K$91="Muy Baja",'Mapa final'!$O$91="Leve"),CONCATENATE("R",'Mapa final'!$A$91),"")</f>
        <v/>
      </c>
      <c r="Q96" s="457"/>
      <c r="R96" s="457" t="str">
        <f>IF(AND('Mapa final'!$K$94="Muy Baja",'Mapa final'!$O$94="Leve"),CONCATENATE("R",'Mapa final'!$A$94),"")</f>
        <v/>
      </c>
      <c r="S96" s="505"/>
      <c r="T96" s="456" t="str">
        <f>IF(AND('Mapa final'!$K$82="Muy Baja",'Mapa final'!$O$82="Menor"),CONCATENATE("R",'Mapa final'!$A$82),"")</f>
        <v/>
      </c>
      <c r="U96" s="457"/>
      <c r="V96" s="457" t="str">
        <f>IF(AND('Mapa final'!$K$85="Muy Baja",'Mapa final'!$O$85="Menor"),CONCATENATE("R",'Mapa final'!$A$85),"")</f>
        <v/>
      </c>
      <c r="W96" s="457"/>
      <c r="X96" s="457" t="str">
        <f>IF(AND('Mapa final'!$K$88="Muy Baja",'Mapa final'!$O$88="Menor"),CONCATENATE("R",'Mapa final'!$A$88),"")</f>
        <v/>
      </c>
      <c r="Y96" s="457"/>
      <c r="Z96" s="457" t="str">
        <f>IF(AND('Mapa final'!$K$91="Muy Baja",'Mapa final'!$O$91="Menor"),CONCATENATE("R",'Mapa final'!$A$91),"")</f>
        <v/>
      </c>
      <c r="AA96" s="457"/>
      <c r="AB96" s="457" t="str">
        <f>IF(AND('Mapa final'!$K$94="Muy Baja",'Mapa final'!$O$94="Menor"),CONCATENATE("R",'Mapa final'!$A$94),"")</f>
        <v/>
      </c>
      <c r="AC96" s="505"/>
      <c r="AD96" s="462" t="str">
        <f>IF(AND('Mapa final'!$K$82="Muy Baja",'Mapa final'!$O$82="Moderado"),CONCATENATE("R",'Mapa final'!$A$82),"")</f>
        <v>R26</v>
      </c>
      <c r="AE96" s="463"/>
      <c r="AF96" s="463" t="str">
        <f>IF(AND('Mapa final'!$K$85="Muy Baja",'Mapa final'!$O$85="Moderado"),CONCATENATE("R",'Mapa final'!$A$85),"")</f>
        <v/>
      </c>
      <c r="AG96" s="463"/>
      <c r="AH96" s="463" t="str">
        <f>IF(AND('Mapa final'!$K$88="Muy Baja",'Mapa final'!$O$88="Moderado"),CONCATENATE("R",'Mapa final'!$A$88),"")</f>
        <v/>
      </c>
      <c r="AI96" s="463"/>
      <c r="AJ96" s="463" t="str">
        <f>IF(AND('Mapa final'!$K$91="Muy Baja",'Mapa final'!$O$91="Moderado"),CONCATENATE("R",'Mapa final'!$A$91),"")</f>
        <v/>
      </c>
      <c r="AK96" s="463"/>
      <c r="AL96" s="463" t="str">
        <f>IF(AND('Mapa final'!$K$94="Muy Baja",'Mapa final'!$O$94="Moderado"),CONCATENATE("R",'Mapa final'!$A$94),"")</f>
        <v/>
      </c>
      <c r="AM96" s="466"/>
      <c r="AN96" s="496" t="str">
        <f>IF(AND('Mapa final'!$K$82="Muy Baja",'Mapa final'!$O$82="Mayor"),CONCATENATE("R",'Mapa final'!$A$82),"")</f>
        <v/>
      </c>
      <c r="AO96" s="455"/>
      <c r="AP96" s="455" t="str">
        <f>IF(AND('Mapa final'!$K$85="Muy Baja",'Mapa final'!$O$85="Mayor"),CONCATENATE("R",'Mapa final'!$A$85),"")</f>
        <v/>
      </c>
      <c r="AQ96" s="455"/>
      <c r="AR96" s="455" t="str">
        <f>IF(AND('Mapa final'!$K$88="Muy Baja",'Mapa final'!$O$88="Mayor"),CONCATENATE("R",'Mapa final'!$A$88),"")</f>
        <v/>
      </c>
      <c r="AS96" s="455"/>
      <c r="AT96" s="455" t="str">
        <f>IF(AND('Mapa final'!$K$91="Muy Baja",'Mapa final'!$O$91="Mayor"),CONCATENATE("R",'Mapa final'!$A$91),"")</f>
        <v/>
      </c>
      <c r="AU96" s="455"/>
      <c r="AV96" s="455" t="str">
        <f>IF(AND('Mapa final'!$K$94="Muy Baja",'Mapa final'!$O$94="Mayor"),CONCATENATE("R",'Mapa final'!$A$94),"")</f>
        <v/>
      </c>
      <c r="AW96" s="495"/>
      <c r="AX96" s="487" t="str">
        <f>IF(AND('Mapa final'!$K$82="Muy Baja",'Mapa final'!$O$82="Catastrófico"),CONCATENATE("R",'Mapa final'!$A$82),"")</f>
        <v/>
      </c>
      <c r="AY96" s="485"/>
      <c r="AZ96" s="485" t="str">
        <f>IF(AND('Mapa final'!$K$85="Muy Baja",'Mapa final'!$O$85="Catastrófico"),CONCATENATE("R",'Mapa final'!$A$85),"")</f>
        <v/>
      </c>
      <c r="BA96" s="485"/>
      <c r="BB96" s="485" t="str">
        <f>IF(AND('Mapa final'!$K$88="Muy Baja",'Mapa final'!$O$88="Catastrófico"),CONCATENATE("R",'Mapa final'!$A$88),"")</f>
        <v/>
      </c>
      <c r="BC96" s="485"/>
      <c r="BD96" s="485" t="str">
        <f>IF(AND('Mapa final'!$K$91="Muy Baja",'Mapa final'!$O$91="Catastrófico"),CONCATENATE("R",'Mapa final'!$A$91),"")</f>
        <v/>
      </c>
      <c r="BE96" s="485"/>
      <c r="BF96" s="485" t="str">
        <f>IF(AND('Mapa final'!$K$94="Muy Baja",'Mapa final'!$O$94="Catastrófico"),CONCATENATE("R",'Mapa final'!$A$94),"")</f>
        <v/>
      </c>
      <c r="BG96" s="486"/>
      <c r="BH96" s="56"/>
      <c r="BI96" s="536"/>
      <c r="BJ96" s="537"/>
      <c r="BK96" s="537"/>
      <c r="BL96" s="537"/>
      <c r="BM96" s="537"/>
      <c r="BN96" s="538"/>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row>
    <row r="97" spans="1:100" ht="15" customHeight="1" thickBot="1" x14ac:dyDescent="0.4">
      <c r="A97" s="56"/>
      <c r="B97" s="311"/>
      <c r="C97" s="311"/>
      <c r="D97" s="312"/>
      <c r="E97" s="473"/>
      <c r="F97" s="474"/>
      <c r="G97" s="474"/>
      <c r="H97" s="474"/>
      <c r="I97" s="475"/>
      <c r="J97" s="456"/>
      <c r="K97" s="457"/>
      <c r="L97" s="457"/>
      <c r="M97" s="457"/>
      <c r="N97" s="457"/>
      <c r="O97" s="457"/>
      <c r="P97" s="457"/>
      <c r="Q97" s="457"/>
      <c r="R97" s="457"/>
      <c r="S97" s="505"/>
      <c r="T97" s="456"/>
      <c r="U97" s="457"/>
      <c r="V97" s="457"/>
      <c r="W97" s="457"/>
      <c r="X97" s="457"/>
      <c r="Y97" s="457"/>
      <c r="Z97" s="457"/>
      <c r="AA97" s="457"/>
      <c r="AB97" s="457"/>
      <c r="AC97" s="505"/>
      <c r="AD97" s="462"/>
      <c r="AE97" s="463"/>
      <c r="AF97" s="463"/>
      <c r="AG97" s="463"/>
      <c r="AH97" s="463"/>
      <c r="AI97" s="463"/>
      <c r="AJ97" s="463"/>
      <c r="AK97" s="463"/>
      <c r="AL97" s="463"/>
      <c r="AM97" s="466"/>
      <c r="AN97" s="496"/>
      <c r="AO97" s="455"/>
      <c r="AP97" s="455"/>
      <c r="AQ97" s="455"/>
      <c r="AR97" s="455"/>
      <c r="AS97" s="455"/>
      <c r="AT97" s="455"/>
      <c r="AU97" s="455"/>
      <c r="AV97" s="455"/>
      <c r="AW97" s="495"/>
      <c r="AX97" s="487"/>
      <c r="AY97" s="485"/>
      <c r="AZ97" s="485"/>
      <c r="BA97" s="485"/>
      <c r="BB97" s="485"/>
      <c r="BC97" s="485"/>
      <c r="BD97" s="485"/>
      <c r="BE97" s="485"/>
      <c r="BF97" s="485"/>
      <c r="BG97" s="486"/>
      <c r="BH97" s="56"/>
      <c r="BI97" s="539"/>
      <c r="BJ97" s="540"/>
      <c r="BK97" s="540"/>
      <c r="BL97" s="540"/>
      <c r="BM97" s="540"/>
      <c r="BN97" s="541"/>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row>
    <row r="98" spans="1:100" ht="15" customHeight="1" x14ac:dyDescent="0.35">
      <c r="A98" s="56"/>
      <c r="B98" s="311"/>
      <c r="C98" s="311"/>
      <c r="D98" s="312"/>
      <c r="E98" s="473"/>
      <c r="F98" s="474"/>
      <c r="G98" s="474"/>
      <c r="H98" s="474"/>
      <c r="I98" s="475"/>
      <c r="J98" s="456" t="str">
        <f>IF(AND('Mapa final'!$K$97="Muy Baja",'Mapa final'!$O$97="Leve"),CONCATENATE("R",'Mapa final'!$A$97),"")</f>
        <v/>
      </c>
      <c r="K98" s="457"/>
      <c r="L98" s="457" t="str">
        <f>IF(AND('Mapa final'!$K$100="Muy Baja",'Mapa final'!$O$100="Leve"),CONCATENATE("R",'Mapa final'!$A$100),"")</f>
        <v/>
      </c>
      <c r="M98" s="457"/>
      <c r="N98" s="457" t="str">
        <f>IF(AND('Mapa final'!$K$103="Muy Baja",'Mapa final'!$O$103="Leve"),CONCATENATE("R",'Mapa final'!$A$103),"")</f>
        <v/>
      </c>
      <c r="O98" s="457"/>
      <c r="P98" s="457" t="str">
        <f>IF(AND('Mapa final'!$K$106="Muy Baja",'Mapa final'!$O$106="Leve"),CONCATENATE("R",'Mapa final'!$A$106),"")</f>
        <v/>
      </c>
      <c r="Q98" s="457"/>
      <c r="R98" s="457" t="str">
        <f>IF(AND('Mapa final'!$K$109="Muy Baja",'Mapa final'!$O$109="Leve"),CONCATENATE("R",'Mapa final'!$A$109),"")</f>
        <v/>
      </c>
      <c r="S98" s="505"/>
      <c r="T98" s="456" t="str">
        <f>IF(AND('Mapa final'!$K$97="Muy Baja",'Mapa final'!$O$97="Menor"),CONCATENATE("R",'Mapa final'!$A$97),"")</f>
        <v/>
      </c>
      <c r="U98" s="457"/>
      <c r="V98" s="457" t="str">
        <f>IF(AND('Mapa final'!$K$100="Muy Baja",'Mapa final'!$O$100="Menor"),CONCATENATE("R",'Mapa final'!$A$100),"")</f>
        <v/>
      </c>
      <c r="W98" s="457"/>
      <c r="X98" s="457" t="str">
        <f>IF(AND('Mapa final'!$K$103="Muy Baja",'Mapa final'!$O$103="Menor"),CONCATENATE("R",'Mapa final'!$A$103),"")</f>
        <v/>
      </c>
      <c r="Y98" s="457"/>
      <c r="Z98" s="457" t="str">
        <f>IF(AND('Mapa final'!$K$106="Muy Baja",'Mapa final'!$O$106="Menor"),CONCATENATE("R",'Mapa final'!$A$106),"")</f>
        <v/>
      </c>
      <c r="AA98" s="457"/>
      <c r="AB98" s="457" t="str">
        <f>IF(AND('Mapa final'!$K$109="Muy Baja",'Mapa final'!$O$109="Menor"),CONCATENATE("R",'Mapa final'!$A$109),"")</f>
        <v/>
      </c>
      <c r="AC98" s="505"/>
      <c r="AD98" s="462" t="str">
        <f>IF(AND('Mapa final'!$K$97="Muy Baja",'Mapa final'!$O$97="Moderado"),CONCATENATE("R",'Mapa final'!$A$97),"")</f>
        <v/>
      </c>
      <c r="AE98" s="463"/>
      <c r="AF98" s="463" t="str">
        <f>IF(AND('Mapa final'!$K$100="Muy Baja",'Mapa final'!$O$100="Moderado"),CONCATENATE("R",'Mapa final'!$A$100),"")</f>
        <v/>
      </c>
      <c r="AG98" s="463"/>
      <c r="AH98" s="463" t="str">
        <f>IF(AND('Mapa final'!$K$103="Muy Baja",'Mapa final'!$O$103="Moderado"),CONCATENATE("R",'Mapa final'!$A$103),"")</f>
        <v/>
      </c>
      <c r="AI98" s="463"/>
      <c r="AJ98" s="463" t="str">
        <f>IF(AND('Mapa final'!$K$106="Muy Baja",'Mapa final'!$O$106="Moderado"),CONCATENATE("R",'Mapa final'!$A$106),"")</f>
        <v/>
      </c>
      <c r="AK98" s="463"/>
      <c r="AL98" s="463" t="str">
        <f>IF(AND('Mapa final'!$K$109="Muy Baja",'Mapa final'!$O$109="Moderado"),CONCATENATE("R",'Mapa final'!$A$109),"")</f>
        <v/>
      </c>
      <c r="AM98" s="466"/>
      <c r="AN98" s="496" t="str">
        <f>IF(AND('Mapa final'!$K$97="Muy Baja",'Mapa final'!$O$97="Mayor"),CONCATENATE("R",'Mapa final'!$A$97),"")</f>
        <v/>
      </c>
      <c r="AO98" s="455"/>
      <c r="AP98" s="455" t="str">
        <f>IF(AND('Mapa final'!$K$100="Muy Baja",'Mapa final'!$O$100="Mayor"),CONCATENATE("R",'Mapa final'!$A$100),"")</f>
        <v/>
      </c>
      <c r="AQ98" s="455"/>
      <c r="AR98" s="455" t="str">
        <f>IF(AND('Mapa final'!$K$103="Muy Baja",'Mapa final'!$O$103="Mayor"),CONCATENATE("R",'Mapa final'!$A$103),"")</f>
        <v/>
      </c>
      <c r="AS98" s="455"/>
      <c r="AT98" s="455" t="str">
        <f>IF(AND('Mapa final'!$K$106="Muy Baja",'Mapa final'!$O$106="Mayor"),CONCATENATE("R",'Mapa final'!$A$106),"")</f>
        <v/>
      </c>
      <c r="AU98" s="455"/>
      <c r="AV98" s="455" t="str">
        <f>IF(AND('Mapa final'!$K$109="Muy Baja",'Mapa final'!$O$109="Mayor"),CONCATENATE("R",'Mapa final'!$A$109),"")</f>
        <v/>
      </c>
      <c r="AW98" s="495"/>
      <c r="AX98" s="487" t="str">
        <f>IF(AND('Mapa final'!$K$97="Muy Baja",'Mapa final'!$O$97="Catastrófico"),CONCATENATE("R",'Mapa final'!$A$97),"")</f>
        <v/>
      </c>
      <c r="AY98" s="485"/>
      <c r="AZ98" s="485" t="str">
        <f>IF(AND('Mapa final'!$K$100="Muy Baja",'Mapa final'!$O$100="Catastrófico"),CONCATENATE("R",'Mapa final'!$A$100),"")</f>
        <v/>
      </c>
      <c r="BA98" s="485"/>
      <c r="BB98" s="485" t="str">
        <f>IF(AND('Mapa final'!$K$103="Muy Baja",'Mapa final'!$O$103="Catastrófico"),CONCATENATE("R",'Mapa final'!$A$103),"")</f>
        <v/>
      </c>
      <c r="BC98" s="485"/>
      <c r="BD98" s="485" t="str">
        <f>IF(AND('Mapa final'!$K$106="Muy Baja",'Mapa final'!$O$106="Catastrófico"),CONCATENATE("R",'Mapa final'!$A$106),"")</f>
        <v/>
      </c>
      <c r="BE98" s="485"/>
      <c r="BF98" s="485" t="str">
        <f>IF(AND('Mapa final'!$K$109="Muy Baja",'Mapa final'!$O$109="Catastrófico"),CONCATENATE("R",'Mapa final'!$A$109),"")</f>
        <v/>
      </c>
      <c r="BG98" s="48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row>
    <row r="99" spans="1:100" ht="15" customHeight="1" x14ac:dyDescent="0.35">
      <c r="A99" s="56"/>
      <c r="B99" s="311"/>
      <c r="C99" s="311"/>
      <c r="D99" s="312"/>
      <c r="E99" s="473"/>
      <c r="F99" s="474"/>
      <c r="G99" s="474"/>
      <c r="H99" s="474"/>
      <c r="I99" s="475"/>
      <c r="J99" s="456"/>
      <c r="K99" s="457"/>
      <c r="L99" s="457"/>
      <c r="M99" s="457"/>
      <c r="N99" s="457"/>
      <c r="O99" s="457"/>
      <c r="P99" s="457"/>
      <c r="Q99" s="457"/>
      <c r="R99" s="457"/>
      <c r="S99" s="505"/>
      <c r="T99" s="456"/>
      <c r="U99" s="457"/>
      <c r="V99" s="457"/>
      <c r="W99" s="457"/>
      <c r="X99" s="457"/>
      <c r="Y99" s="457"/>
      <c r="Z99" s="457"/>
      <c r="AA99" s="457"/>
      <c r="AB99" s="457"/>
      <c r="AC99" s="505"/>
      <c r="AD99" s="462"/>
      <c r="AE99" s="463"/>
      <c r="AF99" s="463"/>
      <c r="AG99" s="463"/>
      <c r="AH99" s="463"/>
      <c r="AI99" s="463"/>
      <c r="AJ99" s="463"/>
      <c r="AK99" s="463"/>
      <c r="AL99" s="463"/>
      <c r="AM99" s="466"/>
      <c r="AN99" s="496"/>
      <c r="AO99" s="455"/>
      <c r="AP99" s="455"/>
      <c r="AQ99" s="455"/>
      <c r="AR99" s="455"/>
      <c r="AS99" s="455"/>
      <c r="AT99" s="455"/>
      <c r="AU99" s="455"/>
      <c r="AV99" s="455"/>
      <c r="AW99" s="495"/>
      <c r="AX99" s="487"/>
      <c r="AY99" s="485"/>
      <c r="AZ99" s="485"/>
      <c r="BA99" s="485"/>
      <c r="BB99" s="485"/>
      <c r="BC99" s="485"/>
      <c r="BD99" s="485"/>
      <c r="BE99" s="485"/>
      <c r="BF99" s="485"/>
      <c r="BG99" s="48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5" customHeight="1" x14ac:dyDescent="0.35">
      <c r="A100" s="56"/>
      <c r="B100" s="311"/>
      <c r="C100" s="311"/>
      <c r="D100" s="312"/>
      <c r="E100" s="473"/>
      <c r="F100" s="474"/>
      <c r="G100" s="474"/>
      <c r="H100" s="474"/>
      <c r="I100" s="475"/>
      <c r="J100" s="456" t="str">
        <f>IF(AND('Mapa final'!$K$112="Muy Baja",'Mapa final'!$O$112="Leve"),CONCATENATE("R",'Mapa final'!$A$112),"")</f>
        <v/>
      </c>
      <c r="K100" s="457"/>
      <c r="L100" s="457" t="str">
        <f>IF(AND('Mapa final'!$K$115="Muy Baja",'Mapa final'!$O$115="Leve"),CONCATENATE("R",'Mapa final'!$A$115),"")</f>
        <v/>
      </c>
      <c r="M100" s="457"/>
      <c r="N100" s="457" t="str">
        <f>IF(AND('Mapa final'!$K$118="Muy Baja",'Mapa final'!$O$118="Leve"),CONCATENATE("R",'Mapa final'!$A$118),"")</f>
        <v/>
      </c>
      <c r="O100" s="457"/>
      <c r="P100" s="457" t="str">
        <f>IF(AND('Mapa final'!$K$121="Muy Baja",'Mapa final'!$O$121="Leve"),CONCATENATE("R",'Mapa final'!$A$121),"")</f>
        <v/>
      </c>
      <c r="Q100" s="457"/>
      <c r="R100" s="457" t="str">
        <f>IF(AND('Mapa final'!$K$124="Muy Baja",'Mapa final'!$O$124="Leve"),CONCATENATE("R",'Mapa final'!$A$124),"")</f>
        <v/>
      </c>
      <c r="S100" s="505"/>
      <c r="T100" s="456" t="str">
        <f>IF(AND('Mapa final'!$K$112="Muy Baja",'Mapa final'!$O$112="Menor"),CONCATENATE("R",'Mapa final'!$A$112),"")</f>
        <v/>
      </c>
      <c r="U100" s="457"/>
      <c r="V100" s="457" t="str">
        <f>IF(AND('Mapa final'!$K$115="Muy Baja",'Mapa final'!$O$115="Menor"),CONCATENATE("R",'Mapa final'!$A$115),"")</f>
        <v/>
      </c>
      <c r="W100" s="457"/>
      <c r="X100" s="457" t="str">
        <f>IF(AND('Mapa final'!$K$118="Muy Baja",'Mapa final'!$O$118="Menor"),CONCATENATE("R",'Mapa final'!$A$118),"")</f>
        <v/>
      </c>
      <c r="Y100" s="457"/>
      <c r="Z100" s="457" t="str">
        <f>IF(AND('Mapa final'!$K$121="Muy Baja",'Mapa final'!$O$121="Menor"),CONCATENATE("R",'Mapa final'!$A$121),"")</f>
        <v/>
      </c>
      <c r="AA100" s="457"/>
      <c r="AB100" s="457" t="str">
        <f>IF(AND('Mapa final'!$K$124="Muy Baja",'Mapa final'!$O$124="Menor"),CONCATENATE("R",'Mapa final'!$A$124),"")</f>
        <v/>
      </c>
      <c r="AC100" s="505"/>
      <c r="AD100" s="462" t="str">
        <f>IF(AND('Mapa final'!$K$112="Muy Baja",'Mapa final'!$O$112="Moderado"),CONCATENATE("R",'Mapa final'!$A$112),"")</f>
        <v/>
      </c>
      <c r="AE100" s="463"/>
      <c r="AF100" s="463" t="str">
        <f>IF(AND('Mapa final'!$K$115="Muy Baja",'Mapa final'!$O$115="Moderado"),CONCATENATE("R",'Mapa final'!$A$115),"")</f>
        <v/>
      </c>
      <c r="AG100" s="463"/>
      <c r="AH100" s="463" t="str">
        <f>IF(AND('Mapa final'!$K$118="Muy Baja",'Mapa final'!$O$118="Moderado"),CONCATENATE("R",'Mapa final'!$A$118),"")</f>
        <v/>
      </c>
      <c r="AI100" s="463"/>
      <c r="AJ100" s="463" t="str">
        <f>IF(AND('Mapa final'!$K$121="Muy Baja",'Mapa final'!$O$121="Moderado"),CONCATENATE("R",'Mapa final'!$A$121),"")</f>
        <v/>
      </c>
      <c r="AK100" s="463"/>
      <c r="AL100" s="463" t="str">
        <f>IF(AND('Mapa final'!$K$124="Muy Baja",'Mapa final'!$O$124="Moderado"),CONCATENATE("R",'Mapa final'!$A$124),"")</f>
        <v/>
      </c>
      <c r="AM100" s="466"/>
      <c r="AN100" s="496" t="str">
        <f>IF(AND('Mapa final'!$K$112="Muy Baja",'Mapa final'!$O$112="Mayor"),CONCATENATE("R",'Mapa final'!$A$112),"")</f>
        <v/>
      </c>
      <c r="AO100" s="455"/>
      <c r="AP100" s="455" t="str">
        <f>IF(AND('Mapa final'!$K$115="Muy Baja",'Mapa final'!$O$115="Mayor"),CONCATENATE("R",'Mapa final'!$A$115),"")</f>
        <v/>
      </c>
      <c r="AQ100" s="455"/>
      <c r="AR100" s="455" t="str">
        <f>IF(AND('Mapa final'!$K$118="Muy Baja",'Mapa final'!$O$118="Mayor"),CONCATENATE("R",'Mapa final'!$A$118),"")</f>
        <v/>
      </c>
      <c r="AS100" s="455"/>
      <c r="AT100" s="455" t="str">
        <f>IF(AND('Mapa final'!$K$121="Muy Baja",'Mapa final'!$O$121="Mayor"),CONCATENATE("R",'Mapa final'!$A$121),"")</f>
        <v/>
      </c>
      <c r="AU100" s="455"/>
      <c r="AV100" s="455" t="str">
        <f>IF(AND('Mapa final'!$K$124="Muy Baja",'Mapa final'!$O$124="Mayor"),CONCATENATE("R",'Mapa final'!$A$124),"")</f>
        <v/>
      </c>
      <c r="AW100" s="495"/>
      <c r="AX100" s="487" t="str">
        <f>IF(AND('Mapa final'!$K$112="Muy Baja",'Mapa final'!$O$112="Catastrófico"),CONCATENATE("R",'Mapa final'!$A$112),"")</f>
        <v/>
      </c>
      <c r="AY100" s="485"/>
      <c r="AZ100" s="485" t="str">
        <f>IF(AND('Mapa final'!$K$115="Muy Baja",'Mapa final'!$O$115="Catastrófico"),CONCATENATE("R",'Mapa final'!$A$115),"")</f>
        <v/>
      </c>
      <c r="BA100" s="485"/>
      <c r="BB100" s="485" t="str">
        <f>IF(AND('Mapa final'!$K$118="Muy Baja",'Mapa final'!$O$118="Catastrófico"),CONCATENATE("R",'Mapa final'!$A$118),"")</f>
        <v/>
      </c>
      <c r="BC100" s="485"/>
      <c r="BD100" s="485" t="str">
        <f>IF(AND('Mapa final'!$K$121="Muy Baja",'Mapa final'!$O$121="Catastrófico"),CONCATENATE("R",'Mapa final'!$A$121),"")</f>
        <v/>
      </c>
      <c r="BE100" s="485"/>
      <c r="BF100" s="485" t="str">
        <f>IF(AND('Mapa final'!$K$124="Muy Baja",'Mapa final'!$O$124="Catastrófico"),CONCATENATE("R",'Mapa final'!$A$124),"")</f>
        <v/>
      </c>
      <c r="BG100" s="48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row>
    <row r="101" spans="1:100" ht="15" customHeight="1" x14ac:dyDescent="0.35">
      <c r="A101" s="56"/>
      <c r="B101" s="311"/>
      <c r="C101" s="311"/>
      <c r="D101" s="312"/>
      <c r="E101" s="473"/>
      <c r="F101" s="474"/>
      <c r="G101" s="474"/>
      <c r="H101" s="474"/>
      <c r="I101" s="475"/>
      <c r="J101" s="456"/>
      <c r="K101" s="457"/>
      <c r="L101" s="457"/>
      <c r="M101" s="457"/>
      <c r="N101" s="457"/>
      <c r="O101" s="457"/>
      <c r="P101" s="457"/>
      <c r="Q101" s="457"/>
      <c r="R101" s="457"/>
      <c r="S101" s="505"/>
      <c r="T101" s="456"/>
      <c r="U101" s="457"/>
      <c r="V101" s="457"/>
      <c r="W101" s="457"/>
      <c r="X101" s="457"/>
      <c r="Y101" s="457"/>
      <c r="Z101" s="457"/>
      <c r="AA101" s="457"/>
      <c r="AB101" s="457"/>
      <c r="AC101" s="505"/>
      <c r="AD101" s="462"/>
      <c r="AE101" s="463"/>
      <c r="AF101" s="463"/>
      <c r="AG101" s="463"/>
      <c r="AH101" s="463"/>
      <c r="AI101" s="463"/>
      <c r="AJ101" s="463"/>
      <c r="AK101" s="463"/>
      <c r="AL101" s="463"/>
      <c r="AM101" s="466"/>
      <c r="AN101" s="496"/>
      <c r="AO101" s="455"/>
      <c r="AP101" s="455"/>
      <c r="AQ101" s="455"/>
      <c r="AR101" s="455"/>
      <c r="AS101" s="455"/>
      <c r="AT101" s="455"/>
      <c r="AU101" s="455"/>
      <c r="AV101" s="455"/>
      <c r="AW101" s="495"/>
      <c r="AX101" s="487"/>
      <c r="AY101" s="485"/>
      <c r="AZ101" s="485"/>
      <c r="BA101" s="485"/>
      <c r="BB101" s="485"/>
      <c r="BC101" s="485"/>
      <c r="BD101" s="485"/>
      <c r="BE101" s="485"/>
      <c r="BF101" s="485"/>
      <c r="BG101" s="48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row>
    <row r="102" spans="1:100" ht="15" customHeight="1" x14ac:dyDescent="0.35">
      <c r="A102" s="56"/>
      <c r="B102" s="311"/>
      <c r="C102" s="311"/>
      <c r="D102" s="312"/>
      <c r="E102" s="473"/>
      <c r="F102" s="474"/>
      <c r="G102" s="474"/>
      <c r="H102" s="474"/>
      <c r="I102" s="475"/>
      <c r="J102" s="456" t="str">
        <f>IF(AND('Mapa final'!$K$127="Muy Baja",'Mapa final'!$O$127="Leve"),CONCATENATE("R",'Mapa final'!$A$127),"")</f>
        <v/>
      </c>
      <c r="K102" s="457"/>
      <c r="L102" s="457" t="str">
        <f>IF(AND('Mapa final'!$K$130="Muy Baja",'Mapa final'!$O$130="Leve"),CONCATENATE("R",'Mapa final'!$A$130),"")</f>
        <v/>
      </c>
      <c r="M102" s="457"/>
      <c r="N102" s="457" t="str">
        <f>IF(AND('Mapa final'!$K$133="Muy Baja",'Mapa final'!$O$133="Leve"),CONCATENATE("R",'Mapa final'!$A$133),"")</f>
        <v/>
      </c>
      <c r="O102" s="457"/>
      <c r="P102" s="457" t="str">
        <f>IF(AND('Mapa final'!$K$136="Muy Baja",'Mapa final'!$O$136="Leve"),CONCATENATE("R",'Mapa final'!$A$136),"")</f>
        <v/>
      </c>
      <c r="Q102" s="457"/>
      <c r="R102" s="457" t="str">
        <f>IF(AND('Mapa final'!$K$139="Muy Baja",'Mapa final'!$O$139="Leve"),CONCATENATE("R",'Mapa final'!$A$139),"")</f>
        <v/>
      </c>
      <c r="S102" s="505"/>
      <c r="T102" s="456" t="str">
        <f>IF(AND('Mapa final'!$K$127="Muy Baja",'Mapa final'!$O$127="Menor"),CONCATENATE("R",'Mapa final'!$A$127),"")</f>
        <v/>
      </c>
      <c r="U102" s="457"/>
      <c r="V102" s="457" t="str">
        <f>IF(AND('Mapa final'!$K$130="Muy Baja",'Mapa final'!$O$130="Menor"),CONCATENATE("R",'Mapa final'!$A$130),"")</f>
        <v/>
      </c>
      <c r="W102" s="457"/>
      <c r="X102" s="457" t="str">
        <f>IF(AND('Mapa final'!$K$133="Muy Baja",'Mapa final'!$O$133="Menor"),CONCATENATE("R",'Mapa final'!$A$133),"")</f>
        <v/>
      </c>
      <c r="Y102" s="457"/>
      <c r="Z102" s="457" t="str">
        <f>IF(AND('Mapa final'!$K$136="Muy Baja",'Mapa final'!$O$136="Menor"),CONCATENATE("R",'Mapa final'!$A$136),"")</f>
        <v/>
      </c>
      <c r="AA102" s="457"/>
      <c r="AB102" s="457" t="str">
        <f>IF(AND('Mapa final'!$K$139="Muy Baja",'Mapa final'!$O$139="Menor"),CONCATENATE("R",'Mapa final'!$A$139),"")</f>
        <v/>
      </c>
      <c r="AC102" s="505"/>
      <c r="AD102" s="462" t="str">
        <f>IF(AND('Mapa final'!$K$127="Muy Baja",'Mapa final'!$O$127="Moderado"),CONCATENATE("R",'Mapa final'!$A$127),"")</f>
        <v/>
      </c>
      <c r="AE102" s="463"/>
      <c r="AF102" s="463" t="str">
        <f>IF(AND('Mapa final'!$K$130="Muy Baja",'Mapa final'!$O$130="Moderado"),CONCATENATE("R",'Mapa final'!$A$130),"")</f>
        <v/>
      </c>
      <c r="AG102" s="463"/>
      <c r="AH102" s="463" t="str">
        <f>IF(AND('Mapa final'!$K$133="Muy Baja",'Mapa final'!$O$133="Moderado"),CONCATENATE("R",'Mapa final'!$A$133),"")</f>
        <v/>
      </c>
      <c r="AI102" s="463"/>
      <c r="AJ102" s="463" t="str">
        <f>IF(AND('Mapa final'!$K$136="Muy Baja",'Mapa final'!$O$136="Moderado"),CONCATENATE("R",'Mapa final'!$A$136),"")</f>
        <v/>
      </c>
      <c r="AK102" s="463"/>
      <c r="AL102" s="463" t="str">
        <f>IF(AND('Mapa final'!$K$139="Muy Baja",'Mapa final'!$O$139="Moderado"),CONCATENATE("R",'Mapa final'!$A$139),"")</f>
        <v/>
      </c>
      <c r="AM102" s="466"/>
      <c r="AN102" s="496" t="str">
        <f>IF(AND('Mapa final'!$K$127="Muy Baja",'Mapa final'!$O$127="Mayor"),CONCATENATE("R",'Mapa final'!$A$127),"")</f>
        <v/>
      </c>
      <c r="AO102" s="455"/>
      <c r="AP102" s="455" t="str">
        <f>IF(AND('Mapa final'!$K$130="Muy Baja",'Mapa final'!$O$130="Mayor"),CONCATENATE("R",'Mapa final'!$A$130),"")</f>
        <v/>
      </c>
      <c r="AQ102" s="455"/>
      <c r="AR102" s="455" t="str">
        <f>IF(AND('Mapa final'!$K$133="Muy Baja",'Mapa final'!$O$133="Mayor"),CONCATENATE("R",'Mapa final'!$A$133),"")</f>
        <v/>
      </c>
      <c r="AS102" s="455"/>
      <c r="AT102" s="455" t="str">
        <f>IF(AND('Mapa final'!$K$136="Muy Baja",'Mapa final'!$O$136="Mayor"),CONCATENATE("R",'Mapa final'!$A$136),"")</f>
        <v/>
      </c>
      <c r="AU102" s="455"/>
      <c r="AV102" s="455" t="str">
        <f>IF(AND('Mapa final'!$K$139="Muy Baja",'Mapa final'!$O$139="Mayor"),CONCATENATE("R",'Mapa final'!$A$139),"")</f>
        <v/>
      </c>
      <c r="AW102" s="495"/>
      <c r="AX102" s="487" t="str">
        <f>IF(AND('Mapa final'!$K$127="Muy Baja",'Mapa final'!$O$127="Catastrófico"),CONCATENATE("R",'Mapa final'!$A$127),"")</f>
        <v/>
      </c>
      <c r="AY102" s="485"/>
      <c r="AZ102" s="485" t="str">
        <f>IF(AND('Mapa final'!$K$130="Muy Baja",'Mapa final'!$O$130="Catastrófico"),CONCATENATE("R",'Mapa final'!$A$130),"")</f>
        <v/>
      </c>
      <c r="BA102" s="485"/>
      <c r="BB102" s="485" t="str">
        <f>IF(AND('Mapa final'!$K$133="Muy Baja",'Mapa final'!$O$133="Catastrófico"),CONCATENATE("R",'Mapa final'!$A$133),"")</f>
        <v/>
      </c>
      <c r="BC102" s="485"/>
      <c r="BD102" s="485" t="str">
        <f>IF(AND('Mapa final'!$K$136="Muy Baja",'Mapa final'!$O$136="Catastrófico"),CONCATENATE("R",'Mapa final'!$A$136),"")</f>
        <v/>
      </c>
      <c r="BE102" s="485"/>
      <c r="BF102" s="485" t="str">
        <f>IF(AND('Mapa final'!$K$139="Muy Baja",'Mapa final'!$O$139="Catastrófico"),CONCATENATE("R",'Mapa final'!$A$139),"")</f>
        <v/>
      </c>
      <c r="BG102" s="48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row>
    <row r="103" spans="1:100" ht="15" customHeight="1" x14ac:dyDescent="0.35">
      <c r="A103" s="56"/>
      <c r="B103" s="311"/>
      <c r="C103" s="311"/>
      <c r="D103" s="312"/>
      <c r="E103" s="473"/>
      <c r="F103" s="474"/>
      <c r="G103" s="474"/>
      <c r="H103" s="474"/>
      <c r="I103" s="475"/>
      <c r="J103" s="456"/>
      <c r="K103" s="457"/>
      <c r="L103" s="457"/>
      <c r="M103" s="457"/>
      <c r="N103" s="457"/>
      <c r="O103" s="457"/>
      <c r="P103" s="457"/>
      <c r="Q103" s="457"/>
      <c r="R103" s="457"/>
      <c r="S103" s="505"/>
      <c r="T103" s="456"/>
      <c r="U103" s="457"/>
      <c r="V103" s="457"/>
      <c r="W103" s="457"/>
      <c r="X103" s="457"/>
      <c r="Y103" s="457"/>
      <c r="Z103" s="457"/>
      <c r="AA103" s="457"/>
      <c r="AB103" s="457"/>
      <c r="AC103" s="505"/>
      <c r="AD103" s="462"/>
      <c r="AE103" s="463"/>
      <c r="AF103" s="463"/>
      <c r="AG103" s="463"/>
      <c r="AH103" s="463"/>
      <c r="AI103" s="463"/>
      <c r="AJ103" s="463"/>
      <c r="AK103" s="463"/>
      <c r="AL103" s="463"/>
      <c r="AM103" s="466"/>
      <c r="AN103" s="496"/>
      <c r="AO103" s="455"/>
      <c r="AP103" s="455"/>
      <c r="AQ103" s="455"/>
      <c r="AR103" s="455"/>
      <c r="AS103" s="455"/>
      <c r="AT103" s="455"/>
      <c r="AU103" s="455"/>
      <c r="AV103" s="455"/>
      <c r="AW103" s="495"/>
      <c r="AX103" s="487"/>
      <c r="AY103" s="485"/>
      <c r="AZ103" s="485"/>
      <c r="BA103" s="485"/>
      <c r="BB103" s="485"/>
      <c r="BC103" s="485"/>
      <c r="BD103" s="485"/>
      <c r="BE103" s="485"/>
      <c r="BF103" s="485"/>
      <c r="BG103" s="48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row>
    <row r="104" spans="1:100" ht="15" customHeight="1" x14ac:dyDescent="0.35">
      <c r="A104" s="56"/>
      <c r="B104" s="311"/>
      <c r="C104" s="311"/>
      <c r="D104" s="312"/>
      <c r="E104" s="473"/>
      <c r="F104" s="474"/>
      <c r="G104" s="474"/>
      <c r="H104" s="474"/>
      <c r="I104" s="475"/>
      <c r="J104" s="456" t="str">
        <f>IF(AND('Mapa final'!$K$142="Muy Baja",'Mapa final'!$O$142="Leve"),CONCATENATE("R",'Mapa final'!$A$142),"")</f>
        <v/>
      </c>
      <c r="K104" s="457"/>
      <c r="L104" s="457" t="str">
        <f>IF(AND('Mapa final'!$K$145="Muy Baja",'Mapa final'!$O$145="Leve"),CONCATENATE("R",'Mapa final'!$A$145),"")</f>
        <v/>
      </c>
      <c r="M104" s="457"/>
      <c r="N104" s="457" t="str">
        <f>IF(AND('Mapa final'!$K$148="Muy Baja",'Mapa final'!$O$148="Leve"),CONCATENATE("R",'Mapa final'!$A$148),"")</f>
        <v/>
      </c>
      <c r="O104" s="457"/>
      <c r="P104" s="457" t="str">
        <f>IF(AND('Mapa final'!$K$151="Muy Baja",'Mapa final'!$O$151="Leve"),CONCATENATE("R",'Mapa final'!$A$151),"")</f>
        <v/>
      </c>
      <c r="Q104" s="457"/>
      <c r="R104" s="457" t="str">
        <f>IF(AND('Mapa final'!$K$154="Muy Baja",'Mapa final'!$O$154="Leve"),CONCATENATE("R",'Mapa final'!$A$154),"")</f>
        <v/>
      </c>
      <c r="S104" s="505"/>
      <c r="T104" s="456" t="str">
        <f>IF(AND('Mapa final'!$K$142="Muy Baja",'Mapa final'!$O$142="Menor"),CONCATENATE("R",'Mapa final'!$A$142),"")</f>
        <v/>
      </c>
      <c r="U104" s="457"/>
      <c r="V104" s="457" t="str">
        <f>IF(AND('Mapa final'!$K$145="Muy Baja",'Mapa final'!$O$145="Menor"),CONCATENATE("R",'Mapa final'!$A$145),"")</f>
        <v/>
      </c>
      <c r="W104" s="457"/>
      <c r="X104" s="457" t="str">
        <f>IF(AND('Mapa final'!$K$148="Muy Baja",'Mapa final'!$O$148="Menor"),CONCATENATE("R",'Mapa final'!$A$148),"")</f>
        <v/>
      </c>
      <c r="Y104" s="457"/>
      <c r="Z104" s="457" t="str">
        <f>IF(AND('Mapa final'!$K$151="Muy Baja",'Mapa final'!$O$151="Menor"),CONCATENATE("R",'Mapa final'!$A$151),"")</f>
        <v/>
      </c>
      <c r="AA104" s="457"/>
      <c r="AB104" s="457" t="str">
        <f>IF(AND('Mapa final'!$K$154="Muy Baja",'Mapa final'!$O$154="Menor"),CONCATENATE("R",'Mapa final'!$A$154),"")</f>
        <v/>
      </c>
      <c r="AC104" s="505"/>
      <c r="AD104" s="462" t="str">
        <f>IF(AND('Mapa final'!$K$142="Muy Baja",'Mapa final'!$O$142="Moderado"),CONCATENATE("R",'Mapa final'!$A$142),"")</f>
        <v/>
      </c>
      <c r="AE104" s="463"/>
      <c r="AF104" s="463" t="str">
        <f>IF(AND('Mapa final'!$K$145="Muy Baja",'Mapa final'!$O$145="Moderado"),CONCATENATE("R",'Mapa final'!$A$145),"")</f>
        <v/>
      </c>
      <c r="AG104" s="463"/>
      <c r="AH104" s="463" t="str">
        <f>IF(AND('Mapa final'!$K$148="Muy Baja",'Mapa final'!$O$148="Moderado"),CONCATENATE("R",'Mapa final'!$A$148),"")</f>
        <v/>
      </c>
      <c r="AI104" s="463"/>
      <c r="AJ104" s="463" t="str">
        <f>IF(AND('Mapa final'!$K$151="Muy Baja",'Mapa final'!$O$151="Moderado"),CONCATENATE("R",'Mapa final'!$A$151),"")</f>
        <v/>
      </c>
      <c r="AK104" s="463"/>
      <c r="AL104" s="463" t="str">
        <f>IF(AND('Mapa final'!$K$154="Muy Baja",'Mapa final'!$O$154="Moderado"),CONCATENATE("R",'Mapa final'!$A$154),"")</f>
        <v/>
      </c>
      <c r="AM104" s="466"/>
      <c r="AN104" s="496" t="str">
        <f>IF(AND('Mapa final'!$K$142="Muy Baja",'Mapa final'!$O$142="Mayor"),CONCATENATE("R",'Mapa final'!$A$142),"")</f>
        <v/>
      </c>
      <c r="AO104" s="455"/>
      <c r="AP104" s="455" t="str">
        <f>IF(AND('Mapa final'!$K$145="Muy Baja",'Mapa final'!$O$145="Mayor"),CONCATENATE("R",'Mapa final'!$A$145),"")</f>
        <v/>
      </c>
      <c r="AQ104" s="455"/>
      <c r="AR104" s="455" t="str">
        <f>IF(AND('Mapa final'!$K$148="Muy Baja",'Mapa final'!$O$148="Mayor"),CONCATENATE("R",'Mapa final'!$A$148),"")</f>
        <v/>
      </c>
      <c r="AS104" s="455"/>
      <c r="AT104" s="455" t="str">
        <f>IF(AND('Mapa final'!$K$151="Muy Baja",'Mapa final'!$O$151="Mayor"),CONCATENATE("R",'Mapa final'!$A$151),"")</f>
        <v/>
      </c>
      <c r="AU104" s="455"/>
      <c r="AV104" s="455" t="str">
        <f>IF(AND('Mapa final'!$K$154="Muy Baja",'Mapa final'!$O$154="Mayor"),CONCATENATE("R",'Mapa final'!$A$154),"")</f>
        <v/>
      </c>
      <c r="AW104" s="495"/>
      <c r="AX104" s="487" t="str">
        <f>IF(AND('Mapa final'!$K$142="Muy Baja",'Mapa final'!$O$142="Catastrófico"),CONCATENATE("R",'Mapa final'!$A$142),"")</f>
        <v/>
      </c>
      <c r="AY104" s="485"/>
      <c r="AZ104" s="485" t="str">
        <f>IF(AND('Mapa final'!$K$145="Muy Baja",'Mapa final'!$O$145="Catastrófico"),CONCATENATE("R",'Mapa final'!$A$145),"")</f>
        <v/>
      </c>
      <c r="BA104" s="485"/>
      <c r="BB104" s="485" t="str">
        <f>IF(AND('Mapa final'!$K$148="Muy Baja",'Mapa final'!$O$148="Catastrófico"),CONCATENATE("R",'Mapa final'!$A$148),"")</f>
        <v/>
      </c>
      <c r="BC104" s="485"/>
      <c r="BD104" s="485" t="str">
        <f>IF(AND('Mapa final'!$K$151="Muy Baja",'Mapa final'!$O$151="Catastrófico"),CONCATENATE("R",'Mapa final'!$A$151),"")</f>
        <v/>
      </c>
      <c r="BE104" s="485"/>
      <c r="BF104" s="485" t="str">
        <f>IF(AND('Mapa final'!$K$154="Muy Baja",'Mapa final'!$O$154="Catastrófico"),CONCATENATE("R",'Mapa final'!$A$154),"")</f>
        <v/>
      </c>
      <c r="BG104" s="48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row>
    <row r="105" spans="1:100" ht="15.75" customHeight="1" thickBot="1" x14ac:dyDescent="0.4">
      <c r="A105" s="56"/>
      <c r="B105" s="311"/>
      <c r="C105" s="311"/>
      <c r="D105" s="312"/>
      <c r="E105" s="476"/>
      <c r="F105" s="477"/>
      <c r="G105" s="477"/>
      <c r="H105" s="477"/>
      <c r="I105" s="478"/>
      <c r="J105" s="458"/>
      <c r="K105" s="459"/>
      <c r="L105" s="459"/>
      <c r="M105" s="459"/>
      <c r="N105" s="459"/>
      <c r="O105" s="459"/>
      <c r="P105" s="459"/>
      <c r="Q105" s="459"/>
      <c r="R105" s="459"/>
      <c r="S105" s="542"/>
      <c r="T105" s="458"/>
      <c r="U105" s="459"/>
      <c r="V105" s="459"/>
      <c r="W105" s="459"/>
      <c r="X105" s="459"/>
      <c r="Y105" s="459"/>
      <c r="Z105" s="459"/>
      <c r="AA105" s="459"/>
      <c r="AB105" s="459"/>
      <c r="AC105" s="542"/>
      <c r="AD105" s="464"/>
      <c r="AE105" s="465"/>
      <c r="AF105" s="465"/>
      <c r="AG105" s="465"/>
      <c r="AH105" s="465"/>
      <c r="AI105" s="465"/>
      <c r="AJ105" s="465"/>
      <c r="AK105" s="465"/>
      <c r="AL105" s="465"/>
      <c r="AM105" s="467"/>
      <c r="AN105" s="497"/>
      <c r="AO105" s="494"/>
      <c r="AP105" s="494"/>
      <c r="AQ105" s="494"/>
      <c r="AR105" s="494"/>
      <c r="AS105" s="494"/>
      <c r="AT105" s="494"/>
      <c r="AU105" s="494"/>
      <c r="AV105" s="494"/>
      <c r="AW105" s="498"/>
      <c r="AX105" s="488"/>
      <c r="AY105" s="489"/>
      <c r="AZ105" s="489"/>
      <c r="BA105" s="489"/>
      <c r="BB105" s="489"/>
      <c r="BC105" s="489"/>
      <c r="BD105" s="489"/>
      <c r="BE105" s="489"/>
      <c r="BF105" s="489"/>
      <c r="BG105" s="490"/>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row>
    <row r="106" spans="1:100" x14ac:dyDescent="0.35">
      <c r="A106" s="56"/>
      <c r="B106" s="56"/>
      <c r="C106" s="56"/>
      <c r="D106" s="56"/>
      <c r="E106" s="56"/>
      <c r="F106" s="56"/>
      <c r="G106" s="56"/>
      <c r="H106" s="56"/>
      <c r="I106" s="56"/>
      <c r="J106" s="502" t="s">
        <v>103</v>
      </c>
      <c r="K106" s="479"/>
      <c r="L106" s="479"/>
      <c r="M106" s="479"/>
      <c r="N106" s="479"/>
      <c r="O106" s="479"/>
      <c r="P106" s="479"/>
      <c r="Q106" s="479"/>
      <c r="R106" s="479"/>
      <c r="S106" s="475"/>
      <c r="T106" s="502" t="s">
        <v>102</v>
      </c>
      <c r="U106" s="479"/>
      <c r="V106" s="479"/>
      <c r="W106" s="479"/>
      <c r="X106" s="479"/>
      <c r="Y106" s="479"/>
      <c r="Z106" s="479"/>
      <c r="AA106" s="479"/>
      <c r="AB106" s="479"/>
      <c r="AC106" s="475"/>
      <c r="AD106" s="502" t="s">
        <v>101</v>
      </c>
      <c r="AE106" s="479"/>
      <c r="AF106" s="479"/>
      <c r="AG106" s="479"/>
      <c r="AH106" s="479"/>
      <c r="AI106" s="479"/>
      <c r="AJ106" s="479"/>
      <c r="AK106" s="479"/>
      <c r="AL106" s="479"/>
      <c r="AM106" s="475"/>
      <c r="AN106" s="502" t="s">
        <v>100</v>
      </c>
      <c r="AO106" s="503"/>
      <c r="AP106" s="503"/>
      <c r="AQ106" s="503"/>
      <c r="AR106" s="503"/>
      <c r="AS106" s="503"/>
      <c r="AT106" s="479"/>
      <c r="AU106" s="479"/>
      <c r="AV106" s="479"/>
      <c r="AW106" s="475"/>
      <c r="AX106" s="502" t="s">
        <v>99</v>
      </c>
      <c r="AY106" s="479"/>
      <c r="AZ106" s="479"/>
      <c r="BA106" s="479"/>
      <c r="BB106" s="479"/>
      <c r="BC106" s="479"/>
      <c r="BD106" s="479"/>
      <c r="BE106" s="479"/>
      <c r="BF106" s="479"/>
      <c r="BG106" s="475"/>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row>
    <row r="107" spans="1:100" x14ac:dyDescent="0.35">
      <c r="A107" s="56"/>
      <c r="B107" s="56"/>
      <c r="C107" s="56"/>
      <c r="D107" s="56"/>
      <c r="E107" s="56"/>
      <c r="F107" s="56"/>
      <c r="G107" s="56"/>
      <c r="H107" s="56"/>
      <c r="I107" s="56"/>
      <c r="J107" s="473"/>
      <c r="K107" s="474"/>
      <c r="L107" s="474"/>
      <c r="M107" s="474"/>
      <c r="N107" s="474"/>
      <c r="O107" s="474"/>
      <c r="P107" s="474"/>
      <c r="Q107" s="474"/>
      <c r="R107" s="474"/>
      <c r="S107" s="475"/>
      <c r="T107" s="473"/>
      <c r="U107" s="474"/>
      <c r="V107" s="474"/>
      <c r="W107" s="474"/>
      <c r="X107" s="474"/>
      <c r="Y107" s="474"/>
      <c r="Z107" s="474"/>
      <c r="AA107" s="474"/>
      <c r="AB107" s="474"/>
      <c r="AC107" s="475"/>
      <c r="AD107" s="473"/>
      <c r="AE107" s="474"/>
      <c r="AF107" s="474"/>
      <c r="AG107" s="474"/>
      <c r="AH107" s="474"/>
      <c r="AI107" s="474"/>
      <c r="AJ107" s="474"/>
      <c r="AK107" s="474"/>
      <c r="AL107" s="474"/>
      <c r="AM107" s="475"/>
      <c r="AN107" s="473"/>
      <c r="AO107" s="474"/>
      <c r="AP107" s="474"/>
      <c r="AQ107" s="474"/>
      <c r="AR107" s="474"/>
      <c r="AS107" s="474"/>
      <c r="AT107" s="474"/>
      <c r="AU107" s="474"/>
      <c r="AV107" s="474"/>
      <c r="AW107" s="475"/>
      <c r="AX107" s="473"/>
      <c r="AY107" s="474"/>
      <c r="AZ107" s="474"/>
      <c r="BA107" s="474"/>
      <c r="BB107" s="474"/>
      <c r="BC107" s="474"/>
      <c r="BD107" s="474"/>
      <c r="BE107" s="474"/>
      <c r="BF107" s="474"/>
      <c r="BG107" s="475"/>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row>
    <row r="108" spans="1:100" x14ac:dyDescent="0.35">
      <c r="A108" s="56"/>
      <c r="B108" s="56"/>
      <c r="C108" s="56"/>
      <c r="D108" s="56"/>
      <c r="E108" s="56"/>
      <c r="F108" s="56"/>
      <c r="G108" s="56"/>
      <c r="H108" s="56"/>
      <c r="I108" s="56"/>
      <c r="J108" s="473"/>
      <c r="K108" s="474"/>
      <c r="L108" s="474"/>
      <c r="M108" s="474"/>
      <c r="N108" s="474"/>
      <c r="O108" s="474"/>
      <c r="P108" s="474"/>
      <c r="Q108" s="474"/>
      <c r="R108" s="474"/>
      <c r="S108" s="475"/>
      <c r="T108" s="473"/>
      <c r="U108" s="474"/>
      <c r="V108" s="474"/>
      <c r="W108" s="474"/>
      <c r="X108" s="474"/>
      <c r="Y108" s="474"/>
      <c r="Z108" s="474"/>
      <c r="AA108" s="474"/>
      <c r="AB108" s="474"/>
      <c r="AC108" s="475"/>
      <c r="AD108" s="473"/>
      <c r="AE108" s="474"/>
      <c r="AF108" s="474"/>
      <c r="AG108" s="474"/>
      <c r="AH108" s="474"/>
      <c r="AI108" s="474"/>
      <c r="AJ108" s="474"/>
      <c r="AK108" s="474"/>
      <c r="AL108" s="474"/>
      <c r="AM108" s="475"/>
      <c r="AN108" s="473"/>
      <c r="AO108" s="474"/>
      <c r="AP108" s="474"/>
      <c r="AQ108" s="474"/>
      <c r="AR108" s="474"/>
      <c r="AS108" s="474"/>
      <c r="AT108" s="474"/>
      <c r="AU108" s="474"/>
      <c r="AV108" s="474"/>
      <c r="AW108" s="475"/>
      <c r="AX108" s="473"/>
      <c r="AY108" s="474"/>
      <c r="AZ108" s="474"/>
      <c r="BA108" s="474"/>
      <c r="BB108" s="474"/>
      <c r="BC108" s="474"/>
      <c r="BD108" s="474"/>
      <c r="BE108" s="474"/>
      <c r="BF108" s="474"/>
      <c r="BG108" s="475"/>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row>
    <row r="109" spans="1:100" x14ac:dyDescent="0.35">
      <c r="A109" s="56"/>
      <c r="B109" s="56"/>
      <c r="C109" s="56"/>
      <c r="D109" s="56"/>
      <c r="E109" s="56"/>
      <c r="F109" s="56"/>
      <c r="G109" s="56"/>
      <c r="H109" s="56"/>
      <c r="I109" s="56"/>
      <c r="J109" s="473"/>
      <c r="K109" s="474"/>
      <c r="L109" s="474"/>
      <c r="M109" s="474"/>
      <c r="N109" s="474"/>
      <c r="O109" s="474"/>
      <c r="P109" s="474"/>
      <c r="Q109" s="474"/>
      <c r="R109" s="474"/>
      <c r="S109" s="475"/>
      <c r="T109" s="473"/>
      <c r="U109" s="474"/>
      <c r="V109" s="474"/>
      <c r="W109" s="474"/>
      <c r="X109" s="474"/>
      <c r="Y109" s="474"/>
      <c r="Z109" s="474"/>
      <c r="AA109" s="474"/>
      <c r="AB109" s="474"/>
      <c r="AC109" s="475"/>
      <c r="AD109" s="473"/>
      <c r="AE109" s="474"/>
      <c r="AF109" s="474"/>
      <c r="AG109" s="474"/>
      <c r="AH109" s="474"/>
      <c r="AI109" s="474"/>
      <c r="AJ109" s="474"/>
      <c r="AK109" s="474"/>
      <c r="AL109" s="474"/>
      <c r="AM109" s="475"/>
      <c r="AN109" s="473"/>
      <c r="AO109" s="474"/>
      <c r="AP109" s="474"/>
      <c r="AQ109" s="474"/>
      <c r="AR109" s="474"/>
      <c r="AS109" s="474"/>
      <c r="AT109" s="474"/>
      <c r="AU109" s="474"/>
      <c r="AV109" s="474"/>
      <c r="AW109" s="475"/>
      <c r="AX109" s="473"/>
      <c r="AY109" s="474"/>
      <c r="AZ109" s="474"/>
      <c r="BA109" s="474"/>
      <c r="BB109" s="474"/>
      <c r="BC109" s="474"/>
      <c r="BD109" s="474"/>
      <c r="BE109" s="474"/>
      <c r="BF109" s="474"/>
      <c r="BG109" s="475"/>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row>
    <row r="110" spans="1:100" x14ac:dyDescent="0.35">
      <c r="A110" s="56"/>
      <c r="B110" s="56"/>
      <c r="C110" s="56"/>
      <c r="D110" s="56"/>
      <c r="E110" s="56"/>
      <c r="F110" s="56"/>
      <c r="G110" s="56"/>
      <c r="H110" s="56"/>
      <c r="I110" s="56"/>
      <c r="J110" s="473"/>
      <c r="K110" s="474"/>
      <c r="L110" s="474"/>
      <c r="M110" s="474"/>
      <c r="N110" s="474"/>
      <c r="O110" s="474"/>
      <c r="P110" s="474"/>
      <c r="Q110" s="474"/>
      <c r="R110" s="474"/>
      <c r="S110" s="475"/>
      <c r="T110" s="473"/>
      <c r="U110" s="474"/>
      <c r="V110" s="474"/>
      <c r="W110" s="474"/>
      <c r="X110" s="474"/>
      <c r="Y110" s="474"/>
      <c r="Z110" s="474"/>
      <c r="AA110" s="474"/>
      <c r="AB110" s="474"/>
      <c r="AC110" s="475"/>
      <c r="AD110" s="473"/>
      <c r="AE110" s="474"/>
      <c r="AF110" s="474"/>
      <c r="AG110" s="474"/>
      <c r="AH110" s="474"/>
      <c r="AI110" s="474"/>
      <c r="AJ110" s="474"/>
      <c r="AK110" s="474"/>
      <c r="AL110" s="474"/>
      <c r="AM110" s="475"/>
      <c r="AN110" s="473"/>
      <c r="AO110" s="474"/>
      <c r="AP110" s="474"/>
      <c r="AQ110" s="474"/>
      <c r="AR110" s="474"/>
      <c r="AS110" s="474"/>
      <c r="AT110" s="474"/>
      <c r="AU110" s="474"/>
      <c r="AV110" s="474"/>
      <c r="AW110" s="475"/>
      <c r="AX110" s="473"/>
      <c r="AY110" s="474"/>
      <c r="AZ110" s="474"/>
      <c r="BA110" s="474"/>
      <c r="BB110" s="474"/>
      <c r="BC110" s="474"/>
      <c r="BD110" s="474"/>
      <c r="BE110" s="474"/>
      <c r="BF110" s="474"/>
      <c r="BG110" s="475"/>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row>
    <row r="111" spans="1:100" ht="15" thickBot="1" x14ac:dyDescent="0.4">
      <c r="A111" s="56"/>
      <c r="B111" s="56"/>
      <c r="C111" s="56"/>
      <c r="D111" s="56"/>
      <c r="E111" s="56"/>
      <c r="F111" s="56"/>
      <c r="G111" s="56"/>
      <c r="H111" s="56"/>
      <c r="I111" s="56"/>
      <c r="J111" s="476"/>
      <c r="K111" s="477"/>
      <c r="L111" s="477"/>
      <c r="M111" s="477"/>
      <c r="N111" s="477"/>
      <c r="O111" s="477"/>
      <c r="P111" s="477"/>
      <c r="Q111" s="477"/>
      <c r="R111" s="477"/>
      <c r="S111" s="478"/>
      <c r="T111" s="476"/>
      <c r="U111" s="477"/>
      <c r="V111" s="477"/>
      <c r="W111" s="477"/>
      <c r="X111" s="477"/>
      <c r="Y111" s="477"/>
      <c r="Z111" s="477"/>
      <c r="AA111" s="477"/>
      <c r="AB111" s="477"/>
      <c r="AC111" s="478"/>
      <c r="AD111" s="476"/>
      <c r="AE111" s="477"/>
      <c r="AF111" s="477"/>
      <c r="AG111" s="477"/>
      <c r="AH111" s="477"/>
      <c r="AI111" s="477"/>
      <c r="AJ111" s="477"/>
      <c r="AK111" s="477"/>
      <c r="AL111" s="477"/>
      <c r="AM111" s="478"/>
      <c r="AN111" s="476"/>
      <c r="AO111" s="477"/>
      <c r="AP111" s="477"/>
      <c r="AQ111" s="477"/>
      <c r="AR111" s="477"/>
      <c r="AS111" s="477"/>
      <c r="AT111" s="477"/>
      <c r="AU111" s="477"/>
      <c r="AV111" s="477"/>
      <c r="AW111" s="478"/>
      <c r="AX111" s="476"/>
      <c r="AY111" s="477"/>
      <c r="AZ111" s="477"/>
      <c r="BA111" s="477"/>
      <c r="BB111" s="477"/>
      <c r="BC111" s="477"/>
      <c r="BD111" s="477"/>
      <c r="BE111" s="477"/>
      <c r="BF111" s="477"/>
      <c r="BG111" s="478"/>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row>
    <row r="112" spans="1:100" x14ac:dyDescent="0.3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row>
    <row r="113" spans="1:100" ht="15" customHeight="1" x14ac:dyDescent="0.35">
      <c r="A113" s="56"/>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row>
    <row r="114" spans="1:100" ht="15" customHeight="1" x14ac:dyDescent="0.35">
      <c r="A114" s="56"/>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row>
    <row r="115" spans="1:100" x14ac:dyDescent="0.3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0" x14ac:dyDescent="0.3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0" x14ac:dyDescent="0.3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row>
    <row r="118" spans="1:100" x14ac:dyDescent="0.3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row>
    <row r="119" spans="1:100" x14ac:dyDescent="0.3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row>
    <row r="120" spans="1:100" x14ac:dyDescent="0.3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row>
    <row r="121" spans="1:100" ht="21" x14ac:dyDescent="0.3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60"/>
      <c r="BJ121" s="60"/>
      <c r="BK121" s="60"/>
      <c r="BL121" s="60"/>
      <c r="BM121" s="60"/>
      <c r="BN121" s="60"/>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row>
    <row r="122" spans="1:100" ht="21" x14ac:dyDescent="0.3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60"/>
      <c r="BJ122" s="60"/>
      <c r="BK122" s="60"/>
      <c r="BL122" s="60"/>
      <c r="BM122" s="60"/>
      <c r="BN122" s="60"/>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row>
    <row r="123" spans="1:100" x14ac:dyDescent="0.3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row>
    <row r="124" spans="1:100" x14ac:dyDescent="0.3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row>
    <row r="125" spans="1:100" x14ac:dyDescent="0.3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row>
    <row r="126" spans="1:100" x14ac:dyDescent="0.3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row>
    <row r="127" spans="1:100" x14ac:dyDescent="0.3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row>
    <row r="128" spans="1:100"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row>
    <row r="129" spans="1:100" x14ac:dyDescent="0.3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row>
    <row r="130" spans="1:100" x14ac:dyDescent="0.3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0" x14ac:dyDescent="0.3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0" x14ac:dyDescent="0.3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row>
    <row r="133" spans="1:100"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row>
    <row r="134" spans="1:100" x14ac:dyDescent="0.3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row>
    <row r="135" spans="1:100" x14ac:dyDescent="0.3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x14ac:dyDescent="0.3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row>
    <row r="137" spans="1:100" x14ac:dyDescent="0.3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row>
    <row r="138" spans="1:100" x14ac:dyDescent="0.3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row>
    <row r="139" spans="1:100" x14ac:dyDescent="0.3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row>
    <row r="140" spans="1:100" x14ac:dyDescent="0.3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row>
    <row r="141" spans="1:100" x14ac:dyDescent="0.3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row>
    <row r="142" spans="1:100" x14ac:dyDescent="0.3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row>
    <row r="143" spans="1:100" x14ac:dyDescent="0.3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row>
    <row r="144" spans="1:100" x14ac:dyDescent="0.3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row>
    <row r="145" spans="1:83" x14ac:dyDescent="0.3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row>
    <row r="146" spans="1:83" x14ac:dyDescent="0.3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row>
    <row r="147" spans="1:83" x14ac:dyDescent="0.3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row>
    <row r="148" spans="1:83" x14ac:dyDescent="0.3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row>
    <row r="149" spans="1:83" x14ac:dyDescent="0.3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row>
    <row r="150" spans="1:83" x14ac:dyDescent="0.3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row>
    <row r="151" spans="1:83" x14ac:dyDescent="0.3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row>
    <row r="152" spans="1:83" x14ac:dyDescent="0.3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row>
    <row r="153" spans="1:83" x14ac:dyDescent="0.3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row>
    <row r="154" spans="1:83" x14ac:dyDescent="0.3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row>
    <row r="155" spans="1:83" x14ac:dyDescent="0.3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row>
    <row r="156" spans="1:83" x14ac:dyDescent="0.3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row>
    <row r="157" spans="1:83" x14ac:dyDescent="0.3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row>
    <row r="158" spans="1:83" x14ac:dyDescent="0.3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row>
    <row r="159" spans="1:83" x14ac:dyDescent="0.3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row>
    <row r="160" spans="1:83" x14ac:dyDescent="0.3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row>
    <row r="161" spans="1:83" x14ac:dyDescent="0.3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row>
    <row r="162" spans="1:83" x14ac:dyDescent="0.3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row>
    <row r="163" spans="1:83" x14ac:dyDescent="0.3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row>
    <row r="164" spans="1:83" x14ac:dyDescent="0.3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row>
    <row r="165" spans="1:83" x14ac:dyDescent="0.3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row>
    <row r="166" spans="1:83" x14ac:dyDescent="0.3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row>
    <row r="167" spans="1:83" x14ac:dyDescent="0.3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row>
    <row r="168" spans="1:83" x14ac:dyDescent="0.3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row>
    <row r="169" spans="1:83" x14ac:dyDescent="0.3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row>
    <row r="170" spans="1:83" x14ac:dyDescent="0.3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row>
    <row r="171" spans="1:83" x14ac:dyDescent="0.3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row>
    <row r="172" spans="1:83" x14ac:dyDescent="0.3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row>
    <row r="173" spans="1:83" x14ac:dyDescent="0.3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row>
    <row r="174" spans="1:83" x14ac:dyDescent="0.3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row>
    <row r="175" spans="1:83" x14ac:dyDescent="0.3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row>
    <row r="176" spans="1:83" x14ac:dyDescent="0.3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row>
    <row r="177" spans="1:83" x14ac:dyDescent="0.3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row>
    <row r="178" spans="1:83" x14ac:dyDescent="0.3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row>
    <row r="179" spans="1:83" x14ac:dyDescent="0.3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row>
    <row r="180" spans="1:83" x14ac:dyDescent="0.3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row>
    <row r="181" spans="1:83" x14ac:dyDescent="0.3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row>
    <row r="182" spans="1:83" x14ac:dyDescent="0.3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row>
    <row r="183" spans="1:83" x14ac:dyDescent="0.3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row>
    <row r="184" spans="1:83" x14ac:dyDescent="0.3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row>
    <row r="185" spans="1:83" x14ac:dyDescent="0.3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row>
    <row r="186" spans="1:83" x14ac:dyDescent="0.3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row>
    <row r="187" spans="1:83" x14ac:dyDescent="0.3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row>
    <row r="188" spans="1:83" x14ac:dyDescent="0.3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row>
    <row r="189" spans="1:83" x14ac:dyDescent="0.3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row>
    <row r="190" spans="1:83" x14ac:dyDescent="0.3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row>
    <row r="191" spans="1:83" x14ac:dyDescent="0.3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row>
    <row r="192" spans="1:83" x14ac:dyDescent="0.3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row>
    <row r="193" spans="2:83" x14ac:dyDescent="0.3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row>
    <row r="194" spans="2:83" x14ac:dyDescent="0.3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row>
    <row r="195" spans="2:83" x14ac:dyDescent="0.3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row>
    <row r="196" spans="2:83" x14ac:dyDescent="0.3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row>
    <row r="197" spans="2:83" x14ac:dyDescent="0.35">
      <c r="B197" s="56"/>
      <c r="C197" s="56"/>
      <c r="D197" s="56"/>
      <c r="E197" s="56"/>
      <c r="F197" s="56"/>
      <c r="G197" s="56"/>
      <c r="H197" s="56"/>
      <c r="I197" s="56"/>
      <c r="BI197" s="56"/>
      <c r="BJ197" s="56"/>
      <c r="BK197" s="56"/>
      <c r="BL197" s="56"/>
      <c r="BM197" s="56"/>
      <c r="BN197" s="56"/>
    </row>
    <row r="198" spans="2:83" x14ac:dyDescent="0.35">
      <c r="B198" s="56"/>
      <c r="C198" s="56"/>
      <c r="D198" s="56"/>
      <c r="E198" s="56"/>
      <c r="F198" s="56"/>
      <c r="G198" s="56"/>
      <c r="H198" s="56"/>
      <c r="I198" s="56"/>
      <c r="BI198" s="56"/>
      <c r="BJ198" s="56"/>
      <c r="BK198" s="56"/>
      <c r="BL198" s="56"/>
      <c r="BM198" s="56"/>
      <c r="BN198" s="56"/>
    </row>
    <row r="199" spans="2:83" x14ac:dyDescent="0.35">
      <c r="B199" s="56"/>
      <c r="C199" s="56"/>
      <c r="D199" s="56"/>
      <c r="E199" s="56"/>
      <c r="F199" s="56"/>
      <c r="G199" s="56"/>
      <c r="H199" s="56"/>
      <c r="I199" s="56"/>
      <c r="BI199" s="56"/>
      <c r="BJ199" s="56"/>
      <c r="BK199" s="56"/>
      <c r="BL199" s="56"/>
      <c r="BM199" s="56"/>
      <c r="BN199" s="56"/>
    </row>
    <row r="200" spans="2:83" x14ac:dyDescent="0.35">
      <c r="B200" s="56"/>
      <c r="C200" s="56"/>
      <c r="D200" s="56"/>
      <c r="E200" s="56"/>
      <c r="F200" s="56"/>
      <c r="G200" s="56"/>
      <c r="H200" s="56"/>
      <c r="I200" s="56"/>
      <c r="BI200" s="56"/>
      <c r="BJ200" s="56"/>
      <c r="BK200" s="56"/>
      <c r="BL200" s="56"/>
      <c r="BM200" s="56"/>
      <c r="BN200" s="56"/>
    </row>
    <row r="201" spans="2:83" x14ac:dyDescent="0.35">
      <c r="BI201" s="56"/>
      <c r="BJ201" s="56"/>
      <c r="BK201" s="56"/>
      <c r="BL201" s="56"/>
      <c r="BM201" s="56"/>
      <c r="BN201" s="56"/>
    </row>
    <row r="202" spans="2:83" x14ac:dyDescent="0.35">
      <c r="BI202" s="56"/>
      <c r="BJ202" s="56"/>
      <c r="BK202" s="56"/>
      <c r="BL202" s="56"/>
      <c r="BM202" s="56"/>
      <c r="BN202" s="56"/>
    </row>
    <row r="203" spans="2:83" x14ac:dyDescent="0.35">
      <c r="BI203" s="56"/>
      <c r="BJ203" s="56"/>
      <c r="BK203" s="56"/>
      <c r="BL203" s="56"/>
      <c r="BM203" s="56"/>
      <c r="BN203" s="56"/>
    </row>
    <row r="204" spans="2:83" x14ac:dyDescent="0.35">
      <c r="BI204" s="56"/>
      <c r="BJ204" s="56"/>
      <c r="BK204" s="56"/>
      <c r="BL204" s="56"/>
      <c r="BM204" s="56"/>
      <c r="BN204" s="56"/>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56"/>
      <c r="B1" s="543" t="s">
        <v>49</v>
      </c>
      <c r="C1" s="543"/>
      <c r="D1" s="543"/>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3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 x14ac:dyDescent="0.35">
      <c r="A3" s="56"/>
      <c r="B3" s="7"/>
      <c r="C3" s="8" t="s">
        <v>46</v>
      </c>
      <c r="D3" s="8" t="s">
        <v>4</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0" x14ac:dyDescent="0.35">
      <c r="A4" s="56"/>
      <c r="B4" s="9" t="s">
        <v>45</v>
      </c>
      <c r="C4" s="10" t="s">
        <v>93</v>
      </c>
      <c r="D4" s="11">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0" x14ac:dyDescent="0.35">
      <c r="A5" s="56"/>
      <c r="B5" s="12" t="s">
        <v>47</v>
      </c>
      <c r="C5" s="13" t="s">
        <v>94</v>
      </c>
      <c r="D5" s="14">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0" x14ac:dyDescent="0.35">
      <c r="A6" s="56"/>
      <c r="B6" s="15" t="s">
        <v>98</v>
      </c>
      <c r="C6" s="13" t="s">
        <v>95</v>
      </c>
      <c r="D6" s="14">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5" x14ac:dyDescent="0.35">
      <c r="A7" s="56"/>
      <c r="B7" s="16" t="s">
        <v>6</v>
      </c>
      <c r="C7" s="13" t="s">
        <v>96</v>
      </c>
      <c r="D7" s="14">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0" x14ac:dyDescent="0.35">
      <c r="A8" s="56"/>
      <c r="B8" s="17" t="s">
        <v>48</v>
      </c>
      <c r="C8" s="13" t="s">
        <v>97</v>
      </c>
      <c r="D8" s="14">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35">
      <c r="A9" s="56"/>
      <c r="B9" s="80"/>
      <c r="C9" s="80"/>
      <c r="D9" s="8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35">
      <c r="A10" s="56"/>
      <c r="B10" s="81"/>
      <c r="C10" s="80"/>
      <c r="D10" s="8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35">
      <c r="A11" s="56"/>
      <c r="B11" s="80"/>
      <c r="C11" s="80"/>
      <c r="D11" s="8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35">
      <c r="A12" s="56"/>
      <c r="B12" s="80"/>
      <c r="C12" s="80"/>
      <c r="D12" s="8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35">
      <c r="A13" s="56"/>
      <c r="B13" s="80"/>
      <c r="C13" s="80"/>
      <c r="D13" s="8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35">
      <c r="A14" s="56"/>
      <c r="B14" s="80"/>
      <c r="C14" s="80"/>
      <c r="D14" s="8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35">
      <c r="A15" s="56"/>
      <c r="B15" s="80"/>
      <c r="C15" s="80"/>
      <c r="D15" s="8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35">
      <c r="A16" s="56"/>
      <c r="B16" s="80"/>
      <c r="C16" s="80"/>
      <c r="D16" s="8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35">
      <c r="A17" s="56"/>
      <c r="B17" s="80"/>
      <c r="C17" s="80"/>
      <c r="D17" s="8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35">
      <c r="A18" s="56"/>
      <c r="B18" s="80"/>
      <c r="C18" s="80"/>
      <c r="D18" s="8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3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3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3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3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3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3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3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3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3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3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3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3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35">
      <c r="A35" s="56"/>
    </row>
    <row r="36" spans="1:31" x14ac:dyDescent="0.35">
      <c r="A36" s="56"/>
    </row>
    <row r="37" spans="1:31" x14ac:dyDescent="0.35">
      <c r="A37" s="56"/>
    </row>
    <row r="38" spans="1:31" x14ac:dyDescent="0.35">
      <c r="A38" s="56"/>
    </row>
    <row r="39" spans="1:31" x14ac:dyDescent="0.35">
      <c r="A39" s="56"/>
    </row>
    <row r="40" spans="1:31" x14ac:dyDescent="0.35">
      <c r="A40" s="56"/>
    </row>
    <row r="41" spans="1:31" x14ac:dyDescent="0.35">
      <c r="A41" s="56"/>
    </row>
    <row r="42" spans="1:31" x14ac:dyDescent="0.35">
      <c r="A42" s="56"/>
    </row>
    <row r="43" spans="1:31" x14ac:dyDescent="0.35">
      <c r="A43" s="56"/>
    </row>
    <row r="44" spans="1:31" x14ac:dyDescent="0.35">
      <c r="A44" s="56"/>
    </row>
    <row r="45" spans="1:31" x14ac:dyDescent="0.35">
      <c r="A45" s="56"/>
    </row>
    <row r="46" spans="1:31" x14ac:dyDescent="0.35">
      <c r="A46" s="56"/>
    </row>
    <row r="47" spans="1:31" x14ac:dyDescent="0.35">
      <c r="A47" s="56"/>
    </row>
    <row r="48" spans="1:31" x14ac:dyDescent="0.35">
      <c r="A48" s="56"/>
    </row>
    <row r="49" spans="1:1" x14ac:dyDescent="0.35">
      <c r="A49" s="56"/>
    </row>
    <row r="50" spans="1:1" x14ac:dyDescent="0.35">
      <c r="A50" s="56"/>
    </row>
    <row r="51" spans="1:1" x14ac:dyDescent="0.35">
      <c r="A51" s="56"/>
    </row>
    <row r="52" spans="1:1" x14ac:dyDescent="0.35">
      <c r="A52" s="56"/>
    </row>
    <row r="53" spans="1:1" x14ac:dyDescent="0.35">
      <c r="A53" s="56"/>
    </row>
    <row r="54" spans="1:1" x14ac:dyDescent="0.35">
      <c r="A54" s="56"/>
    </row>
    <row r="55" spans="1:1" x14ac:dyDescent="0.35">
      <c r="A55" s="5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2" zoomScale="60" zoomScaleNormal="60" workbookViewId="0">
      <selection activeCell="C217" sqref="C217"/>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56"/>
      <c r="B1" s="544" t="s">
        <v>57</v>
      </c>
      <c r="C1" s="544"/>
      <c r="D1" s="544"/>
      <c r="E1" s="56"/>
      <c r="F1" s="56"/>
      <c r="G1" s="56"/>
      <c r="H1" s="56"/>
      <c r="I1" s="56"/>
      <c r="J1" s="56"/>
      <c r="K1" s="56"/>
      <c r="L1" s="56"/>
      <c r="M1" s="56"/>
      <c r="N1" s="56"/>
      <c r="O1" s="56"/>
      <c r="P1" s="56"/>
      <c r="Q1" s="56"/>
      <c r="R1" s="56"/>
      <c r="S1" s="56"/>
      <c r="T1" s="56"/>
      <c r="U1" s="56"/>
    </row>
    <row r="2" spans="1:21" x14ac:dyDescent="0.35">
      <c r="A2" s="56"/>
      <c r="B2" s="56"/>
      <c r="C2" s="56"/>
      <c r="D2" s="56"/>
      <c r="E2" s="56"/>
      <c r="F2" s="56"/>
      <c r="G2" s="56"/>
      <c r="H2" s="56"/>
      <c r="I2" s="56"/>
      <c r="J2" s="56"/>
      <c r="K2" s="56"/>
      <c r="L2" s="56"/>
      <c r="M2" s="56"/>
      <c r="N2" s="56"/>
      <c r="O2" s="56"/>
      <c r="P2" s="56"/>
      <c r="Q2" s="56"/>
      <c r="R2" s="56"/>
      <c r="S2" s="56"/>
      <c r="T2" s="56"/>
      <c r="U2" s="56"/>
    </row>
    <row r="3" spans="1:21" ht="30.5" x14ac:dyDescent="0.35">
      <c r="A3" s="56"/>
      <c r="B3" s="77"/>
      <c r="C3" s="30" t="s">
        <v>50</v>
      </c>
      <c r="D3" s="30" t="s">
        <v>51</v>
      </c>
      <c r="E3" s="56"/>
      <c r="F3" s="56"/>
      <c r="G3" s="56"/>
      <c r="H3" s="56"/>
      <c r="I3" s="56"/>
      <c r="J3" s="56"/>
      <c r="K3" s="56"/>
      <c r="L3" s="56"/>
      <c r="M3" s="56"/>
      <c r="N3" s="56"/>
      <c r="O3" s="56"/>
      <c r="P3" s="56"/>
      <c r="Q3" s="56"/>
      <c r="R3" s="56"/>
      <c r="S3" s="56"/>
      <c r="T3" s="56"/>
      <c r="U3" s="56"/>
    </row>
    <row r="4" spans="1:21" ht="32.5" x14ac:dyDescent="0.35">
      <c r="A4" s="76" t="s">
        <v>77</v>
      </c>
      <c r="B4" s="33" t="s">
        <v>92</v>
      </c>
      <c r="C4" s="38" t="s">
        <v>132</v>
      </c>
      <c r="D4" s="31" t="s">
        <v>90</v>
      </c>
      <c r="E4" s="56"/>
      <c r="F4" s="56"/>
      <c r="G4" s="56"/>
      <c r="H4" s="56"/>
      <c r="I4" s="56"/>
      <c r="J4" s="56"/>
      <c r="K4" s="56"/>
      <c r="L4" s="56"/>
      <c r="M4" s="56"/>
      <c r="N4" s="56"/>
      <c r="O4" s="56"/>
      <c r="P4" s="56"/>
      <c r="Q4" s="56"/>
      <c r="R4" s="56"/>
      <c r="S4" s="56"/>
      <c r="T4" s="56"/>
      <c r="U4" s="56"/>
    </row>
    <row r="5" spans="1:21" ht="65" x14ac:dyDescent="0.35">
      <c r="A5" s="76" t="s">
        <v>78</v>
      </c>
      <c r="B5" s="34" t="s">
        <v>53</v>
      </c>
      <c r="C5" s="39" t="s">
        <v>86</v>
      </c>
      <c r="D5" s="32" t="s">
        <v>521</v>
      </c>
      <c r="E5" s="56"/>
      <c r="F5" s="56"/>
      <c r="G5" s="56"/>
      <c r="H5" s="56"/>
      <c r="I5" s="56"/>
      <c r="J5" s="56"/>
      <c r="K5" s="56"/>
      <c r="L5" s="56"/>
      <c r="M5" s="56"/>
      <c r="N5" s="56"/>
      <c r="O5" s="56"/>
      <c r="P5" s="56"/>
      <c r="Q5" s="56"/>
      <c r="R5" s="56"/>
      <c r="S5" s="56"/>
      <c r="T5" s="56"/>
      <c r="U5" s="56"/>
    </row>
    <row r="6" spans="1:21" ht="65" x14ac:dyDescent="0.35">
      <c r="A6" s="76" t="s">
        <v>75</v>
      </c>
      <c r="B6" s="35" t="s">
        <v>54</v>
      </c>
      <c r="C6" s="39" t="s">
        <v>87</v>
      </c>
      <c r="D6" s="32" t="s">
        <v>91</v>
      </c>
      <c r="E6" s="56"/>
      <c r="F6" s="56"/>
      <c r="G6" s="56"/>
      <c r="H6" s="56"/>
      <c r="I6" s="56"/>
      <c r="J6" s="56"/>
      <c r="K6" s="56"/>
      <c r="L6" s="56"/>
      <c r="M6" s="56"/>
      <c r="N6" s="56"/>
      <c r="O6" s="56"/>
      <c r="P6" s="56"/>
      <c r="Q6" s="56"/>
      <c r="R6" s="56"/>
      <c r="S6" s="56"/>
      <c r="T6" s="56"/>
      <c r="U6" s="56"/>
    </row>
    <row r="7" spans="1:21" ht="65" x14ac:dyDescent="0.35">
      <c r="A7" s="76" t="s">
        <v>7</v>
      </c>
      <c r="B7" s="36" t="s">
        <v>55</v>
      </c>
      <c r="C7" s="39" t="s">
        <v>88</v>
      </c>
      <c r="D7" s="32" t="s">
        <v>523</v>
      </c>
      <c r="E7" s="56"/>
      <c r="F7" s="56"/>
      <c r="G7" s="56"/>
      <c r="H7" s="56"/>
      <c r="I7" s="56"/>
      <c r="J7" s="56"/>
      <c r="K7" s="56"/>
      <c r="L7" s="56"/>
      <c r="M7" s="56"/>
      <c r="N7" s="56"/>
      <c r="O7" s="56"/>
      <c r="P7" s="56"/>
      <c r="Q7" s="56"/>
      <c r="R7" s="56"/>
      <c r="S7" s="56"/>
      <c r="T7" s="56"/>
      <c r="U7" s="56"/>
    </row>
    <row r="8" spans="1:21" ht="65" x14ac:dyDescent="0.35">
      <c r="A8" s="76" t="s">
        <v>79</v>
      </c>
      <c r="B8" s="37" t="s">
        <v>56</v>
      </c>
      <c r="C8" s="39" t="s">
        <v>89</v>
      </c>
      <c r="D8" s="32" t="s">
        <v>109</v>
      </c>
      <c r="E8" s="56"/>
      <c r="F8" s="56"/>
      <c r="G8" s="56"/>
      <c r="H8" s="56"/>
      <c r="I8" s="56"/>
      <c r="J8" s="56"/>
      <c r="K8" s="56"/>
      <c r="L8" s="56"/>
      <c r="M8" s="56"/>
      <c r="N8" s="56"/>
      <c r="O8" s="56"/>
      <c r="P8" s="56"/>
      <c r="Q8" s="56"/>
      <c r="R8" s="56"/>
      <c r="S8" s="56"/>
      <c r="T8" s="56"/>
      <c r="U8" s="56"/>
    </row>
    <row r="9" spans="1:21" ht="20" x14ac:dyDescent="0.35">
      <c r="A9" s="76"/>
      <c r="B9" s="76"/>
      <c r="C9" s="78"/>
      <c r="D9" s="78"/>
      <c r="E9" s="56"/>
      <c r="F9" s="56"/>
      <c r="G9" s="56"/>
      <c r="H9" s="56"/>
      <c r="I9" s="56"/>
      <c r="J9" s="56"/>
      <c r="K9" s="56"/>
      <c r="L9" s="56"/>
      <c r="M9" s="56"/>
      <c r="N9" s="56"/>
      <c r="O9" s="56"/>
      <c r="P9" s="56"/>
      <c r="Q9" s="56"/>
      <c r="R9" s="56"/>
      <c r="S9" s="56"/>
      <c r="T9" s="56"/>
      <c r="U9" s="56"/>
    </row>
    <row r="10" spans="1:21" x14ac:dyDescent="0.35">
      <c r="A10" s="76"/>
      <c r="B10" s="79"/>
      <c r="C10" s="79"/>
      <c r="D10" s="79"/>
      <c r="E10" s="56"/>
      <c r="F10" s="56"/>
      <c r="G10" s="56"/>
      <c r="H10" s="56"/>
      <c r="I10" s="56"/>
      <c r="J10" s="56"/>
      <c r="K10" s="56"/>
      <c r="L10" s="56"/>
      <c r="M10" s="56"/>
      <c r="N10" s="56"/>
      <c r="O10" s="56"/>
      <c r="P10" s="56"/>
      <c r="Q10" s="56"/>
      <c r="R10" s="56"/>
      <c r="S10" s="56"/>
      <c r="T10" s="56"/>
      <c r="U10" s="56"/>
    </row>
    <row r="11" spans="1:21" x14ac:dyDescent="0.35">
      <c r="A11" s="76"/>
      <c r="B11" s="76" t="s">
        <v>84</v>
      </c>
      <c r="C11" s="76" t="s">
        <v>513</v>
      </c>
      <c r="D11" s="76" t="s">
        <v>514</v>
      </c>
      <c r="E11" s="56"/>
      <c r="F11" s="56"/>
      <c r="G11" s="56"/>
      <c r="H11" s="56"/>
      <c r="I11" s="56"/>
      <c r="J11" s="56"/>
      <c r="K11" s="56"/>
      <c r="L11" s="56"/>
      <c r="M11" s="56"/>
      <c r="N11" s="56"/>
      <c r="O11" s="56"/>
      <c r="P11" s="56"/>
      <c r="Q11" s="56"/>
      <c r="R11" s="56"/>
      <c r="S11" s="56"/>
      <c r="T11" s="56"/>
      <c r="U11" s="56"/>
    </row>
    <row r="12" spans="1:21" x14ac:dyDescent="0.35">
      <c r="A12" s="76"/>
      <c r="B12" s="76" t="s">
        <v>82</v>
      </c>
      <c r="C12" s="76" t="s">
        <v>515</v>
      </c>
      <c r="D12" s="76" t="s">
        <v>522</v>
      </c>
      <c r="E12" s="56"/>
      <c r="F12" s="56"/>
      <c r="G12" s="56"/>
      <c r="H12" s="56"/>
      <c r="I12" s="56"/>
      <c r="J12" s="56"/>
      <c r="K12" s="56"/>
      <c r="L12" s="56"/>
      <c r="M12" s="56"/>
      <c r="N12" s="56"/>
      <c r="O12" s="56"/>
      <c r="P12" s="56"/>
      <c r="Q12" s="56"/>
      <c r="R12" s="56"/>
      <c r="S12" s="56"/>
      <c r="T12" s="56"/>
      <c r="U12" s="56"/>
    </row>
    <row r="13" spans="1:21" x14ac:dyDescent="0.35">
      <c r="A13" s="76"/>
      <c r="B13" s="76"/>
      <c r="C13" s="76" t="s">
        <v>516</v>
      </c>
      <c r="D13" s="76" t="s">
        <v>517</v>
      </c>
      <c r="E13" s="56"/>
      <c r="F13" s="56"/>
      <c r="G13" s="56"/>
      <c r="H13" s="56"/>
      <c r="I13" s="56"/>
      <c r="J13" s="56"/>
      <c r="K13" s="56"/>
      <c r="L13" s="56"/>
      <c r="M13" s="56"/>
      <c r="N13" s="56"/>
      <c r="O13" s="56"/>
      <c r="P13" s="56"/>
      <c r="Q13" s="56"/>
      <c r="R13" s="56"/>
      <c r="S13" s="56"/>
      <c r="T13" s="56"/>
      <c r="U13" s="56"/>
    </row>
    <row r="14" spans="1:21" x14ac:dyDescent="0.35">
      <c r="A14" s="76"/>
      <c r="B14" s="76"/>
      <c r="C14" s="76" t="s">
        <v>518</v>
      </c>
      <c r="D14" s="76" t="s">
        <v>524</v>
      </c>
      <c r="E14" s="56"/>
      <c r="F14" s="56"/>
      <c r="G14" s="56"/>
      <c r="H14" s="56"/>
      <c r="I14" s="56"/>
      <c r="J14" s="56"/>
      <c r="K14" s="56"/>
      <c r="L14" s="56"/>
      <c r="M14" s="56"/>
      <c r="N14" s="56"/>
      <c r="O14" s="56"/>
      <c r="P14" s="56"/>
      <c r="Q14" s="56"/>
      <c r="R14" s="56"/>
      <c r="S14" s="56"/>
      <c r="T14" s="56"/>
      <c r="U14" s="56"/>
    </row>
    <row r="15" spans="1:21" x14ac:dyDescent="0.35">
      <c r="A15" s="76"/>
      <c r="B15" s="76"/>
      <c r="C15" s="76" t="s">
        <v>519</v>
      </c>
      <c r="D15" s="76" t="s">
        <v>520</v>
      </c>
      <c r="E15" s="56"/>
      <c r="F15" s="56"/>
      <c r="G15" s="56"/>
      <c r="H15" s="56"/>
      <c r="I15" s="56"/>
      <c r="J15" s="56"/>
      <c r="K15" s="56"/>
      <c r="L15" s="56"/>
      <c r="M15" s="56"/>
      <c r="N15" s="56"/>
      <c r="O15" s="56"/>
      <c r="P15" s="56"/>
      <c r="Q15" s="56"/>
      <c r="R15" s="56"/>
      <c r="S15" s="56"/>
      <c r="T15" s="56"/>
      <c r="U15" s="56"/>
    </row>
    <row r="16" spans="1:21" x14ac:dyDescent="0.35">
      <c r="A16" s="76"/>
      <c r="B16" s="76"/>
      <c r="C16" s="76"/>
      <c r="D16" s="76"/>
      <c r="E16" s="56"/>
      <c r="F16" s="56"/>
      <c r="G16" s="56"/>
      <c r="H16" s="56"/>
      <c r="I16" s="56"/>
      <c r="J16" s="56"/>
      <c r="K16" s="56"/>
      <c r="L16" s="56"/>
      <c r="M16" s="56"/>
      <c r="N16" s="56"/>
      <c r="O16" s="56"/>
    </row>
    <row r="17" spans="1:15" x14ac:dyDescent="0.35">
      <c r="A17" s="76"/>
      <c r="B17" s="76"/>
      <c r="C17" s="76"/>
      <c r="D17" s="76"/>
      <c r="E17" s="56"/>
      <c r="F17" s="56"/>
      <c r="G17" s="56"/>
      <c r="H17" s="56"/>
      <c r="I17" s="56"/>
      <c r="J17" s="56"/>
      <c r="K17" s="56"/>
      <c r="L17" s="56"/>
      <c r="M17" s="56"/>
      <c r="N17" s="56"/>
      <c r="O17" s="56"/>
    </row>
    <row r="18" spans="1:15" x14ac:dyDescent="0.35">
      <c r="A18" s="76"/>
      <c r="B18" s="80"/>
      <c r="C18" s="80"/>
      <c r="D18" s="80"/>
      <c r="E18" s="56"/>
      <c r="F18" s="56"/>
      <c r="G18" s="56"/>
      <c r="H18" s="56"/>
      <c r="I18" s="56"/>
      <c r="J18" s="56"/>
      <c r="K18" s="56"/>
      <c r="L18" s="56"/>
      <c r="M18" s="56"/>
      <c r="N18" s="56"/>
      <c r="O18" s="56"/>
    </row>
    <row r="19" spans="1:15" x14ac:dyDescent="0.35">
      <c r="A19" s="76"/>
      <c r="B19" s="80"/>
      <c r="C19" s="80"/>
      <c r="D19" s="80"/>
      <c r="E19" s="56"/>
      <c r="F19" s="56"/>
      <c r="G19" s="56"/>
      <c r="H19" s="56"/>
      <c r="I19" s="56"/>
      <c r="J19" s="56"/>
      <c r="K19" s="56"/>
      <c r="L19" s="56"/>
      <c r="M19" s="56"/>
      <c r="N19" s="56"/>
      <c r="O19" s="56"/>
    </row>
    <row r="20" spans="1:15" x14ac:dyDescent="0.35">
      <c r="A20" s="76"/>
      <c r="B20" s="80"/>
      <c r="C20" s="80"/>
      <c r="D20" s="80"/>
      <c r="E20" s="56"/>
      <c r="F20" s="56"/>
      <c r="G20" s="56"/>
      <c r="H20" s="56"/>
      <c r="I20" s="56"/>
      <c r="J20" s="56"/>
      <c r="K20" s="56"/>
      <c r="L20" s="56"/>
      <c r="M20" s="56"/>
      <c r="N20" s="56"/>
      <c r="O20" s="56"/>
    </row>
    <row r="21" spans="1:15" x14ac:dyDescent="0.35">
      <c r="A21" s="76"/>
      <c r="B21" s="80"/>
      <c r="C21" s="80"/>
      <c r="D21" s="80"/>
      <c r="E21" s="56"/>
      <c r="F21" s="56"/>
      <c r="G21" s="56"/>
      <c r="H21" s="56"/>
      <c r="I21" s="56"/>
      <c r="J21" s="56"/>
      <c r="K21" s="56"/>
      <c r="L21" s="56"/>
      <c r="M21" s="56"/>
      <c r="N21" s="56"/>
      <c r="O21" s="56"/>
    </row>
    <row r="22" spans="1:15" ht="20" x14ac:dyDescent="0.35">
      <c r="A22" s="76"/>
      <c r="B22" s="76"/>
      <c r="C22" s="78"/>
      <c r="D22" s="78"/>
      <c r="E22" s="56"/>
      <c r="F22" s="56"/>
      <c r="G22" s="56"/>
      <c r="H22" s="56"/>
      <c r="I22" s="56"/>
      <c r="J22" s="56"/>
      <c r="K22" s="56"/>
      <c r="L22" s="56"/>
      <c r="M22" s="56"/>
      <c r="N22" s="56"/>
      <c r="O22" s="56"/>
    </row>
    <row r="23" spans="1:15" ht="20" x14ac:dyDescent="0.35">
      <c r="A23" s="76"/>
      <c r="B23" s="76"/>
      <c r="C23" s="78"/>
      <c r="D23" s="78"/>
      <c r="E23" s="56"/>
      <c r="F23" s="56"/>
      <c r="G23" s="56"/>
      <c r="H23" s="56"/>
      <c r="I23" s="56"/>
      <c r="J23" s="56"/>
      <c r="K23" s="56"/>
      <c r="L23" s="56"/>
      <c r="M23" s="56"/>
      <c r="N23" s="56"/>
      <c r="O23" s="56"/>
    </row>
    <row r="24" spans="1:15" ht="20" x14ac:dyDescent="0.35">
      <c r="A24" s="76"/>
      <c r="B24" s="76"/>
      <c r="C24" s="78"/>
      <c r="D24" s="78"/>
      <c r="E24" s="56"/>
      <c r="F24" s="56"/>
      <c r="G24" s="56"/>
      <c r="H24" s="56"/>
      <c r="I24" s="56"/>
      <c r="J24" s="56"/>
      <c r="K24" s="56"/>
      <c r="L24" s="56"/>
      <c r="M24" s="56"/>
      <c r="N24" s="56"/>
      <c r="O24" s="56"/>
    </row>
    <row r="25" spans="1:15" ht="20" x14ac:dyDescent="0.35">
      <c r="A25" s="76"/>
      <c r="B25" s="76"/>
      <c r="C25" s="78"/>
      <c r="D25" s="78"/>
      <c r="E25" s="56"/>
      <c r="F25" s="56"/>
      <c r="G25" s="56"/>
      <c r="H25" s="56"/>
      <c r="I25" s="56"/>
      <c r="J25" s="56"/>
      <c r="K25" s="56"/>
      <c r="L25" s="56"/>
      <c r="M25" s="56"/>
      <c r="N25" s="56"/>
      <c r="O25" s="56"/>
    </row>
    <row r="26" spans="1:15" ht="20" x14ac:dyDescent="0.35">
      <c r="A26" s="76"/>
      <c r="B26" s="76"/>
      <c r="C26" s="78"/>
      <c r="D26" s="78"/>
      <c r="E26" s="56"/>
      <c r="F26" s="56"/>
      <c r="G26" s="56"/>
      <c r="H26" s="56"/>
      <c r="I26" s="56"/>
      <c r="J26" s="56"/>
      <c r="K26" s="56"/>
      <c r="L26" s="56"/>
      <c r="M26" s="56"/>
      <c r="N26" s="56"/>
      <c r="O26" s="56"/>
    </row>
    <row r="27" spans="1:15" ht="20" x14ac:dyDescent="0.35">
      <c r="A27" s="76"/>
      <c r="B27" s="76"/>
      <c r="C27" s="78"/>
      <c r="D27" s="78"/>
      <c r="E27" s="56"/>
      <c r="F27" s="56"/>
      <c r="G27" s="56"/>
      <c r="H27" s="56"/>
      <c r="I27" s="56"/>
      <c r="J27" s="56"/>
      <c r="K27" s="56"/>
      <c r="L27" s="56"/>
      <c r="M27" s="56"/>
      <c r="N27" s="56"/>
      <c r="O27" s="56"/>
    </row>
    <row r="28" spans="1:15" ht="20" x14ac:dyDescent="0.35">
      <c r="A28" s="76"/>
      <c r="B28" s="76"/>
      <c r="C28" s="78"/>
      <c r="D28" s="78"/>
      <c r="E28" s="56"/>
      <c r="F28" s="56"/>
      <c r="G28" s="56"/>
      <c r="H28" s="56"/>
      <c r="I28" s="56"/>
      <c r="J28" s="56"/>
      <c r="K28" s="56"/>
      <c r="L28" s="56"/>
      <c r="M28" s="56"/>
      <c r="N28" s="56"/>
      <c r="O28" s="56"/>
    </row>
    <row r="29" spans="1:15" ht="20" x14ac:dyDescent="0.35">
      <c r="A29" s="76"/>
      <c r="B29" s="76"/>
      <c r="C29" s="78"/>
      <c r="D29" s="78"/>
      <c r="E29" s="56"/>
      <c r="F29" s="56"/>
      <c r="G29" s="56"/>
      <c r="H29" s="56"/>
      <c r="I29" s="56"/>
      <c r="J29" s="56"/>
      <c r="K29" s="56"/>
      <c r="L29" s="56"/>
      <c r="M29" s="56"/>
      <c r="N29" s="56"/>
      <c r="O29" s="56"/>
    </row>
    <row r="30" spans="1:15" ht="20" x14ac:dyDescent="0.35">
      <c r="A30" s="76"/>
      <c r="B30" s="76"/>
      <c r="C30" s="78"/>
      <c r="D30" s="78"/>
      <c r="E30" s="56"/>
      <c r="F30" s="56"/>
      <c r="G30" s="56"/>
      <c r="H30" s="56"/>
      <c r="I30" s="56"/>
      <c r="J30" s="56"/>
      <c r="K30" s="56"/>
      <c r="L30" s="56"/>
      <c r="M30" s="56"/>
      <c r="N30" s="56"/>
      <c r="O30" s="56"/>
    </row>
    <row r="31" spans="1:15" ht="20" x14ac:dyDescent="0.35">
      <c r="A31" s="76"/>
      <c r="B31" s="76"/>
      <c r="C31" s="78"/>
      <c r="D31" s="78"/>
      <c r="E31" s="56"/>
      <c r="F31" s="56"/>
      <c r="G31" s="56"/>
      <c r="H31" s="56"/>
      <c r="I31" s="56"/>
      <c r="J31" s="56"/>
      <c r="K31" s="56"/>
      <c r="L31" s="56"/>
      <c r="M31" s="56"/>
      <c r="N31" s="56"/>
      <c r="O31" s="56"/>
    </row>
    <row r="32" spans="1:15" ht="20" x14ac:dyDescent="0.35">
      <c r="A32" s="76"/>
      <c r="B32" s="76"/>
      <c r="C32" s="78"/>
      <c r="D32" s="78"/>
      <c r="E32" s="56"/>
      <c r="F32" s="56"/>
      <c r="G32" s="56"/>
      <c r="H32" s="56"/>
      <c r="I32" s="56"/>
      <c r="J32" s="56"/>
      <c r="K32" s="56"/>
      <c r="L32" s="56"/>
      <c r="M32" s="56"/>
      <c r="N32" s="56"/>
      <c r="O32" s="56"/>
    </row>
    <row r="33" spans="1:15" ht="20" x14ac:dyDescent="0.35">
      <c r="A33" s="76"/>
      <c r="B33" s="76"/>
      <c r="C33" s="78"/>
      <c r="D33" s="78"/>
      <c r="E33" s="56"/>
      <c r="F33" s="56"/>
      <c r="G33" s="56"/>
      <c r="H33" s="56"/>
      <c r="I33" s="56"/>
      <c r="J33" s="56"/>
      <c r="K33" s="56"/>
      <c r="L33" s="56"/>
      <c r="M33" s="56"/>
      <c r="N33" s="56"/>
      <c r="O33" s="56"/>
    </row>
    <row r="34" spans="1:15" ht="20" x14ac:dyDescent="0.35">
      <c r="A34" s="76"/>
      <c r="B34" s="76"/>
      <c r="C34" s="78"/>
      <c r="D34" s="78"/>
      <c r="E34" s="56"/>
      <c r="F34" s="56"/>
      <c r="G34" s="56"/>
      <c r="H34" s="56"/>
      <c r="I34" s="56"/>
      <c r="J34" s="56"/>
      <c r="K34" s="56"/>
      <c r="L34" s="56"/>
      <c r="M34" s="56"/>
      <c r="N34" s="56"/>
      <c r="O34" s="56"/>
    </row>
    <row r="35" spans="1:15" ht="20" x14ac:dyDescent="0.35">
      <c r="A35" s="76"/>
      <c r="B35" s="76"/>
      <c r="C35" s="78"/>
      <c r="D35" s="78"/>
      <c r="E35" s="56"/>
      <c r="F35" s="56"/>
      <c r="G35" s="56"/>
      <c r="H35" s="56"/>
      <c r="I35" s="56"/>
      <c r="J35" s="56"/>
      <c r="K35" s="56"/>
      <c r="L35" s="56"/>
      <c r="M35" s="56"/>
      <c r="N35" s="56"/>
      <c r="O35" s="56"/>
    </row>
    <row r="36" spans="1:15" ht="20" x14ac:dyDescent="0.35">
      <c r="A36" s="76"/>
      <c r="B36" s="76"/>
      <c r="C36" s="78"/>
      <c r="D36" s="78"/>
      <c r="E36" s="56"/>
      <c r="F36" s="56"/>
      <c r="G36" s="56"/>
      <c r="H36" s="56"/>
      <c r="I36" s="56"/>
      <c r="J36" s="56"/>
      <c r="K36" s="56"/>
      <c r="L36" s="56"/>
      <c r="M36" s="56"/>
      <c r="N36" s="56"/>
      <c r="O36" s="56"/>
    </row>
    <row r="37" spans="1:15" ht="20" x14ac:dyDescent="0.35">
      <c r="A37" s="76"/>
      <c r="B37" s="76"/>
      <c r="C37" s="78"/>
      <c r="D37" s="78"/>
      <c r="E37" s="56"/>
      <c r="F37" s="56"/>
      <c r="G37" s="56"/>
      <c r="H37" s="56"/>
      <c r="I37" s="56"/>
      <c r="J37" s="56"/>
      <c r="K37" s="56"/>
      <c r="L37" s="56"/>
      <c r="M37" s="56"/>
      <c r="N37" s="56"/>
      <c r="O37" s="56"/>
    </row>
    <row r="38" spans="1:15" ht="20" x14ac:dyDescent="0.35">
      <c r="A38" s="76"/>
      <c r="B38" s="76"/>
      <c r="C38" s="78"/>
      <c r="D38" s="78"/>
      <c r="E38" s="56"/>
      <c r="F38" s="56"/>
      <c r="G38" s="56"/>
      <c r="H38" s="56"/>
      <c r="I38" s="56"/>
      <c r="J38" s="56"/>
      <c r="K38" s="56"/>
      <c r="L38" s="56"/>
      <c r="M38" s="56"/>
      <c r="N38" s="56"/>
      <c r="O38" s="56"/>
    </row>
    <row r="39" spans="1:15" ht="20" x14ac:dyDescent="0.35">
      <c r="A39" s="76"/>
      <c r="B39" s="76"/>
      <c r="C39" s="78"/>
      <c r="D39" s="78"/>
      <c r="E39" s="56"/>
      <c r="F39" s="56"/>
      <c r="G39" s="56"/>
      <c r="H39" s="56"/>
      <c r="I39" s="56"/>
      <c r="J39" s="56"/>
      <c r="K39" s="56"/>
      <c r="L39" s="56"/>
      <c r="M39" s="56"/>
      <c r="N39" s="56"/>
      <c r="O39" s="56"/>
    </row>
    <row r="40" spans="1:15" ht="20" x14ac:dyDescent="0.35">
      <c r="A40" s="76"/>
      <c r="B40" s="76"/>
      <c r="C40" s="78"/>
      <c r="D40" s="78"/>
      <c r="E40" s="56"/>
      <c r="F40" s="56"/>
      <c r="G40" s="56"/>
      <c r="H40" s="56"/>
      <c r="I40" s="56"/>
      <c r="J40" s="56"/>
      <c r="K40" s="56"/>
      <c r="L40" s="56"/>
      <c r="M40" s="56"/>
      <c r="N40" s="56"/>
      <c r="O40" s="56"/>
    </row>
    <row r="41" spans="1:15" ht="20" x14ac:dyDescent="0.35">
      <c r="A41" s="76"/>
      <c r="B41" s="76"/>
      <c r="C41" s="78"/>
      <c r="D41" s="78"/>
      <c r="E41" s="56"/>
      <c r="F41" s="56"/>
      <c r="G41" s="56"/>
      <c r="H41" s="56"/>
      <c r="I41" s="56"/>
      <c r="J41" s="56"/>
      <c r="K41" s="56"/>
      <c r="L41" s="56"/>
      <c r="M41" s="56"/>
      <c r="N41" s="56"/>
      <c r="O41" s="56"/>
    </row>
    <row r="42" spans="1:15" ht="20" x14ac:dyDescent="0.35">
      <c r="A42" s="76"/>
      <c r="B42" s="76"/>
      <c r="C42" s="78"/>
      <c r="D42" s="78"/>
      <c r="E42" s="56"/>
      <c r="F42" s="56"/>
      <c r="G42" s="56"/>
      <c r="H42" s="56"/>
      <c r="I42" s="56"/>
      <c r="J42" s="56"/>
      <c r="K42" s="56"/>
      <c r="L42" s="56"/>
      <c r="M42" s="56"/>
      <c r="N42" s="56"/>
      <c r="O42" s="56"/>
    </row>
    <row r="43" spans="1:15" ht="20" x14ac:dyDescent="0.35">
      <c r="A43" s="76"/>
      <c r="B43" s="76"/>
      <c r="C43" s="78"/>
      <c r="D43" s="78"/>
      <c r="E43" s="56"/>
      <c r="F43" s="56"/>
      <c r="G43" s="56"/>
      <c r="H43" s="56"/>
      <c r="I43" s="56"/>
      <c r="J43" s="56"/>
      <c r="K43" s="56"/>
      <c r="L43" s="56"/>
      <c r="M43" s="56"/>
      <c r="N43" s="56"/>
      <c r="O43" s="56"/>
    </row>
    <row r="44" spans="1:15" ht="20" x14ac:dyDescent="0.35">
      <c r="A44" s="76"/>
      <c r="B44" s="76"/>
      <c r="C44" s="78"/>
      <c r="D44" s="78"/>
      <c r="E44" s="56"/>
      <c r="F44" s="56"/>
      <c r="G44" s="56"/>
      <c r="H44" s="56"/>
      <c r="I44" s="56"/>
      <c r="J44" s="56"/>
      <c r="K44" s="56"/>
      <c r="L44" s="56"/>
      <c r="M44" s="56"/>
      <c r="N44" s="56"/>
      <c r="O44" s="56"/>
    </row>
    <row r="45" spans="1:15" ht="20" x14ac:dyDescent="0.35">
      <c r="A45" s="76"/>
      <c r="B45" s="76"/>
      <c r="C45" s="78"/>
      <c r="D45" s="78"/>
      <c r="E45" s="56"/>
      <c r="F45" s="56"/>
      <c r="G45" s="56"/>
      <c r="H45" s="56"/>
      <c r="I45" s="56"/>
      <c r="J45" s="56"/>
      <c r="K45" s="56"/>
      <c r="L45" s="56"/>
      <c r="M45" s="56"/>
      <c r="N45" s="56"/>
      <c r="O45" s="56"/>
    </row>
    <row r="46" spans="1:15" ht="20" x14ac:dyDescent="0.35">
      <c r="A46" s="76"/>
      <c r="B46" s="76"/>
      <c r="C46" s="78"/>
      <c r="D46" s="78"/>
      <c r="E46" s="56"/>
      <c r="F46" s="56"/>
      <c r="G46" s="56"/>
      <c r="H46" s="56"/>
      <c r="I46" s="56"/>
      <c r="J46" s="56"/>
      <c r="K46" s="56"/>
      <c r="L46" s="56"/>
      <c r="M46" s="56"/>
      <c r="N46" s="56"/>
      <c r="O46" s="56"/>
    </row>
    <row r="47" spans="1:15" ht="20" x14ac:dyDescent="0.35">
      <c r="A47" s="76"/>
      <c r="B47" s="76"/>
      <c r="C47" s="78"/>
      <c r="D47" s="78"/>
      <c r="E47" s="56"/>
      <c r="F47" s="56"/>
      <c r="G47" s="56"/>
      <c r="H47" s="56"/>
      <c r="I47" s="56"/>
      <c r="J47" s="56"/>
      <c r="K47" s="56"/>
      <c r="L47" s="56"/>
      <c r="M47" s="56"/>
      <c r="N47" s="56"/>
      <c r="O47" s="56"/>
    </row>
    <row r="48" spans="1:15" ht="20" x14ac:dyDescent="0.35">
      <c r="A48" s="76"/>
      <c r="B48" s="76"/>
      <c r="C48" s="78"/>
      <c r="D48" s="78"/>
      <c r="E48" s="56"/>
      <c r="F48" s="56"/>
      <c r="G48" s="56"/>
      <c r="H48" s="56"/>
      <c r="I48" s="56"/>
      <c r="J48" s="56"/>
      <c r="K48" s="56"/>
      <c r="L48" s="56"/>
      <c r="M48" s="56"/>
      <c r="N48" s="56"/>
      <c r="O48" s="56"/>
    </row>
    <row r="49" spans="1:15" ht="20" x14ac:dyDescent="0.35">
      <c r="A49" s="76"/>
      <c r="B49" s="76"/>
      <c r="C49" s="78"/>
      <c r="D49" s="78"/>
      <c r="E49" s="56"/>
      <c r="F49" s="56"/>
      <c r="G49" s="56"/>
      <c r="H49" s="56"/>
      <c r="I49" s="56"/>
      <c r="J49" s="56"/>
      <c r="K49" s="56"/>
      <c r="L49" s="56"/>
      <c r="M49" s="56"/>
      <c r="N49" s="56"/>
      <c r="O49" s="56"/>
    </row>
    <row r="50" spans="1:15" ht="20" x14ac:dyDescent="0.35">
      <c r="A50" s="76"/>
      <c r="B50" s="76"/>
      <c r="C50" s="78"/>
      <c r="D50" s="78"/>
      <c r="E50" s="56"/>
      <c r="F50" s="56"/>
      <c r="G50" s="56"/>
      <c r="H50" s="56"/>
      <c r="I50" s="56"/>
      <c r="J50" s="56"/>
      <c r="K50" s="56"/>
      <c r="L50" s="56"/>
      <c r="M50" s="56"/>
      <c r="N50" s="56"/>
      <c r="O50" s="56"/>
    </row>
    <row r="51" spans="1:15" ht="20" x14ac:dyDescent="0.35">
      <c r="A51" s="76"/>
      <c r="B51" s="76"/>
      <c r="C51" s="78"/>
      <c r="D51" s="78"/>
      <c r="E51" s="56"/>
      <c r="F51" s="56"/>
      <c r="G51" s="56"/>
      <c r="H51" s="56"/>
      <c r="I51" s="56"/>
      <c r="J51" s="56"/>
      <c r="K51" s="56"/>
      <c r="L51" s="56"/>
      <c r="M51" s="56"/>
      <c r="N51" s="56"/>
      <c r="O51" s="56"/>
    </row>
    <row r="52" spans="1:15" ht="20" x14ac:dyDescent="0.35">
      <c r="A52" s="76"/>
      <c r="B52" s="19"/>
      <c r="C52" s="28"/>
      <c r="D52" s="28"/>
    </row>
    <row r="53" spans="1:15" ht="20" x14ac:dyDescent="0.35">
      <c r="A53" s="76"/>
      <c r="B53" s="19"/>
      <c r="C53" s="28"/>
      <c r="D53" s="28"/>
    </row>
    <row r="54" spans="1:15" ht="20" x14ac:dyDescent="0.35">
      <c r="A54" s="76"/>
      <c r="B54" s="19"/>
      <c r="C54" s="28"/>
      <c r="D54" s="28"/>
    </row>
    <row r="55" spans="1:15" ht="20" x14ac:dyDescent="0.35">
      <c r="A55" s="76"/>
      <c r="B55" s="19"/>
      <c r="C55" s="28"/>
      <c r="D55" s="28"/>
    </row>
    <row r="56" spans="1:15" ht="20" x14ac:dyDescent="0.35">
      <c r="A56" s="76"/>
      <c r="B56" s="19"/>
      <c r="C56" s="28"/>
      <c r="D56" s="28"/>
    </row>
    <row r="57" spans="1:15" ht="20" x14ac:dyDescent="0.35">
      <c r="A57" s="76"/>
      <c r="B57" s="19"/>
      <c r="C57" s="28"/>
      <c r="D57" s="28"/>
    </row>
    <row r="58" spans="1:15" ht="20" x14ac:dyDescent="0.35">
      <c r="A58" s="76"/>
      <c r="B58" s="19"/>
      <c r="C58" s="28"/>
      <c r="D58" s="28"/>
    </row>
    <row r="59" spans="1:15" ht="20" x14ac:dyDescent="0.35">
      <c r="A59" s="76"/>
      <c r="B59" s="19"/>
      <c r="C59" s="28"/>
      <c r="D59" s="28"/>
    </row>
    <row r="60" spans="1:15" ht="20" x14ac:dyDescent="0.35">
      <c r="A60" s="76"/>
      <c r="B60" s="19"/>
      <c r="C60" s="28"/>
      <c r="D60" s="28"/>
    </row>
    <row r="61" spans="1:15" ht="20" x14ac:dyDescent="0.35">
      <c r="A61" s="76"/>
      <c r="B61" s="19"/>
      <c r="C61" s="28"/>
      <c r="D61" s="28"/>
    </row>
    <row r="62" spans="1:15" ht="20" x14ac:dyDescent="0.35">
      <c r="A62" s="76"/>
      <c r="B62" s="19"/>
      <c r="C62" s="28"/>
      <c r="D62" s="28"/>
    </row>
    <row r="63" spans="1:15" ht="20" x14ac:dyDescent="0.35">
      <c r="A63" s="76"/>
      <c r="B63" s="19"/>
      <c r="C63" s="28"/>
      <c r="D63" s="28"/>
    </row>
    <row r="64" spans="1:15" ht="20" x14ac:dyDescent="0.35">
      <c r="A64" s="76"/>
      <c r="B64" s="19"/>
      <c r="C64" s="28"/>
      <c r="D64" s="28"/>
    </row>
    <row r="65" spans="1:4" ht="20" x14ac:dyDescent="0.35">
      <c r="A65" s="76"/>
      <c r="B65" s="19"/>
      <c r="C65" s="28"/>
      <c r="D65" s="28"/>
    </row>
    <row r="66" spans="1:4" ht="20" x14ac:dyDescent="0.35">
      <c r="A66" s="76"/>
      <c r="B66" s="19"/>
      <c r="C66" s="28"/>
      <c r="D66" s="28"/>
    </row>
    <row r="67" spans="1:4" ht="20" x14ac:dyDescent="0.35">
      <c r="A67" s="76"/>
      <c r="B67" s="19"/>
      <c r="C67" s="28"/>
      <c r="D67" s="28"/>
    </row>
    <row r="68" spans="1:4" ht="20" x14ac:dyDescent="0.35">
      <c r="A68" s="76"/>
      <c r="B68" s="19"/>
      <c r="C68" s="28"/>
      <c r="D68" s="28"/>
    </row>
    <row r="69" spans="1:4" ht="20" x14ac:dyDescent="0.35">
      <c r="A69" s="76"/>
      <c r="B69" s="19"/>
      <c r="C69" s="28"/>
      <c r="D69" s="28"/>
    </row>
    <row r="70" spans="1:4" ht="20" x14ac:dyDescent="0.35">
      <c r="A70" s="76"/>
      <c r="B70" s="19"/>
      <c r="C70" s="28"/>
      <c r="D70" s="28"/>
    </row>
    <row r="71" spans="1:4" ht="20" x14ac:dyDescent="0.35">
      <c r="A71" s="76"/>
      <c r="B71" s="19"/>
      <c r="C71" s="28"/>
      <c r="D71" s="28"/>
    </row>
    <row r="72" spans="1:4" ht="20" x14ac:dyDescent="0.35">
      <c r="A72" s="76"/>
      <c r="B72" s="19"/>
      <c r="C72" s="28"/>
      <c r="D72" s="28"/>
    </row>
    <row r="73" spans="1:4" ht="20" x14ac:dyDescent="0.35">
      <c r="A73" s="76"/>
      <c r="B73" s="19"/>
      <c r="C73" s="28"/>
      <c r="D73" s="28"/>
    </row>
    <row r="74" spans="1:4" ht="20" x14ac:dyDescent="0.35">
      <c r="A74" s="76"/>
      <c r="B74" s="19"/>
      <c r="C74" s="28"/>
      <c r="D74" s="28"/>
    </row>
    <row r="75" spans="1:4" ht="20" x14ac:dyDescent="0.35">
      <c r="A75" s="76"/>
      <c r="B75" s="19"/>
      <c r="C75" s="28"/>
      <c r="D75" s="28"/>
    </row>
    <row r="76" spans="1:4" ht="20" x14ac:dyDescent="0.35">
      <c r="A76" s="76"/>
      <c r="B76" s="19"/>
      <c r="C76" s="28"/>
      <c r="D76" s="28"/>
    </row>
    <row r="77" spans="1:4" ht="20" x14ac:dyDescent="0.35">
      <c r="A77" s="76"/>
      <c r="B77" s="19"/>
      <c r="C77" s="28"/>
      <c r="D77" s="28"/>
    </row>
    <row r="78" spans="1:4" ht="20" x14ac:dyDescent="0.35">
      <c r="A78" s="76"/>
      <c r="B78" s="19"/>
      <c r="C78" s="28"/>
      <c r="D78" s="28"/>
    </row>
    <row r="79" spans="1:4" ht="20" x14ac:dyDescent="0.35">
      <c r="A79" s="76"/>
      <c r="B79" s="19"/>
      <c r="C79" s="28"/>
      <c r="D79" s="28"/>
    </row>
    <row r="80" spans="1:4" ht="20" x14ac:dyDescent="0.35">
      <c r="A80" s="76"/>
      <c r="B80" s="19"/>
      <c r="C80" s="28"/>
      <c r="D80" s="28"/>
    </row>
    <row r="81" spans="1:4" ht="20" x14ac:dyDescent="0.35">
      <c r="A81" s="76"/>
      <c r="B81" s="19"/>
      <c r="C81" s="28"/>
      <c r="D81" s="28"/>
    </row>
    <row r="82" spans="1:4" ht="20" x14ac:dyDescent="0.35">
      <c r="A82" s="76"/>
      <c r="B82" s="19"/>
      <c r="C82" s="28"/>
      <c r="D82" s="28"/>
    </row>
    <row r="83" spans="1:4" ht="20" x14ac:dyDescent="0.35">
      <c r="A83" s="76"/>
      <c r="B83" s="19"/>
      <c r="C83" s="28"/>
      <c r="D83" s="28"/>
    </row>
    <row r="84" spans="1:4" ht="20" x14ac:dyDescent="0.35">
      <c r="A84" s="76"/>
      <c r="B84" s="19"/>
      <c r="C84" s="28"/>
      <c r="D84" s="28"/>
    </row>
    <row r="85" spans="1:4" ht="20" x14ac:dyDescent="0.35">
      <c r="A85" s="76"/>
      <c r="B85" s="19"/>
      <c r="C85" s="28"/>
      <c r="D85" s="28"/>
    </row>
    <row r="86" spans="1:4" ht="20" x14ac:dyDescent="0.35">
      <c r="A86" s="76"/>
      <c r="B86" s="19"/>
      <c r="C86" s="28"/>
      <c r="D86" s="28"/>
    </row>
    <row r="87" spans="1:4" ht="20" x14ac:dyDescent="0.35">
      <c r="A87" s="76"/>
      <c r="B87" s="19"/>
      <c r="C87" s="28"/>
      <c r="D87" s="28"/>
    </row>
    <row r="88" spans="1:4" ht="20" x14ac:dyDescent="0.35">
      <c r="A88" s="76"/>
      <c r="B88" s="19"/>
      <c r="C88" s="28"/>
      <c r="D88" s="28"/>
    </row>
    <row r="89" spans="1:4" ht="20" x14ac:dyDescent="0.35">
      <c r="A89" s="76"/>
      <c r="B89" s="19"/>
      <c r="C89" s="28"/>
      <c r="D89" s="28"/>
    </row>
    <row r="90" spans="1:4" ht="20" x14ac:dyDescent="0.35">
      <c r="A90" s="76"/>
      <c r="B90" s="19"/>
      <c r="C90" s="28"/>
      <c r="D90" s="28"/>
    </row>
    <row r="91" spans="1:4" ht="20" x14ac:dyDescent="0.35">
      <c r="A91" s="76"/>
      <c r="B91" s="19"/>
      <c r="C91" s="28"/>
      <c r="D91" s="28"/>
    </row>
    <row r="92" spans="1:4" ht="20" x14ac:dyDescent="0.35">
      <c r="A92" s="76"/>
      <c r="B92" s="19"/>
      <c r="C92" s="28"/>
      <c r="D92" s="28"/>
    </row>
    <row r="93" spans="1:4" ht="20" x14ac:dyDescent="0.35">
      <c r="A93" s="76"/>
      <c r="B93" s="19"/>
      <c r="C93" s="28"/>
      <c r="D93" s="28"/>
    </row>
    <row r="94" spans="1:4" ht="20" x14ac:dyDescent="0.35">
      <c r="A94" s="76"/>
      <c r="B94" s="19"/>
      <c r="C94" s="28"/>
      <c r="D94" s="28"/>
    </row>
    <row r="95" spans="1:4" ht="20" x14ac:dyDescent="0.35">
      <c r="A95" s="76"/>
      <c r="B95" s="19"/>
      <c r="C95" s="28"/>
      <c r="D95" s="28"/>
    </row>
    <row r="96" spans="1:4" ht="20" x14ac:dyDescent="0.35">
      <c r="A96" s="76"/>
      <c r="B96" s="19"/>
      <c r="C96" s="28"/>
      <c r="D96" s="28"/>
    </row>
    <row r="97" spans="1:4" ht="20" x14ac:dyDescent="0.35">
      <c r="A97" s="76"/>
      <c r="B97" s="19"/>
      <c r="C97" s="28"/>
      <c r="D97" s="28"/>
    </row>
    <row r="98" spans="1:4" ht="20" x14ac:dyDescent="0.35">
      <c r="A98" s="76"/>
      <c r="B98" s="19"/>
      <c r="C98" s="28"/>
      <c r="D98" s="28"/>
    </row>
    <row r="99" spans="1:4" ht="20" x14ac:dyDescent="0.35">
      <c r="A99" s="76"/>
      <c r="B99" s="19"/>
      <c r="C99" s="28"/>
      <c r="D99" s="28"/>
    </row>
    <row r="100" spans="1:4" ht="20" x14ac:dyDescent="0.35">
      <c r="A100" s="76"/>
      <c r="B100" s="19"/>
      <c r="C100" s="28"/>
      <c r="D100" s="28"/>
    </row>
    <row r="101" spans="1:4" ht="20" x14ac:dyDescent="0.35">
      <c r="A101" s="76"/>
      <c r="B101" s="19"/>
      <c r="C101" s="28"/>
      <c r="D101" s="28"/>
    </row>
    <row r="102" spans="1:4" ht="20" x14ac:dyDescent="0.35">
      <c r="A102" s="76"/>
      <c r="B102" s="19"/>
      <c r="C102" s="28"/>
      <c r="D102" s="28"/>
    </row>
    <row r="103" spans="1:4" ht="20" x14ac:dyDescent="0.35">
      <c r="A103" s="76"/>
      <c r="B103" s="19"/>
      <c r="C103" s="28"/>
      <c r="D103" s="28"/>
    </row>
    <row r="104" spans="1:4" ht="20" x14ac:dyDescent="0.35">
      <c r="A104" s="76"/>
      <c r="B104" s="19"/>
      <c r="C104" s="28"/>
      <c r="D104" s="28"/>
    </row>
    <row r="105" spans="1:4" ht="20" x14ac:dyDescent="0.35">
      <c r="A105" s="76"/>
      <c r="B105" s="19"/>
      <c r="C105" s="28"/>
      <c r="D105" s="28"/>
    </row>
    <row r="106" spans="1:4" ht="20" x14ac:dyDescent="0.35">
      <c r="A106" s="76"/>
      <c r="B106" s="19"/>
      <c r="C106" s="28"/>
      <c r="D106" s="28"/>
    </row>
    <row r="107" spans="1:4" ht="20" x14ac:dyDescent="0.35">
      <c r="A107" s="76"/>
      <c r="B107" s="19"/>
      <c r="C107" s="28"/>
      <c r="D107" s="28"/>
    </row>
    <row r="108" spans="1:4" ht="20" x14ac:dyDescent="0.35">
      <c r="A108" s="76"/>
      <c r="B108" s="19"/>
      <c r="C108" s="28"/>
      <c r="D108" s="28"/>
    </row>
    <row r="109" spans="1:4" ht="20" x14ac:dyDescent="0.35">
      <c r="A109" s="76"/>
      <c r="B109" s="19"/>
      <c r="C109" s="28"/>
      <c r="D109" s="28"/>
    </row>
    <row r="110" spans="1:4" ht="20" x14ac:dyDescent="0.35">
      <c r="A110" s="76"/>
      <c r="B110" s="19"/>
      <c r="C110" s="28"/>
      <c r="D110" s="28"/>
    </row>
    <row r="111" spans="1:4" ht="20" x14ac:dyDescent="0.35">
      <c r="A111" s="76"/>
      <c r="B111" s="19"/>
      <c r="C111" s="28"/>
      <c r="D111" s="28"/>
    </row>
    <row r="112" spans="1:4" ht="20" x14ac:dyDescent="0.35">
      <c r="A112" s="76"/>
      <c r="B112" s="19"/>
      <c r="C112" s="28"/>
      <c r="D112" s="28"/>
    </row>
    <row r="113" spans="1:4" ht="20" x14ac:dyDescent="0.35">
      <c r="A113" s="76"/>
      <c r="B113" s="19"/>
      <c r="C113" s="28"/>
      <c r="D113" s="28"/>
    </row>
    <row r="114" spans="1:4" ht="20" x14ac:dyDescent="0.35">
      <c r="A114" s="76"/>
      <c r="B114" s="19"/>
      <c r="C114" s="28"/>
      <c r="D114" s="28"/>
    </row>
    <row r="115" spans="1:4" ht="20" x14ac:dyDescent="0.35">
      <c r="A115" s="76"/>
      <c r="B115" s="19"/>
      <c r="C115" s="28"/>
      <c r="D115" s="28"/>
    </row>
    <row r="116" spans="1:4" ht="20" x14ac:dyDescent="0.35">
      <c r="A116" s="76"/>
      <c r="B116" s="19"/>
      <c r="C116" s="28"/>
      <c r="D116" s="28"/>
    </row>
    <row r="117" spans="1:4" ht="20" x14ac:dyDescent="0.35">
      <c r="A117" s="76"/>
      <c r="B117" s="19"/>
      <c r="C117" s="28"/>
      <c r="D117" s="28"/>
    </row>
    <row r="118" spans="1:4" ht="20" x14ac:dyDescent="0.35">
      <c r="A118" s="76"/>
      <c r="B118" s="19"/>
      <c r="C118" s="28"/>
      <c r="D118" s="28"/>
    </row>
    <row r="119" spans="1:4" ht="20" x14ac:dyDescent="0.35">
      <c r="A119" s="76"/>
      <c r="B119" s="19"/>
      <c r="C119" s="28"/>
      <c r="D119" s="28"/>
    </row>
    <row r="120" spans="1:4" ht="20" x14ac:dyDescent="0.35">
      <c r="A120" s="76"/>
      <c r="B120" s="19"/>
      <c r="C120" s="28"/>
      <c r="D120" s="28"/>
    </row>
    <row r="121" spans="1:4" ht="20" x14ac:dyDescent="0.35">
      <c r="A121" s="76"/>
      <c r="B121" s="19"/>
      <c r="C121" s="28"/>
      <c r="D121" s="28"/>
    </row>
    <row r="122" spans="1:4" ht="20" x14ac:dyDescent="0.35">
      <c r="A122" s="76"/>
      <c r="B122" s="19"/>
      <c r="C122" s="28"/>
      <c r="D122" s="28"/>
    </row>
    <row r="123" spans="1:4" ht="20" x14ac:dyDescent="0.35">
      <c r="A123" s="76"/>
      <c r="B123" s="19"/>
      <c r="C123" s="28"/>
      <c r="D123" s="28"/>
    </row>
    <row r="124" spans="1:4" ht="20" x14ac:dyDescent="0.35">
      <c r="A124" s="76"/>
      <c r="B124" s="19"/>
      <c r="C124" s="28"/>
      <c r="D124" s="28"/>
    </row>
    <row r="125" spans="1:4" ht="20" x14ac:dyDescent="0.35">
      <c r="A125" s="76"/>
      <c r="B125" s="19"/>
      <c r="C125" s="28"/>
      <c r="D125" s="28"/>
    </row>
    <row r="126" spans="1:4" ht="20" x14ac:dyDescent="0.35">
      <c r="A126" s="76"/>
      <c r="B126" s="19"/>
      <c r="C126" s="28"/>
      <c r="D126" s="28"/>
    </row>
    <row r="127" spans="1:4" ht="20" x14ac:dyDescent="0.35">
      <c r="A127" s="76"/>
      <c r="B127" s="19"/>
      <c r="C127" s="28"/>
      <c r="D127" s="28"/>
    </row>
    <row r="128" spans="1:4" ht="20" x14ac:dyDescent="0.35">
      <c r="A128" s="76"/>
      <c r="B128" s="19"/>
      <c r="C128" s="28"/>
      <c r="D128" s="28"/>
    </row>
    <row r="129" spans="1:4" ht="20" x14ac:dyDescent="0.35">
      <c r="A129" s="76"/>
      <c r="B129" s="19"/>
      <c r="C129" s="28"/>
      <c r="D129" s="28"/>
    </row>
    <row r="130" spans="1:4" ht="20" x14ac:dyDescent="0.35">
      <c r="A130" s="76"/>
      <c r="B130" s="19"/>
      <c r="C130" s="28"/>
      <c r="D130" s="28"/>
    </row>
    <row r="131" spans="1:4" ht="20" x14ac:dyDescent="0.35">
      <c r="A131" s="76"/>
      <c r="B131" s="19"/>
      <c r="C131" s="28"/>
      <c r="D131" s="28"/>
    </row>
    <row r="132" spans="1:4" ht="20" x14ac:dyDescent="0.35">
      <c r="A132" s="76"/>
      <c r="B132" s="19"/>
      <c r="C132" s="28"/>
      <c r="D132" s="28"/>
    </row>
    <row r="133" spans="1:4" ht="20" x14ac:dyDescent="0.35">
      <c r="A133" s="76"/>
      <c r="B133" s="19"/>
      <c r="C133" s="28"/>
      <c r="D133" s="28"/>
    </row>
    <row r="134" spans="1:4" ht="20" x14ac:dyDescent="0.35">
      <c r="A134" s="76"/>
      <c r="B134" s="19"/>
      <c r="C134" s="28"/>
      <c r="D134" s="28"/>
    </row>
    <row r="135" spans="1:4" ht="20" x14ac:dyDescent="0.35">
      <c r="A135" s="76"/>
      <c r="B135" s="19"/>
      <c r="C135" s="28"/>
      <c r="D135" s="28"/>
    </row>
    <row r="136" spans="1:4" ht="20" x14ac:dyDescent="0.35">
      <c r="A136" s="76"/>
      <c r="B136" s="19"/>
      <c r="C136" s="28"/>
      <c r="D136" s="28"/>
    </row>
    <row r="137" spans="1:4" ht="20" x14ac:dyDescent="0.35">
      <c r="A137" s="76"/>
      <c r="B137" s="19"/>
      <c r="C137" s="28"/>
      <c r="D137" s="28"/>
    </row>
    <row r="138" spans="1:4" ht="20" x14ac:dyDescent="0.35">
      <c r="A138" s="76"/>
      <c r="B138" s="19"/>
      <c r="C138" s="28"/>
      <c r="D138" s="28"/>
    </row>
    <row r="139" spans="1:4" ht="20" x14ac:dyDescent="0.35">
      <c r="A139" s="76"/>
      <c r="B139" s="19"/>
      <c r="C139" s="28"/>
      <c r="D139" s="28"/>
    </row>
    <row r="140" spans="1:4" ht="20" x14ac:dyDescent="0.35">
      <c r="A140" s="76"/>
      <c r="B140" s="19"/>
      <c r="C140" s="28"/>
      <c r="D140" s="28"/>
    </row>
    <row r="141" spans="1:4" ht="20" x14ac:dyDescent="0.35">
      <c r="A141" s="76"/>
      <c r="B141" s="19"/>
      <c r="C141" s="28"/>
      <c r="D141" s="28"/>
    </row>
    <row r="142" spans="1:4" ht="20" x14ac:dyDescent="0.35">
      <c r="A142" s="76"/>
      <c r="B142" s="19"/>
      <c r="C142" s="28"/>
      <c r="D142" s="28"/>
    </row>
    <row r="143" spans="1:4" ht="20" x14ac:dyDescent="0.35">
      <c r="A143" s="76"/>
      <c r="B143" s="19"/>
      <c r="C143" s="28"/>
      <c r="D143" s="28"/>
    </row>
    <row r="144" spans="1:4" ht="20" x14ac:dyDescent="0.35">
      <c r="A144" s="76"/>
      <c r="B144" s="19"/>
      <c r="C144" s="28"/>
      <c r="D144" s="28"/>
    </row>
    <row r="145" spans="1:4" ht="20" x14ac:dyDescent="0.35">
      <c r="A145" s="76"/>
      <c r="B145" s="19"/>
      <c r="C145" s="28"/>
      <c r="D145" s="28"/>
    </row>
    <row r="146" spans="1:4" ht="20" x14ac:dyDescent="0.35">
      <c r="A146" s="76"/>
      <c r="B146" s="19"/>
      <c r="C146" s="28"/>
      <c r="D146" s="28"/>
    </row>
    <row r="147" spans="1:4" ht="20" x14ac:dyDescent="0.35">
      <c r="A147" s="76"/>
      <c r="B147" s="19"/>
      <c r="C147" s="28"/>
      <c r="D147" s="28"/>
    </row>
    <row r="148" spans="1:4" ht="20" x14ac:dyDescent="0.35">
      <c r="A148" s="76"/>
      <c r="B148" s="19"/>
      <c r="C148" s="28"/>
      <c r="D148" s="28"/>
    </row>
    <row r="149" spans="1:4" ht="20" x14ac:dyDescent="0.35">
      <c r="A149" s="76"/>
      <c r="B149" s="19"/>
      <c r="C149" s="28"/>
      <c r="D149" s="28"/>
    </row>
    <row r="150" spans="1:4" ht="20" x14ac:dyDescent="0.35">
      <c r="A150" s="76"/>
      <c r="B150" s="19"/>
      <c r="C150" s="28"/>
      <c r="D150" s="28"/>
    </row>
    <row r="151" spans="1:4" ht="20" x14ac:dyDescent="0.35">
      <c r="A151" s="76"/>
      <c r="B151" s="19"/>
      <c r="C151" s="28"/>
      <c r="D151" s="28"/>
    </row>
    <row r="152" spans="1:4" ht="20" x14ac:dyDescent="0.35">
      <c r="A152" s="76"/>
      <c r="B152" s="19"/>
      <c r="C152" s="28"/>
      <c r="D152" s="28"/>
    </row>
    <row r="153" spans="1:4" ht="20" x14ac:dyDescent="0.35">
      <c r="A153" s="76"/>
      <c r="B153" s="19"/>
      <c r="C153" s="28"/>
      <c r="D153" s="28"/>
    </row>
    <row r="154" spans="1:4" ht="20" x14ac:dyDescent="0.35">
      <c r="A154" s="76"/>
      <c r="B154" s="19"/>
      <c r="C154" s="28"/>
      <c r="D154" s="28"/>
    </row>
    <row r="155" spans="1:4" ht="20" x14ac:dyDescent="0.35">
      <c r="A155" s="76"/>
      <c r="B155" s="19"/>
      <c r="C155" s="28"/>
      <c r="D155" s="28"/>
    </row>
    <row r="156" spans="1:4" ht="20" x14ac:dyDescent="0.35">
      <c r="A156" s="76"/>
      <c r="B156" s="19"/>
      <c r="C156" s="28"/>
      <c r="D156" s="28"/>
    </row>
    <row r="157" spans="1:4" ht="20" x14ac:dyDescent="0.35">
      <c r="A157" s="76"/>
      <c r="B157" s="19"/>
      <c r="C157" s="28"/>
      <c r="D157" s="28"/>
    </row>
    <row r="158" spans="1:4" ht="20" x14ac:dyDescent="0.35">
      <c r="A158" s="76"/>
      <c r="B158" s="19"/>
      <c r="C158" s="28"/>
      <c r="D158" s="28"/>
    </row>
    <row r="159" spans="1:4" ht="20" x14ac:dyDescent="0.35">
      <c r="A159" s="76"/>
      <c r="B159" s="19"/>
      <c r="C159" s="28"/>
      <c r="D159" s="28"/>
    </row>
    <row r="160" spans="1:4" ht="20" x14ac:dyDescent="0.35">
      <c r="A160" s="76"/>
      <c r="B160" s="19"/>
      <c r="C160" s="28"/>
      <c r="D160" s="28"/>
    </row>
    <row r="161" spans="1:4" ht="20" x14ac:dyDescent="0.35">
      <c r="A161" s="76"/>
      <c r="B161" s="19"/>
      <c r="C161" s="28"/>
      <c r="D161" s="28"/>
    </row>
    <row r="162" spans="1:4" ht="20" x14ac:dyDescent="0.35">
      <c r="A162" s="76"/>
      <c r="B162" s="19"/>
      <c r="C162" s="28"/>
      <c r="D162" s="28"/>
    </row>
    <row r="163" spans="1:4" ht="20" x14ac:dyDescent="0.35">
      <c r="A163" s="76"/>
      <c r="B163" s="19"/>
      <c r="C163" s="28"/>
      <c r="D163" s="28"/>
    </row>
    <row r="164" spans="1:4" ht="20" x14ac:dyDescent="0.35">
      <c r="A164" s="76"/>
      <c r="B164" s="19"/>
      <c r="C164" s="28"/>
      <c r="D164" s="28"/>
    </row>
    <row r="165" spans="1:4" ht="20" x14ac:dyDescent="0.35">
      <c r="A165" s="76"/>
      <c r="B165" s="19"/>
      <c r="C165" s="28"/>
      <c r="D165" s="28"/>
    </row>
    <row r="166" spans="1:4" ht="20" x14ac:dyDescent="0.35">
      <c r="A166" s="76"/>
      <c r="B166" s="19"/>
      <c r="C166" s="28"/>
      <c r="D166" s="28"/>
    </row>
    <row r="167" spans="1:4" ht="20" x14ac:dyDescent="0.35">
      <c r="A167" s="76"/>
      <c r="B167" s="19"/>
      <c r="C167" s="28"/>
      <c r="D167" s="28"/>
    </row>
    <row r="168" spans="1:4" ht="20" x14ac:dyDescent="0.35">
      <c r="A168" s="76"/>
      <c r="B168" s="19"/>
      <c r="C168" s="28"/>
      <c r="D168" s="28"/>
    </row>
    <row r="169" spans="1:4" ht="20" x14ac:dyDescent="0.35">
      <c r="A169" s="76"/>
      <c r="B169" s="19"/>
      <c r="C169" s="28"/>
      <c r="D169" s="28"/>
    </row>
    <row r="170" spans="1:4" ht="20" x14ac:dyDescent="0.35">
      <c r="A170" s="76"/>
      <c r="B170" s="19"/>
      <c r="C170" s="28"/>
      <c r="D170" s="28"/>
    </row>
    <row r="171" spans="1:4" ht="20" x14ac:dyDescent="0.35">
      <c r="A171" s="76"/>
      <c r="B171" s="19"/>
      <c r="C171" s="28"/>
      <c r="D171" s="28"/>
    </row>
    <row r="172" spans="1:4" ht="20" x14ac:dyDescent="0.35">
      <c r="A172" s="76"/>
      <c r="B172" s="19"/>
      <c r="C172" s="28"/>
      <c r="D172" s="28"/>
    </row>
    <row r="173" spans="1:4" ht="20" x14ac:dyDescent="0.35">
      <c r="A173" s="76"/>
      <c r="B173" s="19"/>
      <c r="C173" s="28"/>
      <c r="D173" s="28"/>
    </row>
    <row r="174" spans="1:4" ht="20" x14ac:dyDescent="0.35">
      <c r="A174" s="76"/>
      <c r="B174" s="19"/>
      <c r="C174" s="28"/>
      <c r="D174" s="28"/>
    </row>
    <row r="175" spans="1:4" ht="20" x14ac:dyDescent="0.35">
      <c r="A175" s="76"/>
      <c r="B175" s="19"/>
      <c r="C175" s="28"/>
      <c r="D175" s="28"/>
    </row>
    <row r="176" spans="1:4" ht="20" x14ac:dyDescent="0.35">
      <c r="A176" s="76"/>
      <c r="B176" s="19"/>
      <c r="C176" s="28"/>
      <c r="D176" s="28"/>
    </row>
    <row r="177" spans="1:4" ht="20" x14ac:dyDescent="0.35">
      <c r="A177" s="76"/>
      <c r="B177" s="19"/>
      <c r="C177" s="28"/>
      <c r="D177" s="28"/>
    </row>
    <row r="178" spans="1:4" ht="20" x14ac:dyDescent="0.35">
      <c r="A178" s="76"/>
      <c r="B178" s="19"/>
      <c r="C178" s="28"/>
      <c r="D178" s="28"/>
    </row>
    <row r="179" spans="1:4" ht="20" x14ac:dyDescent="0.35">
      <c r="A179" s="76"/>
      <c r="B179" s="19"/>
      <c r="C179" s="28"/>
      <c r="D179" s="28"/>
    </row>
    <row r="180" spans="1:4" ht="20" x14ac:dyDescent="0.35">
      <c r="A180" s="76"/>
      <c r="B180" s="19"/>
      <c r="C180" s="28"/>
      <c r="D180" s="28"/>
    </row>
    <row r="181" spans="1:4" ht="20" x14ac:dyDescent="0.35">
      <c r="A181" s="76"/>
      <c r="B181" s="19"/>
      <c r="C181" s="28"/>
      <c r="D181" s="28"/>
    </row>
    <row r="182" spans="1:4" ht="20" x14ac:dyDescent="0.35">
      <c r="A182" s="76"/>
      <c r="B182" s="19"/>
      <c r="C182" s="28"/>
      <c r="D182" s="28"/>
    </row>
    <row r="183" spans="1:4" ht="20" x14ac:dyDescent="0.35">
      <c r="A183" s="76"/>
      <c r="B183" s="19"/>
      <c r="C183" s="28"/>
      <c r="D183" s="28"/>
    </row>
    <row r="184" spans="1:4" ht="20" x14ac:dyDescent="0.35">
      <c r="A184" s="76"/>
      <c r="B184" s="19"/>
      <c r="C184" s="28"/>
      <c r="D184" s="28"/>
    </row>
    <row r="185" spans="1:4" ht="20" x14ac:dyDescent="0.35">
      <c r="A185" s="76"/>
      <c r="B185" s="19"/>
      <c r="C185" s="28"/>
      <c r="D185" s="28"/>
    </row>
    <row r="186" spans="1:4" ht="20" x14ac:dyDescent="0.35">
      <c r="A186" s="76"/>
      <c r="B186" s="19"/>
      <c r="C186" s="28"/>
      <c r="D186" s="28"/>
    </row>
    <row r="187" spans="1:4" ht="20" x14ac:dyDescent="0.35">
      <c r="A187" s="76"/>
      <c r="B187" s="19"/>
      <c r="C187" s="28"/>
      <c r="D187" s="28"/>
    </row>
    <row r="188" spans="1:4" ht="20" x14ac:dyDescent="0.35">
      <c r="A188" s="76"/>
      <c r="B188" s="19"/>
      <c r="C188" s="28"/>
      <c r="D188" s="28"/>
    </row>
    <row r="189" spans="1:4" ht="20" x14ac:dyDescent="0.35">
      <c r="A189" s="76"/>
      <c r="B189" s="19"/>
      <c r="C189" s="28"/>
      <c r="D189" s="28"/>
    </row>
    <row r="190" spans="1:4" ht="20" x14ac:dyDescent="0.35">
      <c r="A190" s="76"/>
      <c r="B190" s="19"/>
      <c r="C190" s="28"/>
      <c r="D190" s="28"/>
    </row>
    <row r="191" spans="1:4" ht="20" x14ac:dyDescent="0.35">
      <c r="A191" s="76"/>
      <c r="B191" s="19"/>
      <c r="C191" s="28"/>
      <c r="D191" s="28"/>
    </row>
    <row r="192" spans="1:4" ht="20" x14ac:dyDescent="0.35">
      <c r="A192" s="76"/>
      <c r="B192" s="19"/>
      <c r="C192" s="28"/>
      <c r="D192" s="28"/>
    </row>
    <row r="193" spans="1:4" ht="20" x14ac:dyDescent="0.35">
      <c r="A193" s="76"/>
      <c r="B193" s="19"/>
      <c r="C193" s="28"/>
      <c r="D193" s="28"/>
    </row>
    <row r="194" spans="1:4" ht="20" x14ac:dyDescent="0.35">
      <c r="A194" s="76"/>
      <c r="B194" s="19"/>
      <c r="C194" s="28"/>
      <c r="D194" s="28"/>
    </row>
    <row r="195" spans="1:4" ht="20" x14ac:dyDescent="0.35">
      <c r="A195" s="76"/>
      <c r="B195" s="19"/>
      <c r="C195" s="28"/>
      <c r="D195" s="28"/>
    </row>
    <row r="196" spans="1:4" ht="20" x14ac:dyDescent="0.35">
      <c r="A196" s="76"/>
      <c r="B196" s="19"/>
      <c r="C196" s="28"/>
      <c r="D196" s="28"/>
    </row>
    <row r="197" spans="1:4" ht="20" x14ac:dyDescent="0.35">
      <c r="A197" s="76"/>
      <c r="B197" s="19"/>
      <c r="C197" s="28"/>
      <c r="D197" s="28"/>
    </row>
    <row r="198" spans="1:4" ht="20" x14ac:dyDescent="0.35">
      <c r="A198" s="76"/>
      <c r="B198" s="19"/>
      <c r="C198" s="28"/>
      <c r="D198" s="28"/>
    </row>
    <row r="199" spans="1:4" ht="20" x14ac:dyDescent="0.35">
      <c r="A199" s="76"/>
      <c r="B199" s="19"/>
      <c r="C199" s="28"/>
      <c r="D199" s="28"/>
    </row>
    <row r="200" spans="1:4" ht="20" x14ac:dyDescent="0.35">
      <c r="A200" s="76"/>
      <c r="B200" s="19"/>
      <c r="C200" s="28"/>
      <c r="D200" s="28"/>
    </row>
    <row r="201" spans="1:4" ht="20" x14ac:dyDescent="0.35">
      <c r="A201" s="76"/>
      <c r="B201" s="19"/>
      <c r="C201" s="28"/>
      <c r="D201" s="28"/>
    </row>
    <row r="202" spans="1:4" ht="20" x14ac:dyDescent="0.35">
      <c r="A202" s="76"/>
      <c r="B202" s="19"/>
      <c r="C202" s="28"/>
      <c r="D202" s="28"/>
    </row>
    <row r="203" spans="1:4" ht="20" x14ac:dyDescent="0.35">
      <c r="A203" s="76"/>
      <c r="B203" s="19"/>
      <c r="C203" s="28"/>
      <c r="D203" s="28"/>
    </row>
    <row r="204" spans="1:4" ht="20" x14ac:dyDescent="0.35">
      <c r="A204" s="76"/>
      <c r="B204" s="19"/>
      <c r="C204" s="28"/>
      <c r="D204" s="28"/>
    </row>
    <row r="205" spans="1:4" ht="20" x14ac:dyDescent="0.35">
      <c r="A205" s="76"/>
      <c r="B205" s="19"/>
      <c r="C205" s="28"/>
      <c r="D205" s="28"/>
    </row>
    <row r="206" spans="1:4" ht="20" x14ac:dyDescent="0.35">
      <c r="A206" s="76"/>
      <c r="B206" s="19"/>
      <c r="C206" s="28"/>
      <c r="D206" s="28"/>
    </row>
    <row r="207" spans="1:4" ht="20" x14ac:dyDescent="0.35">
      <c r="A207" s="76"/>
      <c r="B207" s="19"/>
      <c r="C207" s="28"/>
      <c r="D207" s="28"/>
    </row>
    <row r="208" spans="1:4" x14ac:dyDescent="0.35">
      <c r="A208" s="56"/>
      <c r="B208" s="19"/>
      <c r="C208" s="19"/>
      <c r="D208" s="19"/>
    </row>
    <row r="209" spans="1:8" ht="20" x14ac:dyDescent="0.35">
      <c r="A209" s="56"/>
      <c r="B209" s="24" t="s">
        <v>81</v>
      </c>
      <c r="C209" s="24" t="s">
        <v>129</v>
      </c>
      <c r="D209" s="27" t="s">
        <v>81</v>
      </c>
      <c r="E209" s="27" t="s">
        <v>129</v>
      </c>
    </row>
    <row r="210" spans="1:8" ht="21" x14ac:dyDescent="0.5">
      <c r="A210" s="56"/>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5">
      <c r="A211" s="56"/>
      <c r="B211" s="25" t="s">
        <v>83</v>
      </c>
      <c r="C211" s="25" t="s">
        <v>86</v>
      </c>
      <c r="E211" t="s">
        <v>52</v>
      </c>
      <c r="F211" t="str">
        <f t="shared" si="0"/>
        <v xml:space="preserve"> Afectación menor a 10 SMLMV .</v>
      </c>
    </row>
    <row r="212" spans="1:8" ht="21" x14ac:dyDescent="0.5">
      <c r="A212" s="56"/>
      <c r="B212" s="25" t="s">
        <v>83</v>
      </c>
      <c r="C212" s="25" t="s">
        <v>87</v>
      </c>
      <c r="E212" t="s">
        <v>86</v>
      </c>
      <c r="F212" t="str">
        <f t="shared" si="0"/>
        <v xml:space="preserve"> Entre 10 y 50 SMLMV </v>
      </c>
    </row>
    <row r="213" spans="1:8" ht="21" x14ac:dyDescent="0.5">
      <c r="A213" s="56"/>
      <c r="B213" s="25" t="s">
        <v>83</v>
      </c>
      <c r="C213" s="25" t="s">
        <v>88</v>
      </c>
      <c r="E213" t="s">
        <v>87</v>
      </c>
      <c r="F213" t="str">
        <f t="shared" si="0"/>
        <v xml:space="preserve"> Entre 50 y 100 SMLMV </v>
      </c>
    </row>
    <row r="214" spans="1:8" ht="21" x14ac:dyDescent="0.5">
      <c r="A214" s="56"/>
      <c r="B214" s="25" t="s">
        <v>83</v>
      </c>
      <c r="C214" s="25" t="s">
        <v>89</v>
      </c>
      <c r="E214" t="s">
        <v>88</v>
      </c>
      <c r="F214" t="str">
        <f t="shared" si="0"/>
        <v xml:space="preserve"> Entre 100 y 500 SMLMV </v>
      </c>
    </row>
    <row r="215" spans="1:8" ht="21" x14ac:dyDescent="0.5">
      <c r="A215" s="56"/>
      <c r="B215" s="25" t="s">
        <v>51</v>
      </c>
      <c r="C215" s="25" t="s">
        <v>90</v>
      </c>
      <c r="E215" t="s">
        <v>89</v>
      </c>
      <c r="F215" t="str">
        <f t="shared" si="0"/>
        <v xml:space="preserve"> Mayor a 500 SMLMV </v>
      </c>
    </row>
    <row r="216" spans="1:8" ht="21" x14ac:dyDescent="0.5">
      <c r="A216" s="56"/>
      <c r="B216" s="25" t="s">
        <v>51</v>
      </c>
      <c r="C216" s="25" t="s">
        <v>521</v>
      </c>
      <c r="D216" t="s">
        <v>51</v>
      </c>
      <c r="F216" t="str">
        <f t="shared" si="0"/>
        <v>Pérdida Reputacional</v>
      </c>
    </row>
    <row r="217" spans="1:8" ht="21" x14ac:dyDescent="0.5">
      <c r="A217" s="56"/>
      <c r="B217" s="25" t="s">
        <v>51</v>
      </c>
      <c r="C217" s="25" t="s">
        <v>91</v>
      </c>
      <c r="E217" t="s">
        <v>90</v>
      </c>
      <c r="F217" t="str">
        <f t="shared" si="0"/>
        <v xml:space="preserve"> El riesgo afecta la imagen de alguna área de la organización</v>
      </c>
    </row>
    <row r="218" spans="1:8" ht="21" x14ac:dyDescent="0.5">
      <c r="A218" s="56"/>
      <c r="B218" s="25" t="s">
        <v>51</v>
      </c>
      <c r="C218" s="25" t="s">
        <v>523</v>
      </c>
      <c r="E218" t="s">
        <v>521</v>
      </c>
      <c r="F218" t="str">
        <f t="shared" si="0"/>
        <v xml:space="preserve"> El riesgo afecta la imagen de la entidad internamente, de conocimiento general, nivel interno, de junta directiva y accionistas y/o de proveedores</v>
      </c>
    </row>
    <row r="219" spans="1:8" ht="21" x14ac:dyDescent="0.5">
      <c r="A219" s="56"/>
      <c r="B219" s="25" t="s">
        <v>51</v>
      </c>
      <c r="C219" s="25" t="s">
        <v>109</v>
      </c>
      <c r="E219" t="s">
        <v>91</v>
      </c>
      <c r="F219" t="str">
        <f t="shared" si="0"/>
        <v xml:space="preserve"> El riesgo afecta la imagen de la entidad con algunos usuarios de relevancia frente al logro de los objetivos</v>
      </c>
    </row>
    <row r="220" spans="1:8" x14ac:dyDescent="0.35">
      <c r="A220" s="56"/>
      <c r="B220" s="26"/>
      <c r="C220" s="26"/>
      <c r="E220" t="s">
        <v>523</v>
      </c>
      <c r="F220" t="str">
        <f t="shared" si="0"/>
        <v xml:space="preserve"> El riesgo afecta la imagen de la entidad con efecto publicitario sostenido a nivel de sector administrativo, nivel departamental o municipal</v>
      </c>
    </row>
    <row r="221" spans="1:8" x14ac:dyDescent="0.35">
      <c r="A221" s="56"/>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35">
      <c r="A222" s="56"/>
      <c r="B222" s="26" t="str">
        <v>Afectación Económica o presupuestal</v>
      </c>
      <c r="C222" s="26"/>
    </row>
    <row r="223" spans="1:8" x14ac:dyDescent="0.35">
      <c r="B223" s="26" t="str">
        <v>Pérdida Reputacional</v>
      </c>
      <c r="C223" s="26"/>
      <c r="F223" s="29" t="s">
        <v>130</v>
      </c>
    </row>
    <row r="224" spans="1:8" x14ac:dyDescent="0.35">
      <c r="B224" s="18"/>
      <c r="C224" s="18"/>
      <c r="F224" s="29" t="s">
        <v>131</v>
      </c>
    </row>
    <row r="225" spans="2:4" x14ac:dyDescent="0.35">
      <c r="B225" s="18"/>
      <c r="C225" s="18"/>
    </row>
    <row r="226" spans="2:4" x14ac:dyDescent="0.35">
      <c r="B226" s="18"/>
      <c r="C226" s="18"/>
    </row>
    <row r="227" spans="2:4" x14ac:dyDescent="0.35">
      <c r="B227" s="18"/>
      <c r="C227" s="18"/>
      <c r="D227" s="18"/>
    </row>
    <row r="228" spans="2:4" x14ac:dyDescent="0.35">
      <c r="B228" s="18"/>
      <c r="C228" s="18"/>
      <c r="D228" s="18"/>
    </row>
    <row r="229" spans="2:4" x14ac:dyDescent="0.35">
      <c r="B229" s="18"/>
      <c r="C229" s="18"/>
      <c r="D229" s="18"/>
    </row>
    <row r="230" spans="2:4" x14ac:dyDescent="0.35">
      <c r="B230" s="18"/>
      <c r="C230" s="18"/>
      <c r="D230" s="18"/>
    </row>
    <row r="231" spans="2:4" x14ac:dyDescent="0.35">
      <c r="B231" s="18"/>
      <c r="C231" s="18"/>
      <c r="D231" s="18"/>
    </row>
    <row r="232" spans="2:4" x14ac:dyDescent="0.3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6953125" defaultRowHeight="13" x14ac:dyDescent="0.3"/>
  <cols>
    <col min="1" max="2" width="14.26953125" style="61"/>
    <col min="3" max="3" width="17" style="61" customWidth="1"/>
    <col min="4" max="4" width="14.26953125" style="61"/>
    <col min="5" max="5" width="46" style="61" customWidth="1"/>
    <col min="6" max="16384" width="14.26953125" style="61"/>
  </cols>
  <sheetData>
    <row r="1" spans="2:6" ht="24" customHeight="1" thickBot="1" x14ac:dyDescent="0.35">
      <c r="B1" s="545" t="s">
        <v>72</v>
      </c>
      <c r="C1" s="546"/>
      <c r="D1" s="546"/>
      <c r="E1" s="546"/>
      <c r="F1" s="547"/>
    </row>
    <row r="2" spans="2:6" ht="16" thickBot="1" x14ac:dyDescent="0.4">
      <c r="B2" s="62"/>
      <c r="C2" s="62"/>
      <c r="D2" s="62"/>
      <c r="E2" s="62"/>
      <c r="F2" s="62"/>
    </row>
    <row r="3" spans="2:6" ht="16" thickBot="1" x14ac:dyDescent="0.35">
      <c r="B3" s="549" t="s">
        <v>58</v>
      </c>
      <c r="C3" s="550"/>
      <c r="D3" s="550"/>
      <c r="E3" s="74" t="s">
        <v>59</v>
      </c>
      <c r="F3" s="75" t="s">
        <v>60</v>
      </c>
    </row>
    <row r="4" spans="2:6" ht="31" x14ac:dyDescent="0.3">
      <c r="B4" s="551" t="s">
        <v>61</v>
      </c>
      <c r="C4" s="553" t="s">
        <v>13</v>
      </c>
      <c r="D4" s="63" t="s">
        <v>14</v>
      </c>
      <c r="E4" s="64" t="s">
        <v>62</v>
      </c>
      <c r="F4" s="65">
        <v>0.25</v>
      </c>
    </row>
    <row r="5" spans="2:6" ht="46.5" x14ac:dyDescent="0.3">
      <c r="B5" s="552"/>
      <c r="C5" s="554"/>
      <c r="D5" s="66" t="s">
        <v>15</v>
      </c>
      <c r="E5" s="67" t="s">
        <v>63</v>
      </c>
      <c r="F5" s="68">
        <v>0.15</v>
      </c>
    </row>
    <row r="6" spans="2:6" ht="46.5" x14ac:dyDescent="0.3">
      <c r="B6" s="552"/>
      <c r="C6" s="554"/>
      <c r="D6" s="66" t="s">
        <v>16</v>
      </c>
      <c r="E6" s="67" t="s">
        <v>64</v>
      </c>
      <c r="F6" s="68">
        <v>0.1</v>
      </c>
    </row>
    <row r="7" spans="2:6" ht="62" x14ac:dyDescent="0.3">
      <c r="B7" s="552"/>
      <c r="C7" s="554" t="s">
        <v>17</v>
      </c>
      <c r="D7" s="66" t="s">
        <v>10</v>
      </c>
      <c r="E7" s="67" t="s">
        <v>65</v>
      </c>
      <c r="F7" s="68">
        <v>0.25</v>
      </c>
    </row>
    <row r="8" spans="2:6" ht="31" x14ac:dyDescent="0.3">
      <c r="B8" s="552"/>
      <c r="C8" s="554"/>
      <c r="D8" s="66" t="s">
        <v>9</v>
      </c>
      <c r="E8" s="67" t="s">
        <v>66</v>
      </c>
      <c r="F8" s="68">
        <v>0.15</v>
      </c>
    </row>
    <row r="9" spans="2:6" ht="46.5" x14ac:dyDescent="0.3">
      <c r="B9" s="552" t="s">
        <v>136</v>
      </c>
      <c r="C9" s="554" t="s">
        <v>18</v>
      </c>
      <c r="D9" s="66" t="s">
        <v>19</v>
      </c>
      <c r="E9" s="67" t="s">
        <v>67</v>
      </c>
      <c r="F9" s="69" t="s">
        <v>68</v>
      </c>
    </row>
    <row r="10" spans="2:6" ht="46.5" x14ac:dyDescent="0.3">
      <c r="B10" s="552"/>
      <c r="C10" s="554"/>
      <c r="D10" s="66" t="s">
        <v>20</v>
      </c>
      <c r="E10" s="67" t="s">
        <v>69</v>
      </c>
      <c r="F10" s="69" t="s">
        <v>68</v>
      </c>
    </row>
    <row r="11" spans="2:6" ht="46.5" x14ac:dyDescent="0.3">
      <c r="B11" s="552"/>
      <c r="C11" s="554" t="s">
        <v>21</v>
      </c>
      <c r="D11" s="66" t="s">
        <v>22</v>
      </c>
      <c r="E11" s="67" t="s">
        <v>70</v>
      </c>
      <c r="F11" s="69" t="s">
        <v>68</v>
      </c>
    </row>
    <row r="12" spans="2:6" ht="46.5" x14ac:dyDescent="0.3">
      <c r="B12" s="552"/>
      <c r="C12" s="554"/>
      <c r="D12" s="66" t="s">
        <v>23</v>
      </c>
      <c r="E12" s="67" t="s">
        <v>71</v>
      </c>
      <c r="F12" s="69" t="s">
        <v>68</v>
      </c>
    </row>
    <row r="13" spans="2:6" ht="31" x14ac:dyDescent="0.3">
      <c r="B13" s="552"/>
      <c r="C13" s="554" t="s">
        <v>24</v>
      </c>
      <c r="D13" s="66" t="s">
        <v>110</v>
      </c>
      <c r="E13" s="67" t="s">
        <v>113</v>
      </c>
      <c r="F13" s="69" t="s">
        <v>68</v>
      </c>
    </row>
    <row r="14" spans="2:6" ht="16" thickBot="1" x14ac:dyDescent="0.35">
      <c r="B14" s="555"/>
      <c r="C14" s="556"/>
      <c r="D14" s="70" t="s">
        <v>111</v>
      </c>
      <c r="E14" s="71" t="s">
        <v>112</v>
      </c>
      <c r="F14" s="72" t="s">
        <v>68</v>
      </c>
    </row>
    <row r="15" spans="2:6" ht="49.5" customHeight="1" x14ac:dyDescent="0.3">
      <c r="B15" s="548" t="s">
        <v>133</v>
      </c>
      <c r="C15" s="548"/>
      <c r="D15" s="548"/>
      <c r="E15" s="548"/>
      <c r="F15" s="548"/>
    </row>
    <row r="16" spans="2:6" ht="27" customHeight="1" x14ac:dyDescent="0.3">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31</v>
      </c>
      <c r="E2" t="s">
        <v>119</v>
      </c>
    </row>
    <row r="3" spans="2:5" x14ac:dyDescent="0.35">
      <c r="B3" t="s">
        <v>32</v>
      </c>
      <c r="E3" t="s">
        <v>118</v>
      </c>
    </row>
    <row r="4" spans="2:5" x14ac:dyDescent="0.35">
      <c r="B4" t="s">
        <v>123</v>
      </c>
      <c r="E4" t="s">
        <v>120</v>
      </c>
    </row>
    <row r="5" spans="2:5" x14ac:dyDescent="0.35">
      <c r="B5" t="s">
        <v>122</v>
      </c>
    </row>
    <row r="8" spans="2:5" x14ac:dyDescent="0.35">
      <c r="B8" t="s">
        <v>525</v>
      </c>
    </row>
    <row r="9" spans="2:5" x14ac:dyDescent="0.35">
      <c r="B9" t="s">
        <v>36</v>
      </c>
    </row>
    <row r="10" spans="2:5" x14ac:dyDescent="0.35">
      <c r="B10" t="s">
        <v>37</v>
      </c>
    </row>
    <row r="13" spans="2:5" x14ac:dyDescent="0.35">
      <c r="B13" t="s">
        <v>336</v>
      </c>
    </row>
    <row r="14" spans="2:5" x14ac:dyDescent="0.35">
      <c r="B14" t="s">
        <v>334</v>
      </c>
    </row>
    <row r="15" spans="2:5" x14ac:dyDescent="0.35">
      <c r="B15" t="s">
        <v>343</v>
      </c>
    </row>
    <row r="16" spans="2:5" x14ac:dyDescent="0.35">
      <c r="B16" t="s">
        <v>114</v>
      </c>
    </row>
    <row r="17" spans="2:2" x14ac:dyDescent="0.35">
      <c r="B17" t="s">
        <v>115</v>
      </c>
    </row>
    <row r="18" spans="2:2" x14ac:dyDescent="0.35">
      <c r="B18" t="s">
        <v>116</v>
      </c>
    </row>
    <row r="19" spans="2:2" x14ac:dyDescent="0.3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81640625" style="5" customWidth="1"/>
    <col min="2" max="16384" width="11.453125" style="5"/>
  </cols>
  <sheetData>
    <row r="3" spans="1:1" x14ac:dyDescent="0.3">
      <c r="A3" s="6" t="s">
        <v>14</v>
      </c>
    </row>
    <row r="4" spans="1:1" x14ac:dyDescent="0.3">
      <c r="A4" s="6" t="s">
        <v>15</v>
      </c>
    </row>
    <row r="5" spans="1:1" x14ac:dyDescent="0.3">
      <c r="A5" s="6" t="s">
        <v>16</v>
      </c>
    </row>
    <row r="6" spans="1:1" x14ac:dyDescent="0.3">
      <c r="A6" s="6" t="s">
        <v>10</v>
      </c>
    </row>
    <row r="7" spans="1:1" x14ac:dyDescent="0.3">
      <c r="A7" s="6" t="s">
        <v>9</v>
      </c>
    </row>
    <row r="8" spans="1:1" x14ac:dyDescent="0.3">
      <c r="A8" s="6" t="s">
        <v>19</v>
      </c>
    </row>
    <row r="9" spans="1:1" x14ac:dyDescent="0.3">
      <c r="A9" s="6" t="s">
        <v>20</v>
      </c>
    </row>
    <row r="10" spans="1:1" x14ac:dyDescent="0.3">
      <c r="A10" s="6" t="s">
        <v>22</v>
      </c>
    </row>
    <row r="11" spans="1:1" x14ac:dyDescent="0.3">
      <c r="A11" s="6" t="s">
        <v>23</v>
      </c>
    </row>
    <row r="12" spans="1:1" x14ac:dyDescent="0.3">
      <c r="A12" s="6" t="s">
        <v>25</v>
      </c>
    </row>
    <row r="13" spans="1:1" x14ac:dyDescent="0.3">
      <c r="A13" s="6" t="s">
        <v>26</v>
      </c>
    </row>
    <row r="14" spans="1:1" x14ac:dyDescent="0.3">
      <c r="A14" s="6" t="s">
        <v>27</v>
      </c>
    </row>
    <row r="16" spans="1:1" x14ac:dyDescent="0.3">
      <c r="A16" s="6" t="s">
        <v>30</v>
      </c>
    </row>
    <row r="17" spans="1:1" x14ac:dyDescent="0.3">
      <c r="A17" s="6" t="s">
        <v>31</v>
      </c>
    </row>
    <row r="18" spans="1:1" x14ac:dyDescent="0.3">
      <c r="A18" s="6" t="s">
        <v>32</v>
      </c>
    </row>
    <row r="20" spans="1:1" x14ac:dyDescent="0.3">
      <c r="A20" s="6" t="s">
        <v>36</v>
      </c>
    </row>
    <row r="21" spans="1:1" x14ac:dyDescent="0.3">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Luis Jorge Rosso Suescun</cp:lastModifiedBy>
  <cp:lastPrinted>2021-10-13T03:54:14Z</cp:lastPrinted>
  <dcterms:created xsi:type="dcterms:W3CDTF">2020-03-24T23:12:47Z</dcterms:created>
  <dcterms:modified xsi:type="dcterms:W3CDTF">2022-08-30T19:44:03Z</dcterms:modified>
</cp:coreProperties>
</file>