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hidePivotFieldList="1" defaultThemeVersion="124226"/>
  <mc:AlternateContent xmlns:mc="http://schemas.openxmlformats.org/markup-compatibility/2006">
    <mc:Choice Requires="x15">
      <x15ac:absPath xmlns:x15ac="http://schemas.microsoft.com/office/spreadsheetml/2010/11/ac" url="https://d.docs.live.net/39b96dd7f370cd8c/Escritorio/"/>
    </mc:Choice>
  </mc:AlternateContent>
  <xr:revisionPtr revIDLastSave="60" documentId="14_{11E4D497-15D5-4958-A8DC-E09275E16186}" xr6:coauthVersionLast="47" xr6:coauthVersionMax="47" xr10:uidLastSave="{EE5FD6F0-F7D9-491B-85B2-0AFA7A250B51}"/>
  <bookViews>
    <workbookView xWindow="-108" yWindow="-108" windowWidth="23256" windowHeight="12456" tabRatio="882" activeTab="2" xr2:uid="{00000000-000D-0000-FFFF-FFFF00000000}"/>
  </bookViews>
  <sheets>
    <sheet name="Intructivo" sheetId="20" r:id="rId1"/>
    <sheet name="Matriz Calor Residual" sheetId="19" r:id="rId2"/>
    <sheet name="Mapa final" sheetId="1" r:id="rId3"/>
    <sheet name="Matriz Calor Inherente" sheetId="18" r:id="rId4"/>
    <sheet name="Tabla probabilidad" sheetId="12" r:id="rId5"/>
    <sheet name="Tabla Impacto" sheetId="13" r:id="rId6"/>
    <sheet name="Tabla Valoración controles" sheetId="15" r:id="rId7"/>
    <sheet name="Opciones Tratamiento" sheetId="16" state="hidden" r:id="rId8"/>
    <sheet name="Hoja1" sheetId="11" state="hidden" r:id="rId9"/>
  </sheets>
  <externalReferences>
    <externalReference r:id="rId10"/>
  </externalReferences>
  <definedNames>
    <definedName name="_xlnm._FilterDatabase" localSheetId="2" hidden="1">'Mapa final'!$A$6:$CI$139</definedName>
  </definedNames>
  <calcPr calcId="191029"/>
  <pivotCaches>
    <pivotCache cacheId="1"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139" i="1" l="1"/>
  <c r="AO139" i="1"/>
  <c r="T37" i="1" l="1"/>
  <c r="W37" i="1"/>
  <c r="T38" i="1"/>
  <c r="T39" i="1"/>
  <c r="T40" i="1"/>
  <c r="W129" i="1"/>
  <c r="T129" i="1"/>
  <c r="AE129" i="1" s="1"/>
  <c r="AD129" i="1" s="1"/>
  <c r="W128" i="1"/>
  <c r="T128" i="1"/>
  <c r="AE128" i="1" s="1"/>
  <c r="AD128" i="1" s="1"/>
  <c r="W127" i="1"/>
  <c r="T127" i="1"/>
  <c r="K127" i="1"/>
  <c r="AA129" i="1" l="1"/>
  <c r="L127" i="1"/>
  <c r="AA127" i="1" s="1"/>
  <c r="AB127" i="1" l="1"/>
  <c r="AC127" i="1"/>
  <c r="AA128" i="1"/>
  <c r="AC129" i="1"/>
  <c r="AB129" i="1"/>
  <c r="AF129" i="1" s="1"/>
  <c r="AB128" i="1" l="1"/>
  <c r="AF128" i="1" s="1"/>
  <c r="AC128" i="1"/>
  <c r="X219" i="19" l="1"/>
  <c r="X211" i="19"/>
  <c r="W211" i="19"/>
  <c r="X207" i="19"/>
  <c r="W207" i="19"/>
  <c r="X206" i="19"/>
  <c r="W206" i="19"/>
  <c r="X205" i="19"/>
  <c r="W205" i="19"/>
  <c r="X204" i="19"/>
  <c r="W204" i="19"/>
  <c r="V195" i="19"/>
  <c r="X194" i="19"/>
  <c r="X175" i="19"/>
  <c r="X167" i="19"/>
  <c r="W167" i="19"/>
  <c r="X163" i="19"/>
  <c r="W163" i="19"/>
  <c r="X162" i="19"/>
  <c r="W162" i="19"/>
  <c r="X161" i="19"/>
  <c r="W161" i="19"/>
  <c r="X160" i="19"/>
  <c r="W160" i="19"/>
  <c r="V151" i="19"/>
  <c r="X150" i="19"/>
  <c r="X131" i="19"/>
  <c r="X123" i="19"/>
  <c r="W123" i="19"/>
  <c r="X119" i="19"/>
  <c r="W119" i="19"/>
  <c r="X118" i="19"/>
  <c r="W118" i="19"/>
  <c r="X117" i="19"/>
  <c r="W117" i="19"/>
  <c r="X116" i="19"/>
  <c r="W116" i="19"/>
  <c r="V107" i="19"/>
  <c r="X106" i="19"/>
  <c r="X87" i="19"/>
  <c r="X79" i="19"/>
  <c r="W79" i="19"/>
  <c r="X75" i="19"/>
  <c r="W75" i="19"/>
  <c r="X74" i="19"/>
  <c r="W74" i="19"/>
  <c r="X73" i="19"/>
  <c r="W73" i="19"/>
  <c r="X72" i="19"/>
  <c r="W72" i="19"/>
  <c r="V63" i="19"/>
  <c r="X62" i="19"/>
  <c r="X43" i="19"/>
  <c r="X35" i="19"/>
  <c r="W35" i="19"/>
  <c r="X31" i="19"/>
  <c r="W31" i="19"/>
  <c r="X30" i="19"/>
  <c r="W30" i="19"/>
  <c r="X29" i="19"/>
  <c r="W29" i="19"/>
  <c r="X28" i="19"/>
  <c r="W28" i="19"/>
  <c r="V19" i="19"/>
  <c r="X18" i="19"/>
  <c r="U219" i="19"/>
  <c r="U211" i="19"/>
  <c r="T211" i="19"/>
  <c r="U207" i="19"/>
  <c r="T207" i="19"/>
  <c r="U206" i="19"/>
  <c r="T206" i="19"/>
  <c r="U205" i="19"/>
  <c r="T205" i="19"/>
  <c r="U204" i="19"/>
  <c r="T204" i="19"/>
  <c r="S195" i="19"/>
  <c r="U194" i="19"/>
  <c r="U175" i="19"/>
  <c r="U167" i="19"/>
  <c r="T167" i="19"/>
  <c r="U163" i="19"/>
  <c r="T163" i="19"/>
  <c r="U162" i="19"/>
  <c r="T162" i="19"/>
  <c r="U161" i="19"/>
  <c r="T161" i="19"/>
  <c r="U160" i="19"/>
  <c r="T160" i="19"/>
  <c r="S151" i="19"/>
  <c r="U150" i="19"/>
  <c r="U131" i="19"/>
  <c r="U123" i="19"/>
  <c r="T123" i="19"/>
  <c r="U119" i="19"/>
  <c r="T119" i="19"/>
  <c r="U118" i="19"/>
  <c r="T118" i="19"/>
  <c r="U117" i="19"/>
  <c r="T117" i="19"/>
  <c r="U116" i="19"/>
  <c r="T116" i="19"/>
  <c r="S107" i="19"/>
  <c r="U106" i="19"/>
  <c r="U87" i="19"/>
  <c r="U79" i="19"/>
  <c r="T79" i="19"/>
  <c r="U75" i="19"/>
  <c r="T75" i="19"/>
  <c r="U74" i="19"/>
  <c r="T74" i="19"/>
  <c r="U73" i="19"/>
  <c r="T73" i="19"/>
  <c r="U72" i="19"/>
  <c r="T72" i="19"/>
  <c r="S63" i="19"/>
  <c r="U62" i="19"/>
  <c r="U43" i="19"/>
  <c r="U35" i="19"/>
  <c r="T35" i="19"/>
  <c r="U31" i="19"/>
  <c r="T31" i="19"/>
  <c r="U30" i="19"/>
  <c r="T30" i="19"/>
  <c r="U29" i="19"/>
  <c r="T29" i="19"/>
  <c r="U28" i="19"/>
  <c r="T28" i="19"/>
  <c r="S19" i="19"/>
  <c r="U18" i="19"/>
  <c r="R219" i="19"/>
  <c r="R211" i="19"/>
  <c r="Q211" i="19"/>
  <c r="R207" i="19"/>
  <c r="Q207" i="19"/>
  <c r="R206" i="19"/>
  <c r="Q206" i="19"/>
  <c r="R205" i="19"/>
  <c r="Q205" i="19"/>
  <c r="R204" i="19"/>
  <c r="Q204" i="19"/>
  <c r="P195" i="19"/>
  <c r="R194" i="19"/>
  <c r="R175" i="19"/>
  <c r="R167" i="19"/>
  <c r="Q167" i="19"/>
  <c r="R163" i="19"/>
  <c r="Q163" i="19"/>
  <c r="R162" i="19"/>
  <c r="Q162" i="19"/>
  <c r="R161" i="19"/>
  <c r="Q161" i="19"/>
  <c r="R160" i="19"/>
  <c r="Q160" i="19"/>
  <c r="P151" i="19"/>
  <c r="R150" i="19"/>
  <c r="R131" i="19"/>
  <c r="R123" i="19"/>
  <c r="Q123" i="19"/>
  <c r="R119" i="19"/>
  <c r="Q119" i="19"/>
  <c r="R118" i="19"/>
  <c r="Q118" i="19"/>
  <c r="R117" i="19"/>
  <c r="Q117" i="19"/>
  <c r="R116" i="19"/>
  <c r="Q116" i="19"/>
  <c r="P107" i="19"/>
  <c r="R106" i="19"/>
  <c r="R87" i="19"/>
  <c r="R79" i="19"/>
  <c r="Q79" i="19"/>
  <c r="R75" i="19"/>
  <c r="Q75" i="19"/>
  <c r="R74" i="19"/>
  <c r="Q74" i="19"/>
  <c r="R73" i="19"/>
  <c r="Q73" i="19"/>
  <c r="R72" i="19"/>
  <c r="Q72" i="19"/>
  <c r="P63" i="19"/>
  <c r="R62" i="19"/>
  <c r="R43" i="19"/>
  <c r="R35" i="19"/>
  <c r="Q35" i="19"/>
  <c r="R31" i="19"/>
  <c r="Q31" i="19"/>
  <c r="R30" i="19"/>
  <c r="Q30" i="19"/>
  <c r="R29" i="19"/>
  <c r="Q29" i="19"/>
  <c r="R28" i="19"/>
  <c r="Q28" i="19"/>
  <c r="P19" i="19"/>
  <c r="R18" i="19"/>
  <c r="O219" i="19"/>
  <c r="O211" i="19"/>
  <c r="N211" i="19"/>
  <c r="O207" i="19"/>
  <c r="N207" i="19"/>
  <c r="O206" i="19"/>
  <c r="N206" i="19"/>
  <c r="O205" i="19"/>
  <c r="N205" i="19"/>
  <c r="O204" i="19"/>
  <c r="N204" i="19"/>
  <c r="M195" i="19"/>
  <c r="O194" i="19"/>
  <c r="O175" i="19"/>
  <c r="O167" i="19"/>
  <c r="N167" i="19"/>
  <c r="O163" i="19"/>
  <c r="N163" i="19"/>
  <c r="O162" i="19"/>
  <c r="N162" i="19"/>
  <c r="O161" i="19"/>
  <c r="N161" i="19"/>
  <c r="O160" i="19"/>
  <c r="N160" i="19"/>
  <c r="M151" i="19"/>
  <c r="O150" i="19"/>
  <c r="O131" i="19"/>
  <c r="O123" i="19"/>
  <c r="N123" i="19"/>
  <c r="O119" i="19"/>
  <c r="N119" i="19"/>
  <c r="O118" i="19"/>
  <c r="N118" i="19"/>
  <c r="O117" i="19"/>
  <c r="N117" i="19"/>
  <c r="O116" i="19"/>
  <c r="N116" i="19"/>
  <c r="M107" i="19"/>
  <c r="O106" i="19"/>
  <c r="O87" i="19"/>
  <c r="O79" i="19"/>
  <c r="N79" i="19"/>
  <c r="O75" i="19"/>
  <c r="N75" i="19"/>
  <c r="O74" i="19"/>
  <c r="N74" i="19"/>
  <c r="O73" i="19"/>
  <c r="N73" i="19"/>
  <c r="O72" i="19"/>
  <c r="N72" i="19"/>
  <c r="M63" i="19"/>
  <c r="O62" i="19"/>
  <c r="O43" i="19"/>
  <c r="O35" i="19"/>
  <c r="N35" i="19"/>
  <c r="O31" i="19"/>
  <c r="N31" i="19"/>
  <c r="O30" i="19"/>
  <c r="N30" i="19"/>
  <c r="O29" i="19"/>
  <c r="N29" i="19"/>
  <c r="O28" i="19"/>
  <c r="N28" i="19"/>
  <c r="M19" i="19"/>
  <c r="O18" i="19"/>
  <c r="L219" i="19"/>
  <c r="L211" i="19"/>
  <c r="K211" i="19"/>
  <c r="L207" i="19"/>
  <c r="K207" i="19"/>
  <c r="L206" i="19"/>
  <c r="K206" i="19"/>
  <c r="L205" i="19"/>
  <c r="K205" i="19"/>
  <c r="L204" i="19"/>
  <c r="K204" i="19"/>
  <c r="J195" i="19"/>
  <c r="L194" i="19"/>
  <c r="L175" i="19"/>
  <c r="L167" i="19"/>
  <c r="K167" i="19"/>
  <c r="L163" i="19"/>
  <c r="K163" i="19"/>
  <c r="L162" i="19"/>
  <c r="K162" i="19"/>
  <c r="L161" i="19"/>
  <c r="K161" i="19"/>
  <c r="L160" i="19"/>
  <c r="K160" i="19"/>
  <c r="J151" i="19"/>
  <c r="L150" i="19"/>
  <c r="L131" i="19"/>
  <c r="L123" i="19"/>
  <c r="K123" i="19"/>
  <c r="L119" i="19"/>
  <c r="K119" i="19"/>
  <c r="L118" i="19"/>
  <c r="K118" i="19"/>
  <c r="L117" i="19"/>
  <c r="K117" i="19"/>
  <c r="L116" i="19"/>
  <c r="K116" i="19"/>
  <c r="J107" i="19"/>
  <c r="L106" i="19"/>
  <c r="L87" i="19"/>
  <c r="L79" i="19"/>
  <c r="K79" i="19"/>
  <c r="L75" i="19"/>
  <c r="K75" i="19"/>
  <c r="L74" i="19"/>
  <c r="K74" i="19"/>
  <c r="L73" i="19"/>
  <c r="K73" i="19"/>
  <c r="L72" i="19"/>
  <c r="K72" i="19"/>
  <c r="J63" i="19"/>
  <c r="L62" i="19"/>
  <c r="L43" i="19"/>
  <c r="L35" i="19"/>
  <c r="K35" i="19"/>
  <c r="L31" i="19"/>
  <c r="K31" i="19"/>
  <c r="L30" i="19"/>
  <c r="K30" i="19"/>
  <c r="L29" i="19"/>
  <c r="K29" i="19"/>
  <c r="L28" i="19"/>
  <c r="K28" i="19"/>
  <c r="J19" i="19"/>
  <c r="L18" i="19"/>
  <c r="BF94" i="18"/>
  <c r="BD94" i="18"/>
  <c r="BF76" i="18"/>
  <c r="BD76" i="18"/>
  <c r="BF58" i="18"/>
  <c r="BD58" i="18"/>
  <c r="BF40" i="18"/>
  <c r="BD40" i="18"/>
  <c r="BF22" i="18"/>
  <c r="BD22" i="18"/>
  <c r="AV94" i="18"/>
  <c r="AT94" i="18"/>
  <c r="AV76" i="18"/>
  <c r="AT76" i="18"/>
  <c r="AV58" i="18"/>
  <c r="AT58" i="18"/>
  <c r="AV40" i="18"/>
  <c r="AT40" i="18"/>
  <c r="AV22" i="18"/>
  <c r="AT22" i="18"/>
  <c r="AL94" i="18"/>
  <c r="AJ94" i="18"/>
  <c r="AL76" i="18"/>
  <c r="AJ76" i="18"/>
  <c r="AL58" i="18"/>
  <c r="AJ58" i="18"/>
  <c r="AL40" i="18"/>
  <c r="AJ40" i="18"/>
  <c r="AL22" i="18"/>
  <c r="AJ22" i="18"/>
  <c r="AB94" i="18"/>
  <c r="Z94" i="18"/>
  <c r="AB76" i="18"/>
  <c r="Z76" i="18"/>
  <c r="AB58" i="18"/>
  <c r="Z58" i="18"/>
  <c r="AB40" i="18"/>
  <c r="Z40" i="18"/>
  <c r="AB22" i="18"/>
  <c r="Z22" i="18"/>
  <c r="R94" i="18"/>
  <c r="P94" i="18"/>
  <c r="R76" i="18"/>
  <c r="P76" i="18"/>
  <c r="R58" i="18"/>
  <c r="P58" i="18"/>
  <c r="R40" i="18"/>
  <c r="P40" i="18"/>
  <c r="R22" i="18"/>
  <c r="P22" i="18"/>
  <c r="K7" i="1" l="1"/>
  <c r="T116" i="1"/>
  <c r="AE116" i="1" s="1"/>
  <c r="AD116" i="1" s="1"/>
  <c r="W116" i="1" l="1"/>
  <c r="AA116" i="1" s="1"/>
  <c r="AC116" i="1" l="1"/>
  <c r="AB116" i="1"/>
  <c r="W65" i="1"/>
  <c r="T65" i="1"/>
  <c r="AE65" i="1" s="1"/>
  <c r="AD65" i="1" s="1"/>
  <c r="W64" i="1"/>
  <c r="T64" i="1"/>
  <c r="AF116" i="1" l="1"/>
  <c r="W175" i="19"/>
  <c r="W219" i="19"/>
  <c r="W43" i="19"/>
  <c r="W87" i="19"/>
  <c r="T87" i="19"/>
  <c r="T131" i="19"/>
  <c r="W131" i="19"/>
  <c r="T175" i="19"/>
  <c r="T43" i="19"/>
  <c r="Q131" i="19"/>
  <c r="Q175" i="19"/>
  <c r="Q87" i="19"/>
  <c r="T219" i="19"/>
  <c r="N175" i="19"/>
  <c r="K219" i="19"/>
  <c r="N131" i="19"/>
  <c r="Q43" i="19"/>
  <c r="N87" i="19"/>
  <c r="Q219" i="19"/>
  <c r="K175" i="19"/>
  <c r="K131" i="19"/>
  <c r="N219" i="19"/>
  <c r="N43" i="19"/>
  <c r="K87" i="19"/>
  <c r="K43" i="19"/>
  <c r="W105" i="1"/>
  <c r="T105" i="1"/>
  <c r="W104" i="1"/>
  <c r="T104" i="1"/>
  <c r="AE104" i="1" s="1"/>
  <c r="AD104" i="1" s="1"/>
  <c r="W103" i="1"/>
  <c r="T103" i="1"/>
  <c r="K103" i="1"/>
  <c r="L103" i="1" l="1"/>
  <c r="AA103" i="1" s="1"/>
  <c r="AA104" i="1" s="1"/>
  <c r="AE105" i="1"/>
  <c r="AD105" i="1" s="1"/>
  <c r="AC104" i="1" l="1"/>
  <c r="AB104" i="1"/>
  <c r="AA105" i="1"/>
  <c r="AC103" i="1"/>
  <c r="AB103" i="1"/>
  <c r="AF104" i="1" l="1"/>
  <c r="W215" i="19"/>
  <c r="W83" i="19"/>
  <c r="W127" i="19"/>
  <c r="T127" i="19"/>
  <c r="T215" i="19"/>
  <c r="T171" i="19"/>
  <c r="Q171" i="19"/>
  <c r="W39" i="19"/>
  <c r="Q215" i="19"/>
  <c r="T39" i="19"/>
  <c r="T83" i="19"/>
  <c r="Q127" i="19"/>
  <c r="N215" i="19"/>
  <c r="N39" i="19"/>
  <c r="W171" i="19"/>
  <c r="Q83" i="19"/>
  <c r="Q39" i="19"/>
  <c r="N171" i="19"/>
  <c r="N127" i="19"/>
  <c r="K171" i="19"/>
  <c r="N83" i="19"/>
  <c r="K215" i="19"/>
  <c r="K83" i="19"/>
  <c r="K127" i="19"/>
  <c r="K39" i="19"/>
  <c r="AC105" i="1"/>
  <c r="AB105" i="1"/>
  <c r="AF105" i="1" l="1"/>
  <c r="X83" i="19"/>
  <c r="X171" i="19"/>
  <c r="U215" i="19"/>
  <c r="X215" i="19"/>
  <c r="U171" i="19"/>
  <c r="R171" i="19"/>
  <c r="U127" i="19"/>
  <c r="X39" i="19"/>
  <c r="R215" i="19"/>
  <c r="X127" i="19"/>
  <c r="U39" i="19"/>
  <c r="U83" i="19"/>
  <c r="R39" i="19"/>
  <c r="O83" i="19"/>
  <c r="O39" i="19"/>
  <c r="R127" i="19"/>
  <c r="R83" i="19"/>
  <c r="O215" i="19"/>
  <c r="L215" i="19"/>
  <c r="O171" i="19"/>
  <c r="O127" i="19"/>
  <c r="L127" i="19"/>
  <c r="L39" i="19"/>
  <c r="L171" i="19"/>
  <c r="L83" i="19"/>
  <c r="W90" i="1"/>
  <c r="T90" i="1"/>
  <c r="AA90" i="1" s="1"/>
  <c r="W89" i="1"/>
  <c r="T89" i="1"/>
  <c r="AA89" i="1" s="1"/>
  <c r="AC89" i="1" s="1"/>
  <c r="AE89" i="1" l="1"/>
  <c r="AD89" i="1" s="1"/>
  <c r="AB90" i="1"/>
  <c r="AC90" i="1"/>
  <c r="AE90" i="1"/>
  <c r="AD90" i="1" s="1"/>
  <c r="AB89" i="1"/>
  <c r="W69" i="1"/>
  <c r="T69" i="1"/>
  <c r="AD68" i="1"/>
  <c r="W68" i="1"/>
  <c r="T68" i="1"/>
  <c r="W67" i="1"/>
  <c r="T67" i="1"/>
  <c r="K67" i="1"/>
  <c r="W78" i="19" l="1"/>
  <c r="W166" i="19"/>
  <c r="T210" i="19"/>
  <c r="T166" i="19"/>
  <c r="W122" i="19"/>
  <c r="W34" i="19"/>
  <c r="Q166" i="19"/>
  <c r="T122" i="19"/>
  <c r="Q210" i="19"/>
  <c r="T34" i="19"/>
  <c r="Q34" i="19"/>
  <c r="N78" i="19"/>
  <c r="N166" i="19"/>
  <c r="N122" i="19"/>
  <c r="Q122" i="19"/>
  <c r="W210" i="19"/>
  <c r="N34" i="19"/>
  <c r="K210" i="19"/>
  <c r="N210" i="19"/>
  <c r="T78" i="19"/>
  <c r="K166" i="19"/>
  <c r="K78" i="19"/>
  <c r="Q78" i="19"/>
  <c r="K122" i="19"/>
  <c r="K34" i="19"/>
  <c r="L67" i="1"/>
  <c r="AA67" i="1" s="1"/>
  <c r="AA68" i="1" s="1"/>
  <c r="AA69" i="1" s="1"/>
  <c r="X78" i="19"/>
  <c r="X122" i="19"/>
  <c r="X166" i="19"/>
  <c r="U210" i="19"/>
  <c r="U166" i="19"/>
  <c r="U78" i="19"/>
  <c r="U122" i="19"/>
  <c r="R210" i="19"/>
  <c r="U34" i="19"/>
  <c r="R34" i="19"/>
  <c r="O78" i="19"/>
  <c r="X210" i="19"/>
  <c r="O122" i="19"/>
  <c r="R122" i="19"/>
  <c r="X34" i="19"/>
  <c r="R166" i="19"/>
  <c r="L210" i="19"/>
  <c r="O210" i="19"/>
  <c r="O166" i="19"/>
  <c r="L166" i="19"/>
  <c r="L78" i="19"/>
  <c r="O34" i="19"/>
  <c r="R78" i="19"/>
  <c r="L122" i="19"/>
  <c r="L34" i="19"/>
  <c r="AF89" i="1"/>
  <c r="AF90" i="1"/>
  <c r="AE69" i="1"/>
  <c r="AD69" i="1" s="1"/>
  <c r="W102" i="1"/>
  <c r="W101" i="1"/>
  <c r="AB69" i="1" l="1"/>
  <c r="AC69" i="1"/>
  <c r="AC68" i="1"/>
  <c r="AB68" i="1"/>
  <c r="AC67" i="1"/>
  <c r="AB67" i="1"/>
  <c r="AF68" i="1" l="1"/>
  <c r="W115" i="19"/>
  <c r="W159" i="19"/>
  <c r="T203" i="19"/>
  <c r="W203" i="19"/>
  <c r="W27" i="19"/>
  <c r="W71" i="19"/>
  <c r="T71" i="19"/>
  <c r="T115" i="19"/>
  <c r="T27" i="19"/>
  <c r="Q115" i="19"/>
  <c r="T159" i="19"/>
  <c r="Q27" i="19"/>
  <c r="Q71" i="19"/>
  <c r="N115" i="19"/>
  <c r="K159" i="19"/>
  <c r="Q159" i="19"/>
  <c r="N203" i="19"/>
  <c r="N159" i="19"/>
  <c r="Q203" i="19"/>
  <c r="N71" i="19"/>
  <c r="K203" i="19"/>
  <c r="K115" i="19"/>
  <c r="K71" i="19"/>
  <c r="N27" i="19"/>
  <c r="K27" i="19"/>
  <c r="AF69" i="1"/>
  <c r="X159" i="19"/>
  <c r="U203" i="19"/>
  <c r="X71" i="19"/>
  <c r="X115" i="19"/>
  <c r="U71" i="19"/>
  <c r="X203" i="19"/>
  <c r="X27" i="19"/>
  <c r="U115" i="19"/>
  <c r="U27" i="19"/>
  <c r="R115" i="19"/>
  <c r="U159" i="19"/>
  <c r="R159" i="19"/>
  <c r="O159" i="19"/>
  <c r="L203" i="19"/>
  <c r="R203" i="19"/>
  <c r="O115" i="19"/>
  <c r="O71" i="19"/>
  <c r="R27" i="19"/>
  <c r="L115" i="19"/>
  <c r="L159" i="19"/>
  <c r="O203" i="19"/>
  <c r="O27" i="19"/>
  <c r="L27" i="19"/>
  <c r="R71" i="19"/>
  <c r="L71" i="19"/>
  <c r="W48" i="1"/>
  <c r="AA48" i="1" s="1"/>
  <c r="W47" i="1"/>
  <c r="AA47" i="1" s="1"/>
  <c r="W46" i="1"/>
  <c r="AA46" i="1" s="1"/>
  <c r="W45" i="1"/>
  <c r="T45" i="1"/>
  <c r="AA45" i="1" s="1"/>
  <c r="W44" i="1"/>
  <c r="T44" i="1"/>
  <c r="AE48" i="1"/>
  <c r="AD48" i="1" s="1"/>
  <c r="AE47" i="1"/>
  <c r="AD47" i="1" s="1"/>
  <c r="K44" i="1"/>
  <c r="AA39" i="1"/>
  <c r="L44" i="1" l="1"/>
  <c r="AA44" i="1" s="1"/>
  <c r="AE45" i="1"/>
  <c r="AD45" i="1" s="1"/>
  <c r="AC46" i="1"/>
  <c r="AB46" i="1"/>
  <c r="AE46" i="1"/>
  <c r="AD46" i="1" s="1"/>
  <c r="AC45" i="1"/>
  <c r="AB45" i="1"/>
  <c r="AC48" i="1"/>
  <c r="AB48" i="1"/>
  <c r="AC39" i="1"/>
  <c r="AB39" i="1"/>
  <c r="AE39" i="1"/>
  <c r="AD39" i="1" s="1"/>
  <c r="X193" i="19" l="1"/>
  <c r="X17" i="19"/>
  <c r="X105" i="19"/>
  <c r="U105" i="19"/>
  <c r="U193" i="19"/>
  <c r="U149" i="19"/>
  <c r="U61" i="19"/>
  <c r="X149" i="19"/>
  <c r="R149" i="19"/>
  <c r="U17" i="19"/>
  <c r="O193" i="19"/>
  <c r="O17" i="19"/>
  <c r="R61" i="19"/>
  <c r="O149" i="19"/>
  <c r="O105" i="19"/>
  <c r="R17" i="19"/>
  <c r="O61" i="19"/>
  <c r="R193" i="19"/>
  <c r="X61" i="19"/>
  <c r="L193" i="19"/>
  <c r="L17" i="19"/>
  <c r="L61" i="19"/>
  <c r="R105" i="19"/>
  <c r="L105" i="19"/>
  <c r="L149" i="19"/>
  <c r="V152" i="19"/>
  <c r="V196" i="19"/>
  <c r="V20" i="19"/>
  <c r="V64" i="19"/>
  <c r="V108" i="19"/>
  <c r="S108" i="19"/>
  <c r="S152" i="19"/>
  <c r="S196" i="19"/>
  <c r="S64" i="19"/>
  <c r="P152" i="19"/>
  <c r="P64" i="19"/>
  <c r="M152" i="19"/>
  <c r="J196" i="19"/>
  <c r="M196" i="19"/>
  <c r="P196" i="19"/>
  <c r="P108" i="19"/>
  <c r="M20" i="19"/>
  <c r="M108" i="19"/>
  <c r="P20" i="19"/>
  <c r="M64" i="19"/>
  <c r="J152" i="19"/>
  <c r="J108" i="19"/>
  <c r="J20" i="19"/>
  <c r="J64" i="19"/>
  <c r="S20" i="19"/>
  <c r="AF48" i="1"/>
  <c r="X196" i="19"/>
  <c r="X64" i="19"/>
  <c r="X108" i="19"/>
  <c r="U108" i="19"/>
  <c r="X152" i="19"/>
  <c r="U152" i="19"/>
  <c r="U196" i="19"/>
  <c r="U64" i="19"/>
  <c r="R152" i="19"/>
  <c r="R196" i="19"/>
  <c r="X20" i="19"/>
  <c r="O196" i="19"/>
  <c r="O20" i="19"/>
  <c r="U20" i="19"/>
  <c r="R108" i="19"/>
  <c r="R64" i="19"/>
  <c r="O152" i="19"/>
  <c r="O108" i="19"/>
  <c r="O64" i="19"/>
  <c r="R20" i="19"/>
  <c r="L196" i="19"/>
  <c r="L20" i="19"/>
  <c r="L64" i="19"/>
  <c r="L152" i="19"/>
  <c r="L108" i="19"/>
  <c r="X151" i="19"/>
  <c r="X63" i="19"/>
  <c r="U63" i="19"/>
  <c r="X107" i="19"/>
  <c r="U107" i="19"/>
  <c r="X195" i="19"/>
  <c r="U19" i="19"/>
  <c r="U195" i="19"/>
  <c r="R107" i="19"/>
  <c r="R195" i="19"/>
  <c r="X19" i="19"/>
  <c r="U151" i="19"/>
  <c r="O151" i="19"/>
  <c r="L195" i="19"/>
  <c r="O19" i="19"/>
  <c r="O195" i="19"/>
  <c r="R63" i="19"/>
  <c r="O107" i="19"/>
  <c r="L107" i="19"/>
  <c r="R151" i="19"/>
  <c r="L151" i="19"/>
  <c r="L63" i="19"/>
  <c r="O63" i="19"/>
  <c r="L19" i="19"/>
  <c r="R19" i="19"/>
  <c r="AF45" i="1"/>
  <c r="AF46" i="1"/>
  <c r="AC47" i="1"/>
  <c r="AB47" i="1"/>
  <c r="AC44" i="1"/>
  <c r="AB44" i="1"/>
  <c r="AF39" i="1"/>
  <c r="AF47" i="1" l="1"/>
  <c r="W196" i="19"/>
  <c r="W20" i="19"/>
  <c r="W108" i="19"/>
  <c r="T108" i="19"/>
  <c r="W152" i="19"/>
  <c r="W64" i="19"/>
  <c r="T152" i="19"/>
  <c r="T196" i="19"/>
  <c r="T64" i="19"/>
  <c r="Q152" i="19"/>
  <c r="N196" i="19"/>
  <c r="N20" i="19"/>
  <c r="Q196" i="19"/>
  <c r="Q108" i="19"/>
  <c r="Q64" i="19"/>
  <c r="N152" i="19"/>
  <c r="N108" i="19"/>
  <c r="T20" i="19"/>
  <c r="N64" i="19"/>
  <c r="K20" i="19"/>
  <c r="K64" i="19"/>
  <c r="K196" i="19"/>
  <c r="K152" i="19"/>
  <c r="Q20" i="19"/>
  <c r="K108" i="19"/>
  <c r="W36" i="1"/>
  <c r="T36" i="1"/>
  <c r="AE36" i="1" s="1"/>
  <c r="AD36" i="1" s="1"/>
  <c r="W35" i="1"/>
  <c r="T35" i="1"/>
  <c r="AE35" i="1" s="1"/>
  <c r="AD35" i="1" s="1"/>
  <c r="W34" i="1"/>
  <c r="T34" i="1"/>
  <c r="K34" i="1"/>
  <c r="L34" i="1" l="1"/>
  <c r="AA34" i="1" s="1"/>
  <c r="AA35" i="1"/>
  <c r="AA36" i="1"/>
  <c r="AC36" i="1" l="1"/>
  <c r="AB36" i="1"/>
  <c r="AC35" i="1"/>
  <c r="AB35" i="1"/>
  <c r="A10" i="1"/>
  <c r="A13" i="1" s="1"/>
  <c r="W24" i="1"/>
  <c r="T24" i="1"/>
  <c r="AA24" i="1" s="1"/>
  <c r="W23" i="1"/>
  <c r="T23" i="1"/>
  <c r="AA23" i="1" s="1"/>
  <c r="W22" i="1"/>
  <c r="T22" i="1"/>
  <c r="K22" i="1"/>
  <c r="L22" i="1" l="1"/>
  <c r="AA22" i="1" s="1"/>
  <c r="AF35" i="1"/>
  <c r="W104" i="19"/>
  <c r="W192" i="19"/>
  <c r="W16" i="19"/>
  <c r="W60" i="19"/>
  <c r="Q192" i="19"/>
  <c r="T104" i="19"/>
  <c r="T60" i="19"/>
  <c r="T16" i="19"/>
  <c r="W148" i="19"/>
  <c r="T148" i="19"/>
  <c r="T192" i="19"/>
  <c r="Q60" i="19"/>
  <c r="N104" i="19"/>
  <c r="K148" i="19"/>
  <c r="Q104" i="19"/>
  <c r="N192" i="19"/>
  <c r="Q148" i="19"/>
  <c r="N148" i="19"/>
  <c r="N16" i="19"/>
  <c r="Q16" i="19"/>
  <c r="N60" i="19"/>
  <c r="K60" i="19"/>
  <c r="K104" i="19"/>
  <c r="K192" i="19"/>
  <c r="K16" i="19"/>
  <c r="AF36" i="1"/>
  <c r="X104" i="19"/>
  <c r="X148" i="19"/>
  <c r="U192" i="19"/>
  <c r="X192" i="19"/>
  <c r="X16" i="19"/>
  <c r="U60" i="19"/>
  <c r="U104" i="19"/>
  <c r="U16" i="19"/>
  <c r="U148" i="19"/>
  <c r="R104" i="19"/>
  <c r="X60" i="19"/>
  <c r="R16" i="19"/>
  <c r="R60" i="19"/>
  <c r="O104" i="19"/>
  <c r="L148" i="19"/>
  <c r="R148" i="19"/>
  <c r="O192" i="19"/>
  <c r="O148" i="19"/>
  <c r="L192" i="19"/>
  <c r="O16" i="19"/>
  <c r="L104" i="19"/>
  <c r="R192" i="19"/>
  <c r="O60" i="19"/>
  <c r="L16" i="19"/>
  <c r="L60" i="19"/>
  <c r="AE24" i="1"/>
  <c r="AD24" i="1" s="1"/>
  <c r="AE23" i="1"/>
  <c r="AD23" i="1" s="1"/>
  <c r="AB23" i="1"/>
  <c r="AC23" i="1"/>
  <c r="AB24" i="1"/>
  <c r="AC24" i="1"/>
  <c r="X188" i="19" l="1"/>
  <c r="X56" i="19"/>
  <c r="X100" i="19"/>
  <c r="U100" i="19"/>
  <c r="U144" i="19"/>
  <c r="X144" i="19"/>
  <c r="X12" i="19"/>
  <c r="U188" i="19"/>
  <c r="R144" i="19"/>
  <c r="U56" i="19"/>
  <c r="R188" i="19"/>
  <c r="R100" i="19"/>
  <c r="O188" i="19"/>
  <c r="O12" i="19"/>
  <c r="R56" i="19"/>
  <c r="U12" i="19"/>
  <c r="O56" i="19"/>
  <c r="O100" i="19"/>
  <c r="L188" i="19"/>
  <c r="L12" i="19"/>
  <c r="O144" i="19"/>
  <c r="R12" i="19"/>
  <c r="L144" i="19"/>
  <c r="L56" i="19"/>
  <c r="L100" i="19"/>
  <c r="W188" i="19"/>
  <c r="W12" i="19"/>
  <c r="W100" i="19"/>
  <c r="T100" i="19"/>
  <c r="T144" i="19"/>
  <c r="W144" i="19"/>
  <c r="W56" i="19"/>
  <c r="T188" i="19"/>
  <c r="Q144" i="19"/>
  <c r="T56" i="19"/>
  <c r="N188" i="19"/>
  <c r="N12" i="19"/>
  <c r="Q188" i="19"/>
  <c r="Q56" i="19"/>
  <c r="T12" i="19"/>
  <c r="N56" i="19"/>
  <c r="N144" i="19"/>
  <c r="Q100" i="19"/>
  <c r="K188" i="19"/>
  <c r="N100" i="19"/>
  <c r="K12" i="19"/>
  <c r="Q12" i="19"/>
  <c r="K144" i="19"/>
  <c r="K56" i="19"/>
  <c r="K100" i="19"/>
  <c r="AF24" i="1"/>
  <c r="AF23" i="1"/>
  <c r="AB22" i="1"/>
  <c r="AC22" i="1"/>
  <c r="W96" i="19" l="1"/>
  <c r="W184" i="19"/>
  <c r="W8" i="19"/>
  <c r="W140" i="19"/>
  <c r="T184" i="19"/>
  <c r="W52" i="19"/>
  <c r="Q184" i="19"/>
  <c r="T96" i="19"/>
  <c r="T8" i="19"/>
  <c r="T140" i="19"/>
  <c r="T52" i="19"/>
  <c r="Q140" i="19"/>
  <c r="Q52" i="19"/>
  <c r="N96" i="19"/>
  <c r="K140" i="19"/>
  <c r="N52" i="19"/>
  <c r="N8" i="19"/>
  <c r="N184" i="19"/>
  <c r="N140" i="19"/>
  <c r="K52" i="19"/>
  <c r="Q96" i="19"/>
  <c r="K96" i="19"/>
  <c r="K184" i="19"/>
  <c r="Q8" i="19"/>
  <c r="K8" i="19"/>
  <c r="A16" i="1"/>
  <c r="A19" i="1" s="1"/>
  <c r="X96" i="19" l="1"/>
  <c r="X140" i="19"/>
  <c r="X184" i="19"/>
  <c r="X8" i="19"/>
  <c r="U184" i="19"/>
  <c r="U52" i="19"/>
  <c r="X52" i="19"/>
  <c r="U96" i="19"/>
  <c r="U8" i="19"/>
  <c r="U140" i="19"/>
  <c r="R8" i="19"/>
  <c r="R52" i="19"/>
  <c r="O96" i="19"/>
  <c r="L140" i="19"/>
  <c r="R184" i="19"/>
  <c r="R140" i="19"/>
  <c r="O184" i="19"/>
  <c r="O140" i="19"/>
  <c r="L184" i="19"/>
  <c r="R96" i="19"/>
  <c r="O8" i="19"/>
  <c r="L96" i="19"/>
  <c r="L52" i="19"/>
  <c r="L8" i="19"/>
  <c r="O52" i="19"/>
  <c r="A22" i="1"/>
  <c r="A25" i="1" s="1"/>
  <c r="A28" i="1" s="1"/>
  <c r="A31" i="1" s="1"/>
  <c r="A34" i="1" s="1"/>
  <c r="A37" i="1" s="1"/>
  <c r="A41" i="1" s="1"/>
  <c r="A44" i="1" s="1"/>
  <c r="A49" i="1" s="1"/>
  <c r="W98" i="1"/>
  <c r="T98" i="1"/>
  <c r="W7" i="1"/>
  <c r="T133" i="1"/>
  <c r="T130" i="1"/>
  <c r="AA98" i="1" l="1"/>
  <c r="K76" i="1"/>
  <c r="W76" i="1"/>
  <c r="T76" i="1"/>
  <c r="L76" i="1" l="1"/>
  <c r="AA76" i="1" s="1"/>
  <c r="K130" i="1"/>
  <c r="W130" i="1"/>
  <c r="T131" i="1"/>
  <c r="AA131" i="1" s="1"/>
  <c r="W131" i="1"/>
  <c r="T132" i="1"/>
  <c r="AA132" i="1" s="1"/>
  <c r="W132" i="1"/>
  <c r="K133" i="1"/>
  <c r="W133" i="1"/>
  <c r="T134" i="1"/>
  <c r="AA134" i="1" s="1"/>
  <c r="W134" i="1"/>
  <c r="T135" i="1"/>
  <c r="AA135" i="1" s="1"/>
  <c r="AC135" i="1" s="1"/>
  <c r="W135" i="1"/>
  <c r="K136" i="1"/>
  <c r="T136" i="1"/>
  <c r="AA136" i="1" s="1"/>
  <c r="W136" i="1"/>
  <c r="T137" i="1"/>
  <c r="AA137" i="1" s="1"/>
  <c r="W137" i="1"/>
  <c r="T138" i="1"/>
  <c r="AA138" i="1" s="1"/>
  <c r="W138" i="1"/>
  <c r="AE135" i="1" l="1"/>
  <c r="AD135" i="1" s="1"/>
  <c r="AB135" i="1"/>
  <c r="AE134" i="1"/>
  <c r="AD134" i="1" s="1"/>
  <c r="AC76" i="1"/>
  <c r="AB76" i="1"/>
  <c r="AC134" i="1"/>
  <c r="AB134" i="1"/>
  <c r="L130" i="1"/>
  <c r="AA130" i="1" s="1"/>
  <c r="L136" i="1"/>
  <c r="L133" i="1"/>
  <c r="AA133" i="1" s="1"/>
  <c r="AB137" i="1"/>
  <c r="AC137" i="1"/>
  <c r="AB132" i="1"/>
  <c r="AC132" i="1"/>
  <c r="AB138" i="1"/>
  <c r="AC138" i="1"/>
  <c r="AB136" i="1"/>
  <c r="AC136" i="1"/>
  <c r="AB131" i="1"/>
  <c r="AC131" i="1"/>
  <c r="AE138" i="1"/>
  <c r="AD138" i="1" s="1"/>
  <c r="AE137" i="1"/>
  <c r="AD137" i="1" s="1"/>
  <c r="AE136" i="1"/>
  <c r="AD136" i="1" s="1"/>
  <c r="AE132" i="1"/>
  <c r="AD132" i="1" s="1"/>
  <c r="AE131" i="1"/>
  <c r="AD131" i="1" s="1"/>
  <c r="X135" i="19" l="1"/>
  <c r="X223" i="19"/>
  <c r="X47" i="19"/>
  <c r="U223" i="19"/>
  <c r="U47" i="19"/>
  <c r="U91" i="19"/>
  <c r="U135" i="19"/>
  <c r="R223" i="19"/>
  <c r="X179" i="19"/>
  <c r="U179" i="19"/>
  <c r="X91" i="19"/>
  <c r="R179" i="19"/>
  <c r="R91" i="19"/>
  <c r="O135" i="19"/>
  <c r="L179" i="19"/>
  <c r="O91" i="19"/>
  <c r="R47" i="19"/>
  <c r="O47" i="19"/>
  <c r="O179" i="19"/>
  <c r="L223" i="19"/>
  <c r="O223" i="19"/>
  <c r="L91" i="19"/>
  <c r="R135" i="19"/>
  <c r="L47" i="19"/>
  <c r="L135" i="19"/>
  <c r="W225" i="19"/>
  <c r="W93" i="19"/>
  <c r="W137" i="19"/>
  <c r="T137" i="19"/>
  <c r="W49" i="19"/>
  <c r="T181" i="19"/>
  <c r="W181" i="19"/>
  <c r="T225" i="19"/>
  <c r="Q181" i="19"/>
  <c r="T49" i="19"/>
  <c r="Q225" i="19"/>
  <c r="N225" i="19"/>
  <c r="N49" i="19"/>
  <c r="N181" i="19"/>
  <c r="Q137" i="19"/>
  <c r="T93" i="19"/>
  <c r="Q93" i="19"/>
  <c r="Q49" i="19"/>
  <c r="K181" i="19"/>
  <c r="K225" i="19"/>
  <c r="N137" i="19"/>
  <c r="N93" i="19"/>
  <c r="K49" i="19"/>
  <c r="K93" i="19"/>
  <c r="K137" i="19"/>
  <c r="X180" i="19"/>
  <c r="X224" i="19"/>
  <c r="X48" i="19"/>
  <c r="X92" i="19"/>
  <c r="U92" i="19"/>
  <c r="U136" i="19"/>
  <c r="X136" i="19"/>
  <c r="U180" i="19"/>
  <c r="R136" i="19"/>
  <c r="U224" i="19"/>
  <c r="R180" i="19"/>
  <c r="R92" i="19"/>
  <c r="U48" i="19"/>
  <c r="O180" i="19"/>
  <c r="L224" i="19"/>
  <c r="R224" i="19"/>
  <c r="R48" i="19"/>
  <c r="O224" i="19"/>
  <c r="O92" i="19"/>
  <c r="O48" i="19"/>
  <c r="O136" i="19"/>
  <c r="L180" i="19"/>
  <c r="L136" i="19"/>
  <c r="L48" i="19"/>
  <c r="L92" i="19"/>
  <c r="W91" i="19"/>
  <c r="W135" i="19"/>
  <c r="W179" i="19"/>
  <c r="T223" i="19"/>
  <c r="W223" i="19"/>
  <c r="T179" i="19"/>
  <c r="T47" i="19"/>
  <c r="W47" i="19"/>
  <c r="T91" i="19"/>
  <c r="T135" i="19"/>
  <c r="Q223" i="19"/>
  <c r="N223" i="19"/>
  <c r="Q47" i="19"/>
  <c r="N91" i="19"/>
  <c r="K135" i="19"/>
  <c r="Q179" i="19"/>
  <c r="K179" i="19"/>
  <c r="N179" i="19"/>
  <c r="N135" i="19"/>
  <c r="K223" i="19"/>
  <c r="Q135" i="19"/>
  <c r="N47" i="19"/>
  <c r="K47" i="19"/>
  <c r="K91" i="19"/>
  <c r="Q91" i="19"/>
  <c r="X225" i="19"/>
  <c r="X93" i="19"/>
  <c r="X181" i="19"/>
  <c r="U225" i="19"/>
  <c r="X49" i="19"/>
  <c r="U181" i="19"/>
  <c r="X137" i="19"/>
  <c r="R181" i="19"/>
  <c r="U49" i="19"/>
  <c r="R225" i="19"/>
  <c r="R49" i="19"/>
  <c r="O93" i="19"/>
  <c r="L137" i="19"/>
  <c r="O225" i="19"/>
  <c r="O181" i="19"/>
  <c r="R137" i="19"/>
  <c r="O137" i="19"/>
  <c r="U137" i="19"/>
  <c r="R93" i="19"/>
  <c r="L49" i="19"/>
  <c r="L93" i="19"/>
  <c r="L181" i="19"/>
  <c r="O49" i="19"/>
  <c r="U93" i="19"/>
  <c r="L225" i="19"/>
  <c r="W180" i="19"/>
  <c r="T224" i="19"/>
  <c r="W224" i="19"/>
  <c r="W92" i="19"/>
  <c r="T92" i="19"/>
  <c r="W48" i="19"/>
  <c r="T136" i="19"/>
  <c r="T180" i="19"/>
  <c r="Q136" i="19"/>
  <c r="Q224" i="19"/>
  <c r="Q180" i="19"/>
  <c r="T48" i="19"/>
  <c r="N180" i="19"/>
  <c r="K224" i="19"/>
  <c r="W136" i="19"/>
  <c r="N48" i="19"/>
  <c r="Q48" i="19"/>
  <c r="N136" i="19"/>
  <c r="N92" i="19"/>
  <c r="Q92" i="19"/>
  <c r="N224" i="19"/>
  <c r="K180" i="19"/>
  <c r="K136" i="19"/>
  <c r="K92" i="19"/>
  <c r="K48" i="19"/>
  <c r="V225" i="19"/>
  <c r="V49" i="19"/>
  <c r="V137" i="19"/>
  <c r="S137" i="19"/>
  <c r="S181" i="19"/>
  <c r="V93" i="19"/>
  <c r="P137" i="19"/>
  <c r="V181" i="19"/>
  <c r="S225" i="19"/>
  <c r="P181" i="19"/>
  <c r="S49" i="19"/>
  <c r="P225" i="19"/>
  <c r="M225" i="19"/>
  <c r="M49" i="19"/>
  <c r="S93" i="19"/>
  <c r="J225" i="19"/>
  <c r="P93" i="19"/>
  <c r="P49" i="19"/>
  <c r="M137" i="19"/>
  <c r="J181" i="19"/>
  <c r="J137" i="19"/>
  <c r="J93" i="19"/>
  <c r="M181" i="19"/>
  <c r="J49" i="19"/>
  <c r="M93" i="19"/>
  <c r="AB133" i="1"/>
  <c r="AC133" i="1"/>
  <c r="AB130" i="1"/>
  <c r="AC130" i="1"/>
  <c r="AF135" i="1"/>
  <c r="AF131" i="1"/>
  <c r="AF138" i="1"/>
  <c r="AF134" i="1"/>
  <c r="AF136" i="1"/>
  <c r="AF132" i="1"/>
  <c r="AF137" i="1"/>
  <c r="F221" i="13" l="1"/>
  <c r="F220" i="13"/>
  <c r="F219" i="13"/>
  <c r="F218" i="13"/>
  <c r="F217" i="13"/>
  <c r="F216" i="13"/>
  <c r="F215" i="13"/>
  <c r="F214" i="13"/>
  <c r="F213" i="13"/>
  <c r="F212" i="13"/>
  <c r="F211" i="13"/>
  <c r="F210" i="13"/>
  <c r="K91" i="1" l="1"/>
  <c r="L91" i="1" l="1"/>
  <c r="T33" i="1" l="1"/>
  <c r="AE33" i="1" s="1"/>
  <c r="AD33" i="1" s="1"/>
  <c r="T18" i="1" l="1"/>
  <c r="AE18" i="1" s="1"/>
  <c r="AD18" i="1" s="1"/>
  <c r="T17" i="1"/>
  <c r="AE17" i="1" s="1"/>
  <c r="AD17" i="1" s="1"/>
  <c r="W126" i="1" l="1"/>
  <c r="T126" i="1"/>
  <c r="AE126" i="1" s="1"/>
  <c r="W125" i="1"/>
  <c r="T125" i="1"/>
  <c r="AE125" i="1" s="1"/>
  <c r="W124" i="1"/>
  <c r="T124" i="1"/>
  <c r="K124" i="1"/>
  <c r="T123" i="1"/>
  <c r="W122" i="1"/>
  <c r="T122" i="1"/>
  <c r="AE122" i="1" s="1"/>
  <c r="W121" i="1"/>
  <c r="T121" i="1"/>
  <c r="K121" i="1"/>
  <c r="T120" i="1"/>
  <c r="W119" i="1"/>
  <c r="T119" i="1"/>
  <c r="AE119" i="1" s="1"/>
  <c r="W118" i="1"/>
  <c r="T118" i="1"/>
  <c r="K118" i="1"/>
  <c r="T114" i="1"/>
  <c r="W113" i="1"/>
  <c r="T113" i="1"/>
  <c r="W112" i="1"/>
  <c r="T112" i="1"/>
  <c r="K112" i="1"/>
  <c r="K109" i="1"/>
  <c r="K106" i="1"/>
  <c r="K115" i="1"/>
  <c r="K100" i="1"/>
  <c r="K97" i="1"/>
  <c r="K94" i="1"/>
  <c r="K88" i="1"/>
  <c r="K85" i="1"/>
  <c r="K82" i="1"/>
  <c r="K79" i="1"/>
  <c r="K73" i="1"/>
  <c r="K70" i="1"/>
  <c r="K64" i="1"/>
  <c r="K61" i="1"/>
  <c r="K58" i="1"/>
  <c r="K55" i="1"/>
  <c r="K52" i="1"/>
  <c r="K49" i="1"/>
  <c r="K41" i="1"/>
  <c r="K37" i="1"/>
  <c r="K31" i="1"/>
  <c r="K28" i="1"/>
  <c r="K25" i="1"/>
  <c r="K19" i="1"/>
  <c r="K16" i="1"/>
  <c r="K13" i="1"/>
  <c r="K10" i="1"/>
  <c r="T111" i="1"/>
  <c r="W110" i="1"/>
  <c r="T110" i="1"/>
  <c r="T108" i="1"/>
  <c r="W107" i="1"/>
  <c r="T107" i="1"/>
  <c r="W106" i="1"/>
  <c r="T106" i="1"/>
  <c r="T102" i="1"/>
  <c r="AE102" i="1" s="1"/>
  <c r="T101" i="1"/>
  <c r="AE101" i="1" s="1"/>
  <c r="T99" i="1"/>
  <c r="W100" i="1"/>
  <c r="T100" i="1"/>
  <c r="T96" i="1"/>
  <c r="T95" i="1"/>
  <c r="W94" i="1"/>
  <c r="T94" i="1"/>
  <c r="W91" i="1"/>
  <c r="T91" i="1"/>
  <c r="W87" i="1"/>
  <c r="T87" i="1"/>
  <c r="W86" i="1"/>
  <c r="T86" i="1"/>
  <c r="AE86" i="1" s="1"/>
  <c r="T84" i="1"/>
  <c r="W82" i="1"/>
  <c r="T82" i="1"/>
  <c r="T83" i="1"/>
  <c r="W79" i="1"/>
  <c r="T79" i="1"/>
  <c r="T72" i="1"/>
  <c r="T66" i="1"/>
  <c r="AE66" i="1" s="1"/>
  <c r="AD66" i="1" s="1"/>
  <c r="T63" i="1"/>
  <c r="AE63" i="1" s="1"/>
  <c r="AD63" i="1" s="1"/>
  <c r="W62" i="1"/>
  <c r="T62" i="1"/>
  <c r="AE62" i="1" s="1"/>
  <c r="T60" i="1"/>
  <c r="T59" i="1"/>
  <c r="T57" i="1"/>
  <c r="AE57" i="1" s="1"/>
  <c r="AD57" i="1" s="1"/>
  <c r="W58" i="1"/>
  <c r="T58" i="1"/>
  <c r="T56" i="1"/>
  <c r="T54" i="1"/>
  <c r="AE54" i="1" s="1"/>
  <c r="AD54" i="1" s="1"/>
  <c r="T53" i="1"/>
  <c r="T51" i="1"/>
  <c r="AE51" i="1" s="1"/>
  <c r="AD51" i="1" s="1"/>
  <c r="W50" i="1"/>
  <c r="T50" i="1"/>
  <c r="AE50" i="1" s="1"/>
  <c r="W52" i="1"/>
  <c r="T52" i="1"/>
  <c r="W49" i="1"/>
  <c r="T49" i="1"/>
  <c r="T43" i="1"/>
  <c r="T42" i="1"/>
  <c r="W41" i="1"/>
  <c r="T41" i="1"/>
  <c r="W33" i="1"/>
  <c r="W32" i="1"/>
  <c r="T32" i="1"/>
  <c r="AE32" i="1" s="1"/>
  <c r="AD32" i="1" s="1"/>
  <c r="W31" i="1"/>
  <c r="T31" i="1"/>
  <c r="T30" i="1"/>
  <c r="AE30" i="1" s="1"/>
  <c r="AD30" i="1" s="1"/>
  <c r="W29" i="1"/>
  <c r="T29" i="1"/>
  <c r="AE29" i="1" s="1"/>
  <c r="W28" i="1"/>
  <c r="T28" i="1"/>
  <c r="T27" i="1"/>
  <c r="AE27" i="1" s="1"/>
  <c r="AD27" i="1" s="1"/>
  <c r="T26" i="1"/>
  <c r="W25" i="1"/>
  <c r="T25" i="1"/>
  <c r="W21" i="1"/>
  <c r="T21" i="1"/>
  <c r="AE21" i="1" s="1"/>
  <c r="AD21" i="1" s="1"/>
  <c r="W20" i="1"/>
  <c r="T20" i="1"/>
  <c r="AA38" i="1" l="1"/>
  <c r="AE38" i="1"/>
  <c r="AD38" i="1" s="1"/>
  <c r="AE40" i="1"/>
  <c r="AD40" i="1" s="1"/>
  <c r="AA40" i="1"/>
  <c r="AE87" i="1"/>
  <c r="AD87" i="1" s="1"/>
  <c r="AE26" i="1"/>
  <c r="AD26" i="1" s="1"/>
  <c r="AD62" i="1"/>
  <c r="AD86" i="1"/>
  <c r="AE95" i="1"/>
  <c r="AD95" i="1" s="1"/>
  <c r="AE99" i="1"/>
  <c r="AD99" i="1" s="1"/>
  <c r="AA99" i="1"/>
  <c r="AE120" i="1"/>
  <c r="AD120" i="1" s="1"/>
  <c r="AD125" i="1"/>
  <c r="AE20" i="1"/>
  <c r="AD20" i="1" s="1"/>
  <c r="AD29" i="1"/>
  <c r="AE53" i="1"/>
  <c r="AD53" i="1" s="1"/>
  <c r="AE56" i="1"/>
  <c r="AD56" i="1" s="1"/>
  <c r="AE60" i="1"/>
  <c r="AD60" i="1" s="1"/>
  <c r="AE83" i="1"/>
  <c r="AD83" i="1" s="1"/>
  <c r="AE84" i="1"/>
  <c r="AD84" i="1" s="1"/>
  <c r="AE96" i="1"/>
  <c r="AD96" i="1" s="1"/>
  <c r="AD101" i="1"/>
  <c r="AD107" i="1"/>
  <c r="AD110" i="1"/>
  <c r="AE114" i="1"/>
  <c r="AD114" i="1" s="1"/>
  <c r="AD122" i="1"/>
  <c r="AE59" i="1"/>
  <c r="AD59" i="1" s="1"/>
  <c r="AD102" i="1"/>
  <c r="AE108" i="1"/>
  <c r="AD108" i="1" s="1"/>
  <c r="AE111" i="1"/>
  <c r="AD111" i="1" s="1"/>
  <c r="AD113" i="1"/>
  <c r="AE123" i="1"/>
  <c r="AD123" i="1" s="1"/>
  <c r="AD119" i="1"/>
  <c r="AD126" i="1"/>
  <c r="AE98" i="1"/>
  <c r="AD98" i="1" s="1"/>
  <c r="AD50" i="1"/>
  <c r="L124" i="1"/>
  <c r="AA124" i="1" s="1"/>
  <c r="AA125" i="1" s="1"/>
  <c r="AA126" i="1" s="1"/>
  <c r="L121" i="1"/>
  <c r="AA121" i="1" s="1"/>
  <c r="AA122" i="1" s="1"/>
  <c r="AA123" i="1" s="1"/>
  <c r="L118" i="1"/>
  <c r="AA118" i="1" s="1"/>
  <c r="AA119" i="1" s="1"/>
  <c r="AA120" i="1" s="1"/>
  <c r="L112" i="1"/>
  <c r="AA112" i="1" s="1"/>
  <c r="AA113" i="1" s="1"/>
  <c r="AA114" i="1" s="1"/>
  <c r="L109" i="1"/>
  <c r="L106" i="1"/>
  <c r="AA106" i="1" s="1"/>
  <c r="AA107" i="1" s="1"/>
  <c r="AA108" i="1" s="1"/>
  <c r="L115" i="1"/>
  <c r="L100" i="1"/>
  <c r="AA101" i="1" s="1"/>
  <c r="AA102" i="1" s="1"/>
  <c r="L97" i="1"/>
  <c r="L94" i="1"/>
  <c r="L88" i="1"/>
  <c r="L85" i="1"/>
  <c r="L82" i="1"/>
  <c r="AA82" i="1" s="1"/>
  <c r="AA83" i="1" s="1"/>
  <c r="AA84" i="1" s="1"/>
  <c r="L79" i="1"/>
  <c r="AA79" i="1" s="1"/>
  <c r="L73" i="1"/>
  <c r="L70" i="1"/>
  <c r="L64" i="1"/>
  <c r="AA64" i="1" s="1"/>
  <c r="L61" i="1"/>
  <c r="L58" i="1"/>
  <c r="AA58" i="1" s="1"/>
  <c r="AA59" i="1" s="1"/>
  <c r="AA60" i="1" s="1"/>
  <c r="L55" i="1"/>
  <c r="L52" i="1"/>
  <c r="AA52" i="1" s="1"/>
  <c r="AA53" i="1" s="1"/>
  <c r="AA54" i="1" s="1"/>
  <c r="L49" i="1"/>
  <c r="AA49" i="1" s="1"/>
  <c r="AA50" i="1" s="1"/>
  <c r="AA51" i="1" s="1"/>
  <c r="L41" i="1"/>
  <c r="AA41" i="1" s="1"/>
  <c r="L37" i="1"/>
  <c r="AA37" i="1" s="1"/>
  <c r="L31" i="1"/>
  <c r="AA32" i="1" s="1"/>
  <c r="AA33" i="1" s="1"/>
  <c r="L28" i="1"/>
  <c r="AA29" i="1" s="1"/>
  <c r="AA30" i="1" s="1"/>
  <c r="L25" i="1"/>
  <c r="AA25" i="1" s="1"/>
  <c r="AA26" i="1" s="1"/>
  <c r="AA27" i="1" s="1"/>
  <c r="L19" i="1"/>
  <c r="L16" i="1"/>
  <c r="L13" i="1"/>
  <c r="L10" i="1"/>
  <c r="T16" i="1"/>
  <c r="W16" i="1"/>
  <c r="T19" i="1"/>
  <c r="W19" i="1"/>
  <c r="T55" i="1"/>
  <c r="W55" i="1"/>
  <c r="T61" i="1"/>
  <c r="W61" i="1"/>
  <c r="T70" i="1"/>
  <c r="W70" i="1"/>
  <c r="T73" i="1"/>
  <c r="W73" i="1"/>
  <c r="T85" i="1"/>
  <c r="W85" i="1"/>
  <c r="T88" i="1"/>
  <c r="W88" i="1"/>
  <c r="T97" i="1"/>
  <c r="W97" i="1"/>
  <c r="T115" i="1"/>
  <c r="W115" i="1"/>
  <c r="T109" i="1"/>
  <c r="W109" i="1"/>
  <c r="T14" i="1"/>
  <c r="T15" i="1"/>
  <c r="T11" i="1"/>
  <c r="T12" i="1"/>
  <c r="AA65" i="1" l="1"/>
  <c r="AC64" i="1"/>
  <c r="AB64" i="1"/>
  <c r="AC38" i="1"/>
  <c r="AB38" i="1"/>
  <c r="AA31" i="1"/>
  <c r="AB31" i="1" s="1"/>
  <c r="AA100" i="1"/>
  <c r="AC100" i="1" s="1"/>
  <c r="AB34" i="1"/>
  <c r="AC34" i="1"/>
  <c r="AA19" i="1"/>
  <c r="AA28" i="1"/>
  <c r="AB28" i="1" s="1"/>
  <c r="AA88" i="1"/>
  <c r="AA91" i="1" s="1"/>
  <c r="AA94" i="1" s="1"/>
  <c r="AB94" i="1" s="1"/>
  <c r="AA97" i="1"/>
  <c r="AB125" i="1"/>
  <c r="AC125" i="1"/>
  <c r="AB124" i="1"/>
  <c r="AC124" i="1"/>
  <c r="AB126" i="1"/>
  <c r="AC126" i="1"/>
  <c r="AB121" i="1"/>
  <c r="AC121" i="1"/>
  <c r="AB122" i="1"/>
  <c r="AC122" i="1"/>
  <c r="AB123" i="1"/>
  <c r="AC123" i="1"/>
  <c r="AB118" i="1"/>
  <c r="AC118" i="1"/>
  <c r="AB119" i="1"/>
  <c r="AC119" i="1"/>
  <c r="AB120" i="1"/>
  <c r="AC120" i="1"/>
  <c r="AB112" i="1"/>
  <c r="AC112" i="1"/>
  <c r="AB113" i="1"/>
  <c r="AC113" i="1"/>
  <c r="AB114" i="1"/>
  <c r="AC114" i="1"/>
  <c r="AB108" i="1"/>
  <c r="AC108" i="1"/>
  <c r="AB107" i="1"/>
  <c r="AC107" i="1"/>
  <c r="AB106" i="1"/>
  <c r="AC106" i="1"/>
  <c r="AB102" i="1"/>
  <c r="AC102" i="1"/>
  <c r="AB101" i="1"/>
  <c r="AC101" i="1"/>
  <c r="AB99" i="1"/>
  <c r="AC99" i="1"/>
  <c r="AB98" i="1"/>
  <c r="AC98" i="1"/>
  <c r="AB84" i="1"/>
  <c r="AC84" i="1"/>
  <c r="AB82" i="1"/>
  <c r="AC82" i="1"/>
  <c r="AB83" i="1"/>
  <c r="AC83" i="1"/>
  <c r="AB79" i="1"/>
  <c r="AC79" i="1"/>
  <c r="AB60" i="1"/>
  <c r="AC60" i="1"/>
  <c r="AB59" i="1"/>
  <c r="AC59" i="1"/>
  <c r="AB58" i="1"/>
  <c r="AC58" i="1"/>
  <c r="AB54" i="1"/>
  <c r="AC54" i="1"/>
  <c r="AB53" i="1"/>
  <c r="AC53" i="1"/>
  <c r="AB51" i="1"/>
  <c r="AC51" i="1"/>
  <c r="AB50" i="1"/>
  <c r="AC50" i="1"/>
  <c r="AB52" i="1"/>
  <c r="AC52" i="1"/>
  <c r="AB49" i="1"/>
  <c r="AC49" i="1"/>
  <c r="AB41" i="1"/>
  <c r="AC41" i="1"/>
  <c r="AB40" i="1"/>
  <c r="AC40" i="1"/>
  <c r="AB37" i="1"/>
  <c r="AC37" i="1"/>
  <c r="AB33" i="1"/>
  <c r="AC33" i="1"/>
  <c r="AB32" i="1"/>
  <c r="AC32" i="1"/>
  <c r="AB30" i="1"/>
  <c r="AC30" i="1"/>
  <c r="AB29" i="1"/>
  <c r="AC29" i="1"/>
  <c r="AB27" i="1"/>
  <c r="AC27" i="1"/>
  <c r="AB26" i="1"/>
  <c r="AC26" i="1"/>
  <c r="AB25" i="1"/>
  <c r="AC25" i="1"/>
  <c r="T8" i="1"/>
  <c r="W8" i="1"/>
  <c r="T9" i="1"/>
  <c r="T7" i="1"/>
  <c r="T10" i="1"/>
  <c r="T13" i="1"/>
  <c r="X125" i="19" l="1"/>
  <c r="X213" i="19"/>
  <c r="X37" i="19"/>
  <c r="X169" i="19"/>
  <c r="U81" i="19"/>
  <c r="U213" i="19"/>
  <c r="R213" i="19"/>
  <c r="U125" i="19"/>
  <c r="U37" i="19"/>
  <c r="X81" i="19"/>
  <c r="U169" i="19"/>
  <c r="R81" i="19"/>
  <c r="O125" i="19"/>
  <c r="L169" i="19"/>
  <c r="R169" i="19"/>
  <c r="R37" i="19"/>
  <c r="R125" i="19"/>
  <c r="L213" i="19"/>
  <c r="O37" i="19"/>
  <c r="O213" i="19"/>
  <c r="O169" i="19"/>
  <c r="L81" i="19"/>
  <c r="L37" i="19"/>
  <c r="L125" i="19"/>
  <c r="O81" i="19"/>
  <c r="X109" i="19"/>
  <c r="X197" i="19"/>
  <c r="X21" i="19"/>
  <c r="X153" i="19"/>
  <c r="X65" i="19"/>
  <c r="U197" i="19"/>
  <c r="R197" i="19"/>
  <c r="U21" i="19"/>
  <c r="U109" i="19"/>
  <c r="U153" i="19"/>
  <c r="U65" i="19"/>
  <c r="R109" i="19"/>
  <c r="R65" i="19"/>
  <c r="O109" i="19"/>
  <c r="L153" i="19"/>
  <c r="O65" i="19"/>
  <c r="R21" i="19"/>
  <c r="R153" i="19"/>
  <c r="L65" i="19"/>
  <c r="O197" i="19"/>
  <c r="O21" i="19"/>
  <c r="L109" i="19"/>
  <c r="O153" i="19"/>
  <c r="L197" i="19"/>
  <c r="L21" i="19"/>
  <c r="W133" i="19"/>
  <c r="W177" i="19"/>
  <c r="T221" i="19"/>
  <c r="W221" i="19"/>
  <c r="W45" i="19"/>
  <c r="W89" i="19"/>
  <c r="T89" i="19"/>
  <c r="T133" i="19"/>
  <c r="Q133" i="19"/>
  <c r="T177" i="19"/>
  <c r="Q45" i="19"/>
  <c r="Q89" i="19"/>
  <c r="N133" i="19"/>
  <c r="K177" i="19"/>
  <c r="T45" i="19"/>
  <c r="Q221" i="19"/>
  <c r="Q177" i="19"/>
  <c r="N221" i="19"/>
  <c r="N177" i="19"/>
  <c r="N45" i="19"/>
  <c r="N89" i="19"/>
  <c r="K45" i="19"/>
  <c r="K221" i="19"/>
  <c r="K133" i="19"/>
  <c r="K89" i="19"/>
  <c r="W222" i="19"/>
  <c r="W46" i="19"/>
  <c r="W134" i="19"/>
  <c r="W178" i="19"/>
  <c r="T134" i="19"/>
  <c r="T222" i="19"/>
  <c r="T178" i="19"/>
  <c r="W90" i="19"/>
  <c r="Q134" i="19"/>
  <c r="T90" i="19"/>
  <c r="T46" i="19"/>
  <c r="Q178" i="19"/>
  <c r="Q222" i="19"/>
  <c r="N222" i="19"/>
  <c r="N46" i="19"/>
  <c r="N178" i="19"/>
  <c r="Q90" i="19"/>
  <c r="N134" i="19"/>
  <c r="N90" i="19"/>
  <c r="K222" i="19"/>
  <c r="K134" i="19"/>
  <c r="K46" i="19"/>
  <c r="Q46" i="19"/>
  <c r="K90" i="19"/>
  <c r="K178" i="19"/>
  <c r="AF38" i="1"/>
  <c r="W149" i="19"/>
  <c r="W193" i="19"/>
  <c r="W17" i="19"/>
  <c r="W61" i="19"/>
  <c r="T105" i="19"/>
  <c r="T193" i="19"/>
  <c r="T149" i="19"/>
  <c r="W105" i="19"/>
  <c r="T61" i="19"/>
  <c r="Q149" i="19"/>
  <c r="Q61" i="19"/>
  <c r="T17" i="19"/>
  <c r="N149" i="19"/>
  <c r="K193" i="19"/>
  <c r="N105" i="19"/>
  <c r="Q17" i="19"/>
  <c r="Q193" i="19"/>
  <c r="N61" i="19"/>
  <c r="N193" i="19"/>
  <c r="K149" i="19"/>
  <c r="K17" i="19"/>
  <c r="N17" i="19"/>
  <c r="K61" i="19"/>
  <c r="K105" i="19"/>
  <c r="Q105" i="19"/>
  <c r="X146" i="19"/>
  <c r="X190" i="19"/>
  <c r="X14" i="19"/>
  <c r="X58" i="19"/>
  <c r="X102" i="19"/>
  <c r="U190" i="19"/>
  <c r="U102" i="19"/>
  <c r="U146" i="19"/>
  <c r="R146" i="19"/>
  <c r="R58" i="19"/>
  <c r="R190" i="19"/>
  <c r="U58" i="19"/>
  <c r="O146" i="19"/>
  <c r="L190" i="19"/>
  <c r="R102" i="19"/>
  <c r="R14" i="19"/>
  <c r="O102" i="19"/>
  <c r="O58" i="19"/>
  <c r="U14" i="19"/>
  <c r="O190" i="19"/>
  <c r="L146" i="19"/>
  <c r="O14" i="19"/>
  <c r="L102" i="19"/>
  <c r="L14" i="19"/>
  <c r="L58" i="19"/>
  <c r="W170" i="19"/>
  <c r="T214" i="19"/>
  <c r="W82" i="19"/>
  <c r="W214" i="19"/>
  <c r="T82" i="19"/>
  <c r="T126" i="19"/>
  <c r="T38" i="19"/>
  <c r="T170" i="19"/>
  <c r="Q126" i="19"/>
  <c r="W38" i="19"/>
  <c r="W126" i="19"/>
  <c r="Q214" i="19"/>
  <c r="N170" i="19"/>
  <c r="K214" i="19"/>
  <c r="Q38" i="19"/>
  <c r="N126" i="19"/>
  <c r="N82" i="19"/>
  <c r="Q82" i="19"/>
  <c r="K170" i="19"/>
  <c r="Q170" i="19"/>
  <c r="N214" i="19"/>
  <c r="K126" i="19"/>
  <c r="N38" i="19"/>
  <c r="K38" i="19"/>
  <c r="K82" i="19"/>
  <c r="X59" i="19"/>
  <c r="X147" i="19"/>
  <c r="X103" i="19"/>
  <c r="U147" i="19"/>
  <c r="X191" i="19"/>
  <c r="R147" i="19"/>
  <c r="R191" i="19"/>
  <c r="X15" i="19"/>
  <c r="U103" i="19"/>
  <c r="U59" i="19"/>
  <c r="U15" i="19"/>
  <c r="R103" i="19"/>
  <c r="R15" i="19"/>
  <c r="O59" i="19"/>
  <c r="O15" i="19"/>
  <c r="R59" i="19"/>
  <c r="U191" i="19"/>
  <c r="O103" i="19"/>
  <c r="L15" i="19"/>
  <c r="O147" i="19"/>
  <c r="L59" i="19"/>
  <c r="L191" i="19"/>
  <c r="L103" i="19"/>
  <c r="L147" i="19"/>
  <c r="O191" i="19"/>
  <c r="W154" i="19"/>
  <c r="W66" i="19"/>
  <c r="W198" i="19"/>
  <c r="T198" i="19"/>
  <c r="T66" i="19"/>
  <c r="W22" i="19"/>
  <c r="T110" i="19"/>
  <c r="T22" i="19"/>
  <c r="T154" i="19"/>
  <c r="Q110" i="19"/>
  <c r="Q154" i="19"/>
  <c r="W110" i="19"/>
  <c r="N154" i="19"/>
  <c r="K198" i="19"/>
  <c r="Q22" i="19"/>
  <c r="N22" i="19"/>
  <c r="Q66" i="19"/>
  <c r="N66" i="19"/>
  <c r="Q198" i="19"/>
  <c r="K110" i="19"/>
  <c r="N110" i="19"/>
  <c r="K154" i="19"/>
  <c r="K66" i="19"/>
  <c r="K22" i="19"/>
  <c r="N198" i="19"/>
  <c r="X120" i="19"/>
  <c r="X164" i="19"/>
  <c r="U208" i="19"/>
  <c r="X208" i="19"/>
  <c r="X32" i="19"/>
  <c r="U76" i="19"/>
  <c r="U120" i="19"/>
  <c r="U164" i="19"/>
  <c r="U32" i="19"/>
  <c r="R120" i="19"/>
  <c r="R32" i="19"/>
  <c r="R208" i="19"/>
  <c r="R76" i="19"/>
  <c r="O120" i="19"/>
  <c r="L164" i="19"/>
  <c r="O32" i="19"/>
  <c r="O208" i="19"/>
  <c r="X76" i="19"/>
  <c r="O164" i="19"/>
  <c r="L208" i="19"/>
  <c r="L120" i="19"/>
  <c r="O76" i="19"/>
  <c r="L32" i="19"/>
  <c r="L76" i="19"/>
  <c r="R164" i="19"/>
  <c r="X130" i="19"/>
  <c r="X174" i="19"/>
  <c r="U218" i="19"/>
  <c r="X218" i="19"/>
  <c r="X42" i="19"/>
  <c r="U86" i="19"/>
  <c r="X86" i="19"/>
  <c r="U130" i="19"/>
  <c r="U174" i="19"/>
  <c r="U42" i="19"/>
  <c r="R130" i="19"/>
  <c r="R218" i="19"/>
  <c r="R42" i="19"/>
  <c r="R174" i="19"/>
  <c r="R86" i="19"/>
  <c r="O130" i="19"/>
  <c r="L174" i="19"/>
  <c r="O174" i="19"/>
  <c r="O218" i="19"/>
  <c r="O86" i="19"/>
  <c r="L218" i="19"/>
  <c r="L130" i="19"/>
  <c r="L42" i="19"/>
  <c r="L86" i="19"/>
  <c r="O42" i="19"/>
  <c r="W88" i="19"/>
  <c r="W176" i="19"/>
  <c r="T220" i="19"/>
  <c r="W44" i="19"/>
  <c r="W132" i="19"/>
  <c r="T176" i="19"/>
  <c r="W220" i="19"/>
  <c r="Q176" i="19"/>
  <c r="Q220" i="19"/>
  <c r="T88" i="19"/>
  <c r="Q44" i="19"/>
  <c r="N88" i="19"/>
  <c r="T44" i="19"/>
  <c r="N44" i="19"/>
  <c r="T132" i="19"/>
  <c r="K132" i="19"/>
  <c r="N220" i="19"/>
  <c r="N176" i="19"/>
  <c r="K220" i="19"/>
  <c r="K88" i="19"/>
  <c r="N132" i="19"/>
  <c r="Q88" i="19"/>
  <c r="K176" i="19"/>
  <c r="K44" i="19"/>
  <c r="Q132" i="19"/>
  <c r="V194" i="19"/>
  <c r="V62" i="19"/>
  <c r="V106" i="19"/>
  <c r="S106" i="19"/>
  <c r="S194" i="19"/>
  <c r="S150" i="19"/>
  <c r="V18" i="19"/>
  <c r="V150" i="19"/>
  <c r="P150" i="19"/>
  <c r="P194" i="19"/>
  <c r="S18" i="19"/>
  <c r="M194" i="19"/>
  <c r="M18" i="19"/>
  <c r="P106" i="19"/>
  <c r="M106" i="19"/>
  <c r="P18" i="19"/>
  <c r="M62" i="19"/>
  <c r="S62" i="19"/>
  <c r="J194" i="19"/>
  <c r="J150" i="19"/>
  <c r="J18" i="19"/>
  <c r="P62" i="19"/>
  <c r="M150" i="19"/>
  <c r="J62" i="19"/>
  <c r="J106" i="19"/>
  <c r="W120" i="19"/>
  <c r="W208" i="19"/>
  <c r="W32" i="19"/>
  <c r="W164" i="19"/>
  <c r="T76" i="19"/>
  <c r="W76" i="19"/>
  <c r="Q208" i="19"/>
  <c r="T164" i="19"/>
  <c r="T120" i="19"/>
  <c r="T32" i="19"/>
  <c r="T208" i="19"/>
  <c r="Q76" i="19"/>
  <c r="N120" i="19"/>
  <c r="K164" i="19"/>
  <c r="N32" i="19"/>
  <c r="N208" i="19"/>
  <c r="Q164" i="19"/>
  <c r="Q32" i="19"/>
  <c r="K76" i="19"/>
  <c r="Q120" i="19"/>
  <c r="K120" i="19"/>
  <c r="K208" i="19"/>
  <c r="N164" i="19"/>
  <c r="N76" i="19"/>
  <c r="K32" i="19"/>
  <c r="W101" i="19"/>
  <c r="W145" i="19"/>
  <c r="T189" i="19"/>
  <c r="T145" i="19"/>
  <c r="W13" i="19"/>
  <c r="W189" i="19"/>
  <c r="W57" i="19"/>
  <c r="T57" i="19"/>
  <c r="Q189" i="19"/>
  <c r="T13" i="19"/>
  <c r="T101" i="19"/>
  <c r="Q145" i="19"/>
  <c r="Q13" i="19"/>
  <c r="N57" i="19"/>
  <c r="N189" i="19"/>
  <c r="N145" i="19"/>
  <c r="N101" i="19"/>
  <c r="Q101" i="19"/>
  <c r="Q57" i="19"/>
  <c r="K189" i="19"/>
  <c r="K57" i="19"/>
  <c r="K145" i="19"/>
  <c r="N13" i="19"/>
  <c r="K101" i="19"/>
  <c r="K13" i="19"/>
  <c r="X88" i="19"/>
  <c r="X132" i="19"/>
  <c r="X176" i="19"/>
  <c r="U220" i="19"/>
  <c r="U176" i="19"/>
  <c r="U44" i="19"/>
  <c r="X220" i="19"/>
  <c r="U88" i="19"/>
  <c r="X44" i="19"/>
  <c r="R220" i="19"/>
  <c r="U132" i="19"/>
  <c r="O220" i="19"/>
  <c r="R44" i="19"/>
  <c r="O88" i="19"/>
  <c r="L132" i="19"/>
  <c r="R132" i="19"/>
  <c r="O44" i="19"/>
  <c r="R176" i="19"/>
  <c r="R88" i="19"/>
  <c r="O176" i="19"/>
  <c r="O132" i="19"/>
  <c r="L220" i="19"/>
  <c r="L88" i="19"/>
  <c r="L176" i="19"/>
  <c r="L44" i="19"/>
  <c r="W109" i="19"/>
  <c r="W153" i="19"/>
  <c r="T197" i="19"/>
  <c r="T153" i="19"/>
  <c r="W65" i="19"/>
  <c r="W197" i="19"/>
  <c r="W21" i="19"/>
  <c r="Q197" i="19"/>
  <c r="T21" i="19"/>
  <c r="T109" i="19"/>
  <c r="Q21" i="19"/>
  <c r="N65" i="19"/>
  <c r="T65" i="19"/>
  <c r="Q109" i="19"/>
  <c r="N197" i="19"/>
  <c r="N153" i="19"/>
  <c r="N109" i="19"/>
  <c r="K197" i="19"/>
  <c r="Q153" i="19"/>
  <c r="Q65" i="19"/>
  <c r="K65" i="19"/>
  <c r="K153" i="19"/>
  <c r="K21" i="19"/>
  <c r="K109" i="19"/>
  <c r="N21" i="19"/>
  <c r="X101" i="19"/>
  <c r="X189" i="19"/>
  <c r="X13" i="19"/>
  <c r="X145" i="19"/>
  <c r="X57" i="19"/>
  <c r="U189" i="19"/>
  <c r="U57" i="19"/>
  <c r="R189" i="19"/>
  <c r="U13" i="19"/>
  <c r="U101" i="19"/>
  <c r="U145" i="19"/>
  <c r="R145" i="19"/>
  <c r="R57" i="19"/>
  <c r="O101" i="19"/>
  <c r="L145" i="19"/>
  <c r="O145" i="19"/>
  <c r="R13" i="19"/>
  <c r="R101" i="19"/>
  <c r="L189" i="19"/>
  <c r="L57" i="19"/>
  <c r="O57" i="19"/>
  <c r="L101" i="19"/>
  <c r="O189" i="19"/>
  <c r="L13" i="19"/>
  <c r="O13" i="19"/>
  <c r="X112" i="19"/>
  <c r="X156" i="19"/>
  <c r="U200" i="19"/>
  <c r="X200" i="19"/>
  <c r="X24" i="19"/>
  <c r="U68" i="19"/>
  <c r="X68" i="19"/>
  <c r="U112" i="19"/>
  <c r="U156" i="19"/>
  <c r="U24" i="19"/>
  <c r="R112" i="19"/>
  <c r="R24" i="19"/>
  <c r="R200" i="19"/>
  <c r="R68" i="19"/>
  <c r="O112" i="19"/>
  <c r="L156" i="19"/>
  <c r="O68" i="19"/>
  <c r="R156" i="19"/>
  <c r="L200" i="19"/>
  <c r="O24" i="19"/>
  <c r="O156" i="19"/>
  <c r="L112" i="19"/>
  <c r="O200" i="19"/>
  <c r="L68" i="19"/>
  <c r="L24" i="19"/>
  <c r="X170" i="19"/>
  <c r="X214" i="19"/>
  <c r="X38" i="19"/>
  <c r="X82" i="19"/>
  <c r="U82" i="19"/>
  <c r="U126" i="19"/>
  <c r="U214" i="19"/>
  <c r="U170" i="19"/>
  <c r="R126" i="19"/>
  <c r="R170" i="19"/>
  <c r="X126" i="19"/>
  <c r="R82" i="19"/>
  <c r="R214" i="19"/>
  <c r="U38" i="19"/>
  <c r="O170" i="19"/>
  <c r="L214" i="19"/>
  <c r="O82" i="19"/>
  <c r="O38" i="19"/>
  <c r="L170" i="19"/>
  <c r="O214" i="19"/>
  <c r="O126" i="19"/>
  <c r="L126" i="19"/>
  <c r="L38" i="19"/>
  <c r="R38" i="19"/>
  <c r="L82" i="19"/>
  <c r="W146" i="19"/>
  <c r="W58" i="19"/>
  <c r="W14" i="19"/>
  <c r="T58" i="19"/>
  <c r="W102" i="19"/>
  <c r="W190" i="19"/>
  <c r="T190" i="19"/>
  <c r="T102" i="19"/>
  <c r="T14" i="19"/>
  <c r="T146" i="19"/>
  <c r="Q190" i="19"/>
  <c r="N146" i="19"/>
  <c r="K190" i="19"/>
  <c r="Q14" i="19"/>
  <c r="N102" i="19"/>
  <c r="N58" i="19"/>
  <c r="Q102" i="19"/>
  <c r="Q58" i="19"/>
  <c r="N190" i="19"/>
  <c r="K102" i="19"/>
  <c r="Q146" i="19"/>
  <c r="K146" i="19"/>
  <c r="N14" i="19"/>
  <c r="K58" i="19"/>
  <c r="K14" i="19"/>
  <c r="W81" i="19"/>
  <c r="W125" i="19"/>
  <c r="W169" i="19"/>
  <c r="T213" i="19"/>
  <c r="W37" i="19"/>
  <c r="T169" i="19"/>
  <c r="W213" i="19"/>
  <c r="T81" i="19"/>
  <c r="Q213" i="19"/>
  <c r="T125" i="19"/>
  <c r="T37" i="19"/>
  <c r="Q169" i="19"/>
  <c r="Q37" i="19"/>
  <c r="N81" i="19"/>
  <c r="N169" i="19"/>
  <c r="N125" i="19"/>
  <c r="Q125" i="19"/>
  <c r="K213" i="19"/>
  <c r="Q81" i="19"/>
  <c r="N37" i="19"/>
  <c r="K37" i="19"/>
  <c r="K81" i="19"/>
  <c r="K169" i="19"/>
  <c r="K125" i="19"/>
  <c r="N213" i="19"/>
  <c r="W130" i="19"/>
  <c r="W218" i="19"/>
  <c r="W42" i="19"/>
  <c r="T218" i="19"/>
  <c r="T42" i="19"/>
  <c r="T86" i="19"/>
  <c r="W86" i="19"/>
  <c r="Q218" i="19"/>
  <c r="T174" i="19"/>
  <c r="W174" i="19"/>
  <c r="Q174" i="19"/>
  <c r="Q86" i="19"/>
  <c r="N130" i="19"/>
  <c r="K174" i="19"/>
  <c r="N218" i="19"/>
  <c r="Q130" i="19"/>
  <c r="N174" i="19"/>
  <c r="Q42" i="19"/>
  <c r="T130" i="19"/>
  <c r="N86" i="19"/>
  <c r="K86" i="19"/>
  <c r="N42" i="19"/>
  <c r="K42" i="19"/>
  <c r="K130" i="19"/>
  <c r="K218" i="19"/>
  <c r="X222" i="19"/>
  <c r="X90" i="19"/>
  <c r="X134" i="19"/>
  <c r="X178" i="19"/>
  <c r="U134" i="19"/>
  <c r="U222" i="19"/>
  <c r="U178" i="19"/>
  <c r="U90" i="19"/>
  <c r="U46" i="19"/>
  <c r="R178" i="19"/>
  <c r="R222" i="19"/>
  <c r="R134" i="19"/>
  <c r="X46" i="19"/>
  <c r="O222" i="19"/>
  <c r="O46" i="19"/>
  <c r="O178" i="19"/>
  <c r="R90" i="19"/>
  <c r="O134" i="19"/>
  <c r="O90" i="19"/>
  <c r="R46" i="19"/>
  <c r="L178" i="19"/>
  <c r="L134" i="19"/>
  <c r="L222" i="19"/>
  <c r="L90" i="19"/>
  <c r="L46" i="19"/>
  <c r="X177" i="19"/>
  <c r="U221" i="19"/>
  <c r="X89" i="19"/>
  <c r="X133" i="19"/>
  <c r="U89" i="19"/>
  <c r="X221" i="19"/>
  <c r="U133" i="19"/>
  <c r="R133" i="19"/>
  <c r="U177" i="19"/>
  <c r="U45" i="19"/>
  <c r="X45" i="19"/>
  <c r="R221" i="19"/>
  <c r="O177" i="19"/>
  <c r="L221" i="19"/>
  <c r="R177" i="19"/>
  <c r="O221" i="19"/>
  <c r="R89" i="19"/>
  <c r="O45" i="19"/>
  <c r="O89" i="19"/>
  <c r="O133" i="19"/>
  <c r="L177" i="19"/>
  <c r="L45" i="19"/>
  <c r="L133" i="19"/>
  <c r="R45" i="19"/>
  <c r="L89" i="19"/>
  <c r="W191" i="19"/>
  <c r="W59" i="19"/>
  <c r="W103" i="19"/>
  <c r="W147" i="19"/>
  <c r="T191" i="19"/>
  <c r="T103" i="19"/>
  <c r="T147" i="19"/>
  <c r="Q147" i="19"/>
  <c r="Q191" i="19"/>
  <c r="W15" i="19"/>
  <c r="T59" i="19"/>
  <c r="N191" i="19"/>
  <c r="N15" i="19"/>
  <c r="T15" i="19"/>
  <c r="Q103" i="19"/>
  <c r="N147" i="19"/>
  <c r="N103" i="19"/>
  <c r="N59" i="19"/>
  <c r="K15" i="19"/>
  <c r="Q15" i="19"/>
  <c r="Q59" i="19"/>
  <c r="K59" i="19"/>
  <c r="K147" i="19"/>
  <c r="K103" i="19"/>
  <c r="K191" i="19"/>
  <c r="W112" i="19"/>
  <c r="W200" i="19"/>
  <c r="W24" i="19"/>
  <c r="T112" i="19"/>
  <c r="T68" i="19"/>
  <c r="Q200" i="19"/>
  <c r="W68" i="19"/>
  <c r="T156" i="19"/>
  <c r="T24" i="19"/>
  <c r="W156" i="19"/>
  <c r="Q156" i="19"/>
  <c r="Q68" i="19"/>
  <c r="N112" i="19"/>
  <c r="K156" i="19"/>
  <c r="N156" i="19"/>
  <c r="T200" i="19"/>
  <c r="Q112" i="19"/>
  <c r="K200" i="19"/>
  <c r="N24" i="19"/>
  <c r="N200" i="19"/>
  <c r="N68" i="19"/>
  <c r="K68" i="19"/>
  <c r="K112" i="19"/>
  <c r="Q24" i="19"/>
  <c r="K24" i="19"/>
  <c r="X154" i="19"/>
  <c r="X198" i="19"/>
  <c r="X22" i="19"/>
  <c r="X66" i="19"/>
  <c r="U198" i="19"/>
  <c r="U110" i="19"/>
  <c r="U154" i="19"/>
  <c r="R154" i="19"/>
  <c r="X110" i="19"/>
  <c r="R66" i="19"/>
  <c r="U66" i="19"/>
  <c r="U22" i="19"/>
  <c r="O154" i="19"/>
  <c r="L198" i="19"/>
  <c r="R198" i="19"/>
  <c r="R22" i="19"/>
  <c r="O22" i="19"/>
  <c r="O198" i="19"/>
  <c r="O66" i="19"/>
  <c r="O110" i="19"/>
  <c r="L154" i="19"/>
  <c r="L66" i="19"/>
  <c r="R110" i="19"/>
  <c r="L110" i="19"/>
  <c r="L22" i="19"/>
  <c r="W172" i="19"/>
  <c r="W84" i="19"/>
  <c r="T216" i="19"/>
  <c r="T128" i="19"/>
  <c r="T40" i="19"/>
  <c r="Q172" i="19"/>
  <c r="Q84" i="19"/>
  <c r="N216" i="19"/>
  <c r="N128" i="19"/>
  <c r="N40" i="19"/>
  <c r="K172" i="19"/>
  <c r="K84" i="19"/>
  <c r="K40" i="19"/>
  <c r="W216" i="19"/>
  <c r="W128" i="19"/>
  <c r="W40" i="19"/>
  <c r="T172" i="19"/>
  <c r="T84" i="19"/>
  <c r="Q216" i="19"/>
  <c r="Q128" i="19"/>
  <c r="Q40" i="19"/>
  <c r="N172" i="19"/>
  <c r="N84" i="19"/>
  <c r="K216" i="19"/>
  <c r="K128" i="19"/>
  <c r="L40" i="19"/>
  <c r="X216" i="19"/>
  <c r="X128" i="19"/>
  <c r="X40" i="19"/>
  <c r="U172" i="19"/>
  <c r="U84" i="19"/>
  <c r="R216" i="19"/>
  <c r="R128" i="19"/>
  <c r="R40" i="19"/>
  <c r="O172" i="19"/>
  <c r="O84" i="19"/>
  <c r="L216" i="19"/>
  <c r="L128" i="19"/>
  <c r="L84" i="19"/>
  <c r="X172" i="19"/>
  <c r="X84" i="19"/>
  <c r="U216" i="19"/>
  <c r="U128" i="19"/>
  <c r="U40" i="19"/>
  <c r="R172" i="19"/>
  <c r="R84" i="19"/>
  <c r="O216" i="19"/>
  <c r="O128" i="19"/>
  <c r="O40" i="19"/>
  <c r="L172" i="19"/>
  <c r="AC65" i="1"/>
  <c r="AB65" i="1"/>
  <c r="AC31" i="1"/>
  <c r="AB100" i="1"/>
  <c r="AC28" i="1"/>
  <c r="AC91" i="1"/>
  <c r="AB91" i="1"/>
  <c r="AC94" i="1"/>
  <c r="AF29" i="1"/>
  <c r="AF99" i="1"/>
  <c r="AF119" i="1"/>
  <c r="AF26" i="1"/>
  <c r="AF53" i="1"/>
  <c r="AF83" i="1"/>
  <c r="AF101" i="1"/>
  <c r="AF107" i="1"/>
  <c r="AF113" i="1"/>
  <c r="AF126" i="1"/>
  <c r="AF33" i="1"/>
  <c r="AF30" i="1"/>
  <c r="AF98" i="1"/>
  <c r="AF102" i="1"/>
  <c r="AF108" i="1"/>
  <c r="AF123" i="1"/>
  <c r="AF114" i="1"/>
  <c r="AF40" i="1"/>
  <c r="AF54" i="1"/>
  <c r="AF59" i="1"/>
  <c r="AF27" i="1"/>
  <c r="AF32" i="1"/>
  <c r="AF50" i="1"/>
  <c r="AF60" i="1"/>
  <c r="AF84" i="1"/>
  <c r="AF120" i="1"/>
  <c r="AF122" i="1"/>
  <c r="AF125" i="1"/>
  <c r="AF51" i="1"/>
  <c r="AA55" i="1"/>
  <c r="AA56" i="1" s="1"/>
  <c r="AA70" i="1"/>
  <c r="AA73" i="1"/>
  <c r="AA85" i="1"/>
  <c r="AA86" i="1" s="1"/>
  <c r="AA95" i="1"/>
  <c r="AA109" i="1"/>
  <c r="AA110" i="1" s="1"/>
  <c r="AF65" i="1" l="1"/>
  <c r="W70" i="19"/>
  <c r="W158" i="19"/>
  <c r="T202" i="19"/>
  <c r="T158" i="19"/>
  <c r="W114" i="19"/>
  <c r="Q158" i="19"/>
  <c r="W26" i="19"/>
  <c r="Q202" i="19"/>
  <c r="T26" i="19"/>
  <c r="Q114" i="19"/>
  <c r="Q26" i="19"/>
  <c r="N70" i="19"/>
  <c r="T114" i="19"/>
  <c r="N26" i="19"/>
  <c r="N202" i="19"/>
  <c r="N158" i="19"/>
  <c r="N114" i="19"/>
  <c r="K202" i="19"/>
  <c r="K26" i="19"/>
  <c r="K70" i="19"/>
  <c r="K114" i="19"/>
  <c r="K158" i="19"/>
  <c r="W202" i="19"/>
  <c r="Q70" i="19"/>
  <c r="T70" i="19"/>
  <c r="AA111" i="1"/>
  <c r="AC110" i="1"/>
  <c r="AB110" i="1"/>
  <c r="AA57" i="1"/>
  <c r="AC56" i="1"/>
  <c r="AB56" i="1"/>
  <c r="AA96" i="1"/>
  <c r="AB95" i="1"/>
  <c r="AC95" i="1"/>
  <c r="AA87" i="1"/>
  <c r="AB86" i="1"/>
  <c r="AC86" i="1"/>
  <c r="AA66" i="1"/>
  <c r="AC88" i="1"/>
  <c r="AB88" i="1"/>
  <c r="AC73" i="1"/>
  <c r="AB73" i="1"/>
  <c r="AC97" i="1"/>
  <c r="AB97" i="1"/>
  <c r="AC55" i="1"/>
  <c r="AB55" i="1"/>
  <c r="AC109" i="1"/>
  <c r="AB109" i="1"/>
  <c r="AC85" i="1"/>
  <c r="AB85" i="1"/>
  <c r="AC70" i="1"/>
  <c r="AB70" i="1"/>
  <c r="AA115" i="1"/>
  <c r="AA61" i="1"/>
  <c r="AA62" i="1" s="1"/>
  <c r="AA16" i="1"/>
  <c r="AA17" i="1" s="1"/>
  <c r="W165" i="19" l="1"/>
  <c r="W209" i="19"/>
  <c r="W33" i="19"/>
  <c r="W77" i="19"/>
  <c r="T77" i="19"/>
  <c r="T121" i="19"/>
  <c r="T165" i="19"/>
  <c r="W121" i="19"/>
  <c r="T209" i="19"/>
  <c r="Q165" i="19"/>
  <c r="Q121" i="19"/>
  <c r="Q77" i="19"/>
  <c r="T33" i="19"/>
  <c r="N165" i="19"/>
  <c r="K209" i="19"/>
  <c r="Q209" i="19"/>
  <c r="Q33" i="19"/>
  <c r="N33" i="19"/>
  <c r="N77" i="19"/>
  <c r="N209" i="19"/>
  <c r="N121" i="19"/>
  <c r="K165" i="19"/>
  <c r="K121" i="19"/>
  <c r="K77" i="19"/>
  <c r="K33" i="19"/>
  <c r="W212" i="19"/>
  <c r="W36" i="19"/>
  <c r="W124" i="19"/>
  <c r="W80" i="19"/>
  <c r="T124" i="19"/>
  <c r="W168" i="19"/>
  <c r="T168" i="19"/>
  <c r="Q168" i="19"/>
  <c r="T80" i="19"/>
  <c r="Q212" i="19"/>
  <c r="Q124" i="19"/>
  <c r="T212" i="19"/>
  <c r="N212" i="19"/>
  <c r="N36" i="19"/>
  <c r="Q80" i="19"/>
  <c r="Q36" i="19"/>
  <c r="K212" i="19"/>
  <c r="N124" i="19"/>
  <c r="K36" i="19"/>
  <c r="T36" i="19"/>
  <c r="N168" i="19"/>
  <c r="K80" i="19"/>
  <c r="K168" i="19"/>
  <c r="K124" i="19"/>
  <c r="N80" i="19"/>
  <c r="W199" i="19"/>
  <c r="W67" i="19"/>
  <c r="W111" i="19"/>
  <c r="T111" i="19"/>
  <c r="W23" i="19"/>
  <c r="T155" i="19"/>
  <c r="Q155" i="19"/>
  <c r="T67" i="19"/>
  <c r="Q199" i="19"/>
  <c r="W155" i="19"/>
  <c r="T23" i="19"/>
  <c r="N199" i="19"/>
  <c r="N23" i="19"/>
  <c r="Q23" i="19"/>
  <c r="Q111" i="19"/>
  <c r="N155" i="19"/>
  <c r="N111" i="19"/>
  <c r="K199" i="19"/>
  <c r="K155" i="19"/>
  <c r="T199" i="19"/>
  <c r="Q67" i="19"/>
  <c r="N67" i="19"/>
  <c r="K23" i="19"/>
  <c r="K111" i="19"/>
  <c r="K67" i="19"/>
  <c r="W217" i="19"/>
  <c r="W173" i="19"/>
  <c r="W129" i="19"/>
  <c r="W85" i="19"/>
  <c r="W41" i="19"/>
  <c r="T217" i="19"/>
  <c r="T173" i="19"/>
  <c r="T129" i="19"/>
  <c r="T85" i="19"/>
  <c r="T41" i="19"/>
  <c r="Q217" i="19"/>
  <c r="Q173" i="19"/>
  <c r="Q129" i="19"/>
  <c r="Q85" i="19"/>
  <c r="Q41" i="19"/>
  <c r="N217" i="19"/>
  <c r="N173" i="19"/>
  <c r="N129" i="19"/>
  <c r="N85" i="19"/>
  <c r="N41" i="19"/>
  <c r="K217" i="19"/>
  <c r="K173" i="19"/>
  <c r="K129" i="19"/>
  <c r="K85" i="19"/>
  <c r="K41" i="19"/>
  <c r="AF95" i="1"/>
  <c r="AF86" i="1"/>
  <c r="AC96" i="1"/>
  <c r="AB96" i="1"/>
  <c r="AF56" i="1"/>
  <c r="AB111" i="1"/>
  <c r="AC111" i="1"/>
  <c r="AA18" i="1"/>
  <c r="AB17" i="1"/>
  <c r="AC17" i="1"/>
  <c r="AB87" i="1"/>
  <c r="AC87" i="1"/>
  <c r="AA63" i="1"/>
  <c r="AB62" i="1"/>
  <c r="AC62" i="1"/>
  <c r="AC66" i="1"/>
  <c r="AB66" i="1"/>
  <c r="AB57" i="1"/>
  <c r="AC57" i="1"/>
  <c r="AF110" i="1"/>
  <c r="AC16" i="1"/>
  <c r="AB16" i="1"/>
  <c r="AC61" i="1"/>
  <c r="AB61" i="1"/>
  <c r="AC115" i="1"/>
  <c r="AB115" i="1"/>
  <c r="L7" i="1"/>
  <c r="AA20" i="1"/>
  <c r="B221" i="13" a="1"/>
  <c r="X212" i="19" l="1"/>
  <c r="X80" i="19"/>
  <c r="X124" i="19"/>
  <c r="U124" i="19"/>
  <c r="X168" i="19"/>
  <c r="X36" i="19"/>
  <c r="U168" i="19"/>
  <c r="R168" i="19"/>
  <c r="U80" i="19"/>
  <c r="R212" i="19"/>
  <c r="U212" i="19"/>
  <c r="O212" i="19"/>
  <c r="O36" i="19"/>
  <c r="U36" i="19"/>
  <c r="R80" i="19"/>
  <c r="R36" i="19"/>
  <c r="O168" i="19"/>
  <c r="R124" i="19"/>
  <c r="L168" i="19"/>
  <c r="L124" i="19"/>
  <c r="O124" i="19"/>
  <c r="O80" i="19"/>
  <c r="L212" i="19"/>
  <c r="L80" i="19"/>
  <c r="L36" i="19"/>
  <c r="X67" i="19"/>
  <c r="X155" i="19"/>
  <c r="U199" i="19"/>
  <c r="X199" i="19"/>
  <c r="X23" i="19"/>
  <c r="U155" i="19"/>
  <c r="R155" i="19"/>
  <c r="U111" i="19"/>
  <c r="U67" i="19"/>
  <c r="R199" i="19"/>
  <c r="X111" i="19"/>
  <c r="U23" i="19"/>
  <c r="R23" i="19"/>
  <c r="O67" i="19"/>
  <c r="O23" i="19"/>
  <c r="O199" i="19"/>
  <c r="O155" i="19"/>
  <c r="O111" i="19"/>
  <c r="R67" i="19"/>
  <c r="R111" i="19"/>
  <c r="L155" i="19"/>
  <c r="L23" i="19"/>
  <c r="L67" i="19"/>
  <c r="L111" i="19"/>
  <c r="L199" i="19"/>
  <c r="W54" i="19"/>
  <c r="W142" i="19"/>
  <c r="W186" i="19"/>
  <c r="T142" i="19"/>
  <c r="T186" i="19"/>
  <c r="T54" i="19"/>
  <c r="Q142" i="19"/>
  <c r="T98" i="19"/>
  <c r="Q186" i="19"/>
  <c r="W98" i="19"/>
  <c r="T10" i="19"/>
  <c r="Q10" i="19"/>
  <c r="N54" i="19"/>
  <c r="N142" i="19"/>
  <c r="N98" i="19"/>
  <c r="Q98" i="19"/>
  <c r="W10" i="19"/>
  <c r="N186" i="19"/>
  <c r="K186" i="19"/>
  <c r="Q54" i="19"/>
  <c r="N10" i="19"/>
  <c r="K10" i="19"/>
  <c r="K54" i="19"/>
  <c r="K98" i="19"/>
  <c r="K142" i="19"/>
  <c r="X209" i="19"/>
  <c r="X33" i="19"/>
  <c r="X121" i="19"/>
  <c r="U121" i="19"/>
  <c r="U165" i="19"/>
  <c r="X77" i="19"/>
  <c r="U209" i="19"/>
  <c r="U77" i="19"/>
  <c r="R165" i="19"/>
  <c r="X165" i="19"/>
  <c r="R209" i="19"/>
  <c r="U33" i="19"/>
  <c r="O209" i="19"/>
  <c r="O33" i="19"/>
  <c r="R33" i="19"/>
  <c r="O165" i="19"/>
  <c r="R77" i="19"/>
  <c r="O121" i="19"/>
  <c r="L165" i="19"/>
  <c r="R121" i="19"/>
  <c r="O77" i="19"/>
  <c r="L33" i="19"/>
  <c r="L77" i="19"/>
  <c r="L121" i="19"/>
  <c r="L209" i="19"/>
  <c r="X70" i="19"/>
  <c r="X114" i="19"/>
  <c r="X158" i="19"/>
  <c r="U202" i="19"/>
  <c r="U158" i="19"/>
  <c r="X202" i="19"/>
  <c r="X26" i="19"/>
  <c r="R202" i="19"/>
  <c r="U26" i="19"/>
  <c r="U70" i="19"/>
  <c r="R26" i="19"/>
  <c r="O70" i="19"/>
  <c r="U114" i="19"/>
  <c r="R158" i="19"/>
  <c r="R114" i="19"/>
  <c r="O26" i="19"/>
  <c r="O202" i="19"/>
  <c r="R70" i="19"/>
  <c r="L202" i="19"/>
  <c r="L158" i="19"/>
  <c r="O158" i="19"/>
  <c r="L70" i="19"/>
  <c r="L26" i="19"/>
  <c r="O114" i="19"/>
  <c r="L114" i="19"/>
  <c r="W157" i="19"/>
  <c r="W201" i="19"/>
  <c r="W25" i="19"/>
  <c r="W69" i="19"/>
  <c r="T69" i="19"/>
  <c r="T113" i="19"/>
  <c r="W113" i="19"/>
  <c r="T201" i="19"/>
  <c r="T157" i="19"/>
  <c r="Q157" i="19"/>
  <c r="Q69" i="19"/>
  <c r="N157" i="19"/>
  <c r="K201" i="19"/>
  <c r="Q113" i="19"/>
  <c r="N69" i="19"/>
  <c r="N201" i="19"/>
  <c r="Q201" i="19"/>
  <c r="N25" i="19"/>
  <c r="K113" i="19"/>
  <c r="Q25" i="19"/>
  <c r="N113" i="19"/>
  <c r="K25" i="19"/>
  <c r="K157" i="19"/>
  <c r="T25" i="19"/>
  <c r="K69" i="19"/>
  <c r="X217" i="19"/>
  <c r="X173" i="19"/>
  <c r="X129" i="19"/>
  <c r="X85" i="19"/>
  <c r="X41" i="19"/>
  <c r="U217" i="19"/>
  <c r="U173" i="19"/>
  <c r="U129" i="19"/>
  <c r="U85" i="19"/>
  <c r="U41" i="19"/>
  <c r="R217" i="19"/>
  <c r="R173" i="19"/>
  <c r="R129" i="19"/>
  <c r="R85" i="19"/>
  <c r="R41" i="19"/>
  <c r="O217" i="19"/>
  <c r="O173" i="19"/>
  <c r="O129" i="19"/>
  <c r="O85" i="19"/>
  <c r="O41" i="19"/>
  <c r="L217" i="19"/>
  <c r="L173" i="19"/>
  <c r="L129" i="19"/>
  <c r="L85" i="19"/>
  <c r="L41" i="19"/>
  <c r="AA7" i="1"/>
  <c r="AA8" i="1" s="1"/>
  <c r="AA9" i="1" s="1"/>
  <c r="AF66" i="1"/>
  <c r="AB63" i="1"/>
  <c r="AC63" i="1"/>
  <c r="AF87" i="1"/>
  <c r="AF17" i="1"/>
  <c r="AF96" i="1"/>
  <c r="AF57" i="1"/>
  <c r="AB18" i="1"/>
  <c r="AC18" i="1"/>
  <c r="AA21" i="1"/>
  <c r="AC20" i="1"/>
  <c r="AB20" i="1"/>
  <c r="AF62" i="1"/>
  <c r="AF111" i="1"/>
  <c r="AC19" i="1"/>
  <c r="AB19" i="1"/>
  <c r="B221" i="13"/>
  <c r="X201" i="19" l="1"/>
  <c r="X25" i="19"/>
  <c r="X113" i="19"/>
  <c r="U113" i="19"/>
  <c r="X69" i="19"/>
  <c r="U201" i="19"/>
  <c r="U157" i="19"/>
  <c r="X157" i="19"/>
  <c r="R157" i="19"/>
  <c r="U69" i="19"/>
  <c r="R113" i="19"/>
  <c r="O201" i="19"/>
  <c r="O25" i="19"/>
  <c r="R69" i="19"/>
  <c r="R25" i="19"/>
  <c r="U25" i="19"/>
  <c r="R201" i="19"/>
  <c r="O157" i="19"/>
  <c r="O113" i="19"/>
  <c r="L201" i="19"/>
  <c r="L25" i="19"/>
  <c r="L69" i="19"/>
  <c r="L157" i="19"/>
  <c r="O69" i="19"/>
  <c r="L113" i="19"/>
  <c r="W99" i="19"/>
  <c r="W143" i="19"/>
  <c r="T187" i="19"/>
  <c r="W187" i="19"/>
  <c r="W11" i="19"/>
  <c r="T55" i="19"/>
  <c r="T99" i="19"/>
  <c r="T143" i="19"/>
  <c r="T11" i="19"/>
  <c r="W55" i="19"/>
  <c r="Q11" i="19"/>
  <c r="Q55" i="19"/>
  <c r="N99" i="19"/>
  <c r="K143" i="19"/>
  <c r="Q143" i="19"/>
  <c r="Q99" i="19"/>
  <c r="N55" i="19"/>
  <c r="Q187" i="19"/>
  <c r="N11" i="19"/>
  <c r="N187" i="19"/>
  <c r="K187" i="19"/>
  <c r="K99" i="19"/>
  <c r="K11" i="19"/>
  <c r="N143" i="19"/>
  <c r="K55" i="19"/>
  <c r="X98" i="19"/>
  <c r="X142" i="19"/>
  <c r="U186" i="19"/>
  <c r="U142" i="19"/>
  <c r="X54" i="19"/>
  <c r="U98" i="19"/>
  <c r="R186" i="19"/>
  <c r="U10" i="19"/>
  <c r="X186" i="19"/>
  <c r="R10" i="19"/>
  <c r="O54" i="19"/>
  <c r="O98" i="19"/>
  <c r="R98" i="19"/>
  <c r="L186" i="19"/>
  <c r="L142" i="19"/>
  <c r="R142" i="19"/>
  <c r="L54" i="19"/>
  <c r="O186" i="19"/>
  <c r="X10" i="19"/>
  <c r="U54" i="19"/>
  <c r="R54" i="19"/>
  <c r="O10" i="19"/>
  <c r="L10" i="19"/>
  <c r="O142" i="19"/>
  <c r="L98" i="19"/>
  <c r="AB21" i="1"/>
  <c r="AC21" i="1"/>
  <c r="AF18" i="1"/>
  <c r="AF63" i="1"/>
  <c r="AF20" i="1"/>
  <c r="AB9" i="1"/>
  <c r="AC9" i="1"/>
  <c r="AC8" i="1"/>
  <c r="AB8" i="1"/>
  <c r="X143" i="19" l="1"/>
  <c r="X55" i="19"/>
  <c r="U187" i="19"/>
  <c r="U55" i="19"/>
  <c r="U99" i="19"/>
  <c r="X11" i="19"/>
  <c r="U11" i="19"/>
  <c r="X99" i="19"/>
  <c r="X187" i="19"/>
  <c r="U143" i="19"/>
  <c r="R143" i="19"/>
  <c r="R99" i="19"/>
  <c r="O143" i="19"/>
  <c r="L187" i="19"/>
  <c r="O55" i="19"/>
  <c r="R187" i="19"/>
  <c r="O11" i="19"/>
  <c r="R55" i="19"/>
  <c r="R11" i="19"/>
  <c r="O187" i="19"/>
  <c r="L99" i="19"/>
  <c r="O99" i="19"/>
  <c r="L143" i="19"/>
  <c r="L11" i="19"/>
  <c r="L55" i="19"/>
  <c r="AF21" i="1"/>
  <c r="AE15" i="1" l="1"/>
  <c r="AD15" i="1" s="1"/>
  <c r="AE14" i="1"/>
  <c r="AD14" i="1" s="1"/>
  <c r="AE12" i="1"/>
  <c r="AD12" i="1" s="1"/>
  <c r="AE11" i="1"/>
  <c r="AD11" i="1" s="1"/>
  <c r="W10" i="1"/>
  <c r="AA10" i="1" s="1"/>
  <c r="AA11" i="1" s="1"/>
  <c r="W13" i="1"/>
  <c r="AA13" i="1" s="1"/>
  <c r="AA14" i="1" s="1"/>
  <c r="AA15" i="1" l="1"/>
  <c r="AC14" i="1"/>
  <c r="AB14" i="1"/>
  <c r="AA12" i="1"/>
  <c r="AB11" i="1"/>
  <c r="AC11" i="1"/>
  <c r="AB7" i="1"/>
  <c r="W141" i="19" l="1"/>
  <c r="W185" i="19"/>
  <c r="W9" i="19"/>
  <c r="W53" i="19"/>
  <c r="T97" i="19"/>
  <c r="T141" i="19"/>
  <c r="T185" i="19"/>
  <c r="T53" i="19"/>
  <c r="Q141" i="19"/>
  <c r="Q53" i="19"/>
  <c r="Q185" i="19"/>
  <c r="Q97" i="19"/>
  <c r="N141" i="19"/>
  <c r="K185" i="19"/>
  <c r="T9" i="19"/>
  <c r="N185" i="19"/>
  <c r="Q9" i="19"/>
  <c r="N97" i="19"/>
  <c r="W97" i="19"/>
  <c r="K141" i="19"/>
  <c r="N53" i="19"/>
  <c r="K97" i="19"/>
  <c r="N9" i="19"/>
  <c r="K9" i="19"/>
  <c r="K53" i="19"/>
  <c r="W183" i="19"/>
  <c r="W51" i="19"/>
  <c r="W95" i="19"/>
  <c r="T95" i="19"/>
  <c r="W139" i="19"/>
  <c r="T139" i="19"/>
  <c r="W7" i="19"/>
  <c r="T183" i="19"/>
  <c r="Q139" i="19"/>
  <c r="Q183" i="19"/>
  <c r="T51" i="19"/>
  <c r="Q95" i="19"/>
  <c r="N183" i="19"/>
  <c r="N7" i="19"/>
  <c r="N95" i="19"/>
  <c r="N51" i="19"/>
  <c r="Q51" i="19"/>
  <c r="K183" i="19"/>
  <c r="T7" i="19"/>
  <c r="K139" i="19"/>
  <c r="Q7" i="19"/>
  <c r="N139" i="19"/>
  <c r="K51" i="19"/>
  <c r="K95" i="19"/>
  <c r="K7" i="19"/>
  <c r="AF14" i="1"/>
  <c r="AF11" i="1"/>
  <c r="AC15" i="1"/>
  <c r="AB15" i="1"/>
  <c r="AB12" i="1"/>
  <c r="AC12" i="1"/>
  <c r="AC7" i="1"/>
  <c r="X51" i="19" l="1"/>
  <c r="X139" i="19"/>
  <c r="X95" i="19"/>
  <c r="U139" i="19"/>
  <c r="X7" i="19"/>
  <c r="X183" i="19"/>
  <c r="U183" i="19"/>
  <c r="R139" i="19"/>
  <c r="R183" i="19"/>
  <c r="U95" i="19"/>
  <c r="U7" i="19"/>
  <c r="R7" i="19"/>
  <c r="O51" i="19"/>
  <c r="R95" i="19"/>
  <c r="R51" i="19"/>
  <c r="O7" i="19"/>
  <c r="O95" i="19"/>
  <c r="U51" i="19"/>
  <c r="L51" i="19"/>
  <c r="L139" i="19"/>
  <c r="L95" i="19"/>
  <c r="O139" i="19"/>
  <c r="O183" i="19"/>
  <c r="L183" i="19"/>
  <c r="X185" i="19"/>
  <c r="X9" i="19"/>
  <c r="X97" i="19"/>
  <c r="U97" i="19"/>
  <c r="X53" i="19"/>
  <c r="U141" i="19"/>
  <c r="U185" i="19"/>
  <c r="U53" i="19"/>
  <c r="R141" i="19"/>
  <c r="R185" i="19"/>
  <c r="U9" i="19"/>
  <c r="O185" i="19"/>
  <c r="O9" i="19"/>
  <c r="R9" i="19"/>
  <c r="O141" i="19"/>
  <c r="O97" i="19"/>
  <c r="X141" i="19"/>
  <c r="R97" i="19"/>
  <c r="O53" i="19"/>
  <c r="L141" i="19"/>
  <c r="R53" i="19"/>
  <c r="L9" i="19"/>
  <c r="L53" i="19"/>
  <c r="L97" i="19"/>
  <c r="L185" i="19"/>
  <c r="L7" i="19"/>
  <c r="AF15" i="1"/>
  <c r="AF12" i="1"/>
  <c r="AB10" i="1"/>
  <c r="AC10" i="1" l="1"/>
  <c r="AB13" i="1" s="1"/>
  <c r="AC13" i="1" l="1"/>
  <c r="AE9" i="1" l="1"/>
  <c r="AD9" i="1" s="1"/>
  <c r="U50" i="19" l="1"/>
  <c r="O50" i="19"/>
  <c r="L94" i="19"/>
  <c r="X94" i="19"/>
  <c r="R182" i="19"/>
  <c r="X138" i="19"/>
  <c r="R138" i="19"/>
  <c r="O6" i="19"/>
  <c r="X182" i="19"/>
  <c r="R50" i="19"/>
  <c r="O182" i="19"/>
  <c r="R94" i="19"/>
  <c r="X50" i="19"/>
  <c r="U6" i="19"/>
  <c r="L138" i="19"/>
  <c r="X6" i="19"/>
  <c r="R6" i="19"/>
  <c r="O138" i="19"/>
  <c r="L50" i="19"/>
  <c r="U138" i="19"/>
  <c r="L182" i="19"/>
  <c r="U94" i="19"/>
  <c r="O94" i="19"/>
  <c r="U182" i="19"/>
  <c r="L6" i="19"/>
  <c r="AF9" i="1"/>
  <c r="B223" i="13"/>
  <c r="B222" i="13"/>
  <c r="N127" i="1" l="1"/>
  <c r="O127" i="1" s="1"/>
  <c r="N103" i="1"/>
  <c r="O103" i="1" s="1"/>
  <c r="N67" i="1"/>
  <c r="O67" i="1" s="1"/>
  <c r="N34" i="1"/>
  <c r="O34" i="1" s="1"/>
  <c r="N44" i="1"/>
  <c r="O44" i="1" s="1"/>
  <c r="N22" i="1"/>
  <c r="O22" i="1" s="1"/>
  <c r="N16" i="1"/>
  <c r="O16" i="1" s="1"/>
  <c r="N121" i="1"/>
  <c r="O121" i="1" s="1"/>
  <c r="N73" i="1"/>
  <c r="O73" i="1" s="1"/>
  <c r="N112" i="1"/>
  <c r="O112" i="1" s="1"/>
  <c r="N10" i="1"/>
  <c r="O10" i="1" s="1"/>
  <c r="N118" i="1"/>
  <c r="O118" i="1" s="1"/>
  <c r="N109" i="1"/>
  <c r="O109" i="1" s="1"/>
  <c r="N13" i="1"/>
  <c r="O13" i="1" s="1"/>
  <c r="N76" i="1"/>
  <c r="O76" i="1" s="1"/>
  <c r="N106" i="1"/>
  <c r="O106" i="1" s="1"/>
  <c r="N94" i="1"/>
  <c r="O94" i="1" s="1"/>
  <c r="N49" i="1"/>
  <c r="O49" i="1" s="1"/>
  <c r="N97" i="1"/>
  <c r="O97" i="1" s="1"/>
  <c r="N88" i="1"/>
  <c r="O88" i="1" s="1"/>
  <c r="N115" i="1"/>
  <c r="O115" i="1" s="1"/>
  <c r="N31" i="1"/>
  <c r="O31" i="1" s="1"/>
  <c r="N130" i="1"/>
  <c r="O130" i="1" s="1"/>
  <c r="N79" i="1"/>
  <c r="O79" i="1" s="1"/>
  <c r="N82" i="1"/>
  <c r="O82" i="1" s="1"/>
  <c r="N64" i="1"/>
  <c r="O64" i="1" s="1"/>
  <c r="N19" i="1"/>
  <c r="O19" i="1" s="1"/>
  <c r="N133" i="1"/>
  <c r="O133" i="1" s="1"/>
  <c r="N52" i="1"/>
  <c r="O52" i="1" s="1"/>
  <c r="N37" i="1"/>
  <c r="O37" i="1" s="1"/>
  <c r="N25" i="1"/>
  <c r="O25" i="1" s="1"/>
  <c r="N136" i="1"/>
  <c r="O136" i="1" s="1"/>
  <c r="N100" i="1"/>
  <c r="O100" i="1" s="1"/>
  <c r="N55" i="1"/>
  <c r="O55" i="1" s="1"/>
  <c r="N85" i="1"/>
  <c r="O85" i="1" s="1"/>
  <c r="N41" i="1"/>
  <c r="O41" i="1" s="1"/>
  <c r="N91" i="1"/>
  <c r="O91" i="1" s="1"/>
  <c r="N70" i="1"/>
  <c r="O70" i="1" s="1"/>
  <c r="N28" i="1"/>
  <c r="O28" i="1" s="1"/>
  <c r="N61" i="1"/>
  <c r="O61" i="1" s="1"/>
  <c r="N124" i="1"/>
  <c r="O124" i="1" s="1"/>
  <c r="N58" i="1"/>
  <c r="O58" i="1" s="1"/>
  <c r="N7" i="1"/>
  <c r="O7" i="1" s="1"/>
  <c r="H210" i="13"/>
  <c r="P127" i="1" l="1"/>
  <c r="AE127" i="1" s="1"/>
  <c r="AD127" i="1" s="1"/>
  <c r="AF127" i="1" s="1"/>
  <c r="Q127" i="1"/>
  <c r="AT92" i="18"/>
  <c r="P74" i="18"/>
  <c r="AJ38" i="18"/>
  <c r="AT74" i="18"/>
  <c r="P38" i="18"/>
  <c r="BD74" i="18"/>
  <c r="AJ20" i="18"/>
  <c r="AT20" i="18"/>
  <c r="P92" i="18"/>
  <c r="BD38" i="18"/>
  <c r="AJ92" i="18"/>
  <c r="P20" i="18"/>
  <c r="AT38" i="18"/>
  <c r="BD20" i="18"/>
  <c r="Z56" i="18"/>
  <c r="Z92" i="18"/>
  <c r="AJ56" i="18"/>
  <c r="Z74" i="18"/>
  <c r="P56" i="18"/>
  <c r="BD56" i="18"/>
  <c r="Z20" i="18"/>
  <c r="AJ74" i="18"/>
  <c r="Z38" i="18"/>
  <c r="BD92" i="18"/>
  <c r="AT26" i="18"/>
  <c r="BD62" i="18"/>
  <c r="Z8" i="18"/>
  <c r="AJ80" i="18"/>
  <c r="Z80" i="18"/>
  <c r="AT44" i="18"/>
  <c r="AJ44" i="18"/>
  <c r="Z26" i="18"/>
  <c r="Z44" i="18"/>
  <c r="AJ8" i="18"/>
  <c r="P80" i="18"/>
  <c r="P62" i="18"/>
  <c r="BD80" i="18"/>
  <c r="Z62" i="18"/>
  <c r="P44" i="18"/>
  <c r="P26" i="18"/>
  <c r="BD8" i="18"/>
  <c r="AJ26" i="18"/>
  <c r="AJ62" i="18"/>
  <c r="AT62" i="18"/>
  <c r="BD26" i="18"/>
  <c r="P8" i="18"/>
  <c r="BD44" i="18"/>
  <c r="AT8" i="18"/>
  <c r="AT80" i="18"/>
  <c r="AH8" i="18"/>
  <c r="N80" i="18"/>
  <c r="X8" i="18"/>
  <c r="BB80" i="18"/>
  <c r="AR44" i="18"/>
  <c r="N44" i="18"/>
  <c r="N62" i="18"/>
  <c r="BB44" i="18"/>
  <c r="AH62" i="18"/>
  <c r="N8" i="18"/>
  <c r="BB8" i="18"/>
  <c r="BB62" i="18"/>
  <c r="BB26" i="18"/>
  <c r="AR62" i="18"/>
  <c r="AH26" i="18"/>
  <c r="AR8" i="18"/>
  <c r="AH80" i="18"/>
  <c r="AR80" i="18"/>
  <c r="X44" i="18"/>
  <c r="AH44" i="18"/>
  <c r="X26" i="18"/>
  <c r="N26" i="18"/>
  <c r="AR26" i="18"/>
  <c r="X80" i="18"/>
  <c r="X62" i="18"/>
  <c r="AD22" i="18"/>
  <c r="J94" i="18"/>
  <c r="J40" i="18"/>
  <c r="T58" i="18"/>
  <c r="AN94" i="18"/>
  <c r="AX94" i="18"/>
  <c r="T76" i="18"/>
  <c r="J58" i="18"/>
  <c r="J76" i="18"/>
  <c r="AX58" i="18"/>
  <c r="AX40" i="18"/>
  <c r="J22" i="18"/>
  <c r="AN40" i="18"/>
  <c r="AD76" i="18"/>
  <c r="AX22" i="18"/>
  <c r="AN22" i="18"/>
  <c r="AX76" i="18"/>
  <c r="AN58" i="18"/>
  <c r="AD94" i="18"/>
  <c r="AD40" i="18"/>
  <c r="T94" i="18"/>
  <c r="T40" i="18"/>
  <c r="AD58" i="18"/>
  <c r="T22" i="18"/>
  <c r="BD86" i="18"/>
  <c r="AJ68" i="18"/>
  <c r="P50" i="18"/>
  <c r="BD50" i="18"/>
  <c r="AT86" i="18"/>
  <c r="P14" i="18"/>
  <c r="BD14" i="18"/>
  <c r="AT50" i="18"/>
  <c r="Z14" i="18"/>
  <c r="AT14" i="18"/>
  <c r="AT68" i="18"/>
  <c r="BD68" i="18"/>
  <c r="P32" i="18"/>
  <c r="AT32" i="18"/>
  <c r="AJ32" i="18"/>
  <c r="P68" i="18"/>
  <c r="Z68" i="18"/>
  <c r="AJ50" i="18"/>
  <c r="Z32" i="18"/>
  <c r="BD32" i="18"/>
  <c r="AJ14" i="18"/>
  <c r="P86" i="18"/>
  <c r="Z86" i="18"/>
  <c r="AJ86" i="18"/>
  <c r="AV42" i="18"/>
  <c r="R60" i="18"/>
  <c r="R78" i="18"/>
  <c r="AV6" i="18"/>
  <c r="AB60" i="18"/>
  <c r="R6" i="18"/>
  <c r="AL60" i="18"/>
  <c r="AB42" i="18"/>
  <c r="BF6" i="18"/>
  <c r="AL24" i="18"/>
  <c r="R24" i="18"/>
  <c r="R42" i="18"/>
  <c r="AB78" i="18"/>
  <c r="AV60" i="18"/>
  <c r="AL78" i="18"/>
  <c r="BF24" i="18"/>
  <c r="AV24" i="18"/>
  <c r="AL6" i="18"/>
  <c r="BF60" i="18"/>
  <c r="AV78" i="18"/>
  <c r="BF42" i="18"/>
  <c r="AB6" i="18"/>
  <c r="AL42" i="18"/>
  <c r="BF78" i="18"/>
  <c r="AB24" i="18"/>
  <c r="BB40" i="18"/>
  <c r="AH40" i="18"/>
  <c r="AR94" i="18"/>
  <c r="AR22" i="18"/>
  <c r="BB22" i="18"/>
  <c r="X22" i="18"/>
  <c r="BB58" i="18"/>
  <c r="AH94" i="18"/>
  <c r="X40" i="18"/>
  <c r="AH76" i="18"/>
  <c r="AR76" i="18"/>
  <c r="AR58" i="18"/>
  <c r="N94" i="18"/>
  <c r="AR40" i="18"/>
  <c r="BB94" i="18"/>
  <c r="AH22" i="18"/>
  <c r="N58" i="18"/>
  <c r="N76" i="18"/>
  <c r="N40" i="18"/>
  <c r="X76" i="18"/>
  <c r="BB76" i="18"/>
  <c r="X58" i="18"/>
  <c r="X94" i="18"/>
  <c r="N22" i="18"/>
  <c r="AH58" i="18"/>
  <c r="V82" i="18"/>
  <c r="V46" i="18"/>
  <c r="V28" i="18"/>
  <c r="AZ64" i="18"/>
  <c r="AP64" i="18"/>
  <c r="V10" i="18"/>
  <c r="L82" i="18"/>
  <c r="AZ28" i="18"/>
  <c r="AF82" i="18"/>
  <c r="L64" i="18"/>
  <c r="AP82" i="18"/>
  <c r="AZ82" i="18"/>
  <c r="L28" i="18"/>
  <c r="AP46" i="18"/>
  <c r="AP28" i="18"/>
  <c r="V64" i="18"/>
  <c r="AF64" i="18"/>
  <c r="AF10" i="18"/>
  <c r="L46" i="18"/>
  <c r="AF28" i="18"/>
  <c r="AF46" i="18"/>
  <c r="L10" i="18"/>
  <c r="AP10" i="18"/>
  <c r="AZ46" i="18"/>
  <c r="AZ10" i="18"/>
  <c r="BF44" i="18"/>
  <c r="AB26" i="18"/>
  <c r="AV8" i="18"/>
  <c r="AL80" i="18"/>
  <c r="AL62" i="18"/>
  <c r="R80" i="18"/>
  <c r="BF80" i="18"/>
  <c r="AV62" i="18"/>
  <c r="R44" i="18"/>
  <c r="AV44" i="18"/>
  <c r="AV80" i="18"/>
  <c r="R8" i="18"/>
  <c r="AB44" i="18"/>
  <c r="AL44" i="18"/>
  <c r="R26" i="18"/>
  <c r="BF8" i="18"/>
  <c r="R62" i="18"/>
  <c r="AB8" i="18"/>
  <c r="AB62" i="18"/>
  <c r="AV26" i="18"/>
  <c r="BF26" i="18"/>
  <c r="BF62" i="18"/>
  <c r="AL26" i="18"/>
  <c r="AL8" i="18"/>
  <c r="AB80" i="18"/>
  <c r="BD60" i="18"/>
  <c r="AJ42" i="18"/>
  <c r="Z6" i="18"/>
  <c r="AJ6" i="18"/>
  <c r="BD24" i="18"/>
  <c r="BD78" i="18"/>
  <c r="P60" i="18"/>
  <c r="AT78" i="18"/>
  <c r="AT60" i="18"/>
  <c r="P24" i="18"/>
  <c r="AT42" i="18"/>
  <c r="BD6" i="18"/>
  <c r="BD42" i="18"/>
  <c r="AT6" i="18"/>
  <c r="AJ78" i="18"/>
  <c r="Z24" i="18"/>
  <c r="AJ24" i="18"/>
  <c r="AT24" i="18"/>
  <c r="P6" i="18"/>
  <c r="Z78" i="18"/>
  <c r="Z42" i="18"/>
  <c r="P42" i="18"/>
  <c r="P78" i="18"/>
  <c r="AJ60" i="18"/>
  <c r="Z60" i="18"/>
  <c r="AF8" i="18"/>
  <c r="L26" i="18"/>
  <c r="L8" i="18"/>
  <c r="AZ80" i="18"/>
  <c r="V62" i="18"/>
  <c r="AZ62" i="18"/>
  <c r="AZ26" i="18"/>
  <c r="V26" i="18"/>
  <c r="AZ44" i="18"/>
  <c r="AP80" i="18"/>
  <c r="AF62" i="18"/>
  <c r="AP26" i="18"/>
  <c r="AZ8" i="18"/>
  <c r="AP8" i="18"/>
  <c r="AF26" i="18"/>
  <c r="V44" i="18"/>
  <c r="AP62" i="18"/>
  <c r="AP44" i="18"/>
  <c r="V80" i="18"/>
  <c r="AF80" i="18"/>
  <c r="V8" i="18"/>
  <c r="L80" i="18"/>
  <c r="AF44" i="18"/>
  <c r="L62" i="18"/>
  <c r="L44" i="18"/>
  <c r="AJ90" i="18"/>
  <c r="P90" i="18"/>
  <c r="BD72" i="18"/>
  <c r="AT36" i="18"/>
  <c r="P18" i="18"/>
  <c r="AJ72" i="18"/>
  <c r="Z90" i="18"/>
  <c r="Z72" i="18"/>
  <c r="AT90" i="18"/>
  <c r="BD90" i="18"/>
  <c r="P54" i="18"/>
  <c r="Z18" i="18"/>
  <c r="Z54" i="18"/>
  <c r="AT18" i="18"/>
  <c r="AT72" i="18"/>
  <c r="P72" i="18"/>
  <c r="AJ36" i="18"/>
  <c r="BD54" i="18"/>
  <c r="AJ18" i="18"/>
  <c r="Z36" i="18"/>
  <c r="P36" i="18"/>
  <c r="AT54" i="18"/>
  <c r="BD18" i="18"/>
  <c r="BD36" i="18"/>
  <c r="BD70" i="18"/>
  <c r="Z52" i="18"/>
  <c r="P34" i="18"/>
  <c r="P16" i="18"/>
  <c r="BD34" i="18"/>
  <c r="AJ52" i="18"/>
  <c r="BD16" i="18"/>
  <c r="AJ88" i="18"/>
  <c r="Z34" i="18"/>
  <c r="P88" i="18"/>
  <c r="AJ16" i="18"/>
  <c r="Z88" i="18"/>
  <c r="AT88" i="18"/>
  <c r="BD88" i="18"/>
  <c r="AT70" i="18"/>
  <c r="BD52" i="18"/>
  <c r="AJ70" i="18"/>
  <c r="AT34" i="18"/>
  <c r="P52" i="18"/>
  <c r="P70" i="18"/>
  <c r="AT52" i="18"/>
  <c r="Z16" i="18"/>
  <c r="AT16" i="18"/>
  <c r="AJ34" i="18"/>
  <c r="AX12" i="18"/>
  <c r="AN48" i="18"/>
  <c r="AN66" i="18"/>
  <c r="AN12" i="18"/>
  <c r="T84" i="18"/>
  <c r="AN30" i="18"/>
  <c r="T66" i="18"/>
  <c r="J66" i="18"/>
  <c r="AD84" i="18"/>
  <c r="AX30" i="18"/>
  <c r="T48" i="18"/>
  <c r="AD48" i="18"/>
  <c r="T30" i="18"/>
  <c r="T12" i="18"/>
  <c r="AX84" i="18"/>
  <c r="AX66" i="18"/>
  <c r="J48" i="18"/>
  <c r="AD30" i="18"/>
  <c r="AX48" i="18"/>
  <c r="AD12" i="18"/>
  <c r="AN84" i="18"/>
  <c r="J84" i="18"/>
  <c r="J12" i="18"/>
  <c r="J30" i="18"/>
  <c r="AZ38" i="18"/>
  <c r="AP38" i="18"/>
  <c r="V20" i="18"/>
  <c r="AP92" i="18"/>
  <c r="AZ56" i="18"/>
  <c r="L74" i="18"/>
  <c r="AP56" i="18"/>
  <c r="AF20" i="18"/>
  <c r="L38" i="18"/>
  <c r="AP20" i="18"/>
  <c r="AP74" i="18"/>
  <c r="V56" i="18"/>
  <c r="AF74" i="18"/>
  <c r="AF56" i="18"/>
  <c r="V38" i="18"/>
  <c r="V92" i="18"/>
  <c r="AF92" i="18"/>
  <c r="L56" i="18"/>
  <c r="AZ74" i="18"/>
  <c r="AZ20" i="18"/>
  <c r="V74" i="18"/>
  <c r="L20" i="18"/>
  <c r="AZ92" i="18"/>
  <c r="L92" i="18"/>
  <c r="X78" i="18"/>
  <c r="AR60" i="18"/>
  <c r="BB78" i="18"/>
  <c r="AR6" i="18"/>
  <c r="N42" i="18"/>
  <c r="BB60" i="18"/>
  <c r="AH78" i="18"/>
  <c r="AR24" i="18"/>
  <c r="AH42" i="18"/>
  <c r="BB6" i="18"/>
  <c r="X42" i="18"/>
  <c r="AH6" i="18"/>
  <c r="BB24" i="18"/>
  <c r="N24" i="18"/>
  <c r="AR78" i="18"/>
  <c r="X24" i="18"/>
  <c r="X6" i="18"/>
  <c r="AR42" i="18"/>
  <c r="N78" i="18"/>
  <c r="N60" i="18"/>
  <c r="AH60" i="18"/>
  <c r="BB42" i="18"/>
  <c r="X60" i="18"/>
  <c r="AH24" i="18"/>
  <c r="N6" i="18"/>
  <c r="BF32" i="18"/>
  <c r="R32" i="18"/>
  <c r="AL14" i="18"/>
  <c r="R86" i="18"/>
  <c r="AB86" i="18"/>
  <c r="BF86" i="18"/>
  <c r="AB68" i="18"/>
  <c r="R14" i="18"/>
  <c r="AB14" i="18"/>
  <c r="BF50" i="18"/>
  <c r="AL32" i="18"/>
  <c r="AV14" i="18"/>
  <c r="BF14" i="18"/>
  <c r="BF68" i="18"/>
  <c r="AV86" i="18"/>
  <c r="AV32" i="18"/>
  <c r="AB32" i="18"/>
  <c r="R68" i="18"/>
  <c r="AL86" i="18"/>
  <c r="AV50" i="18"/>
  <c r="R50" i="18"/>
  <c r="AL68" i="18"/>
  <c r="AB50" i="18"/>
  <c r="AV68" i="18"/>
  <c r="AP14" i="18"/>
  <c r="L14" i="18"/>
  <c r="AP68" i="18"/>
  <c r="AF86" i="18"/>
  <c r="AF32" i="18"/>
  <c r="AZ86" i="18"/>
  <c r="AZ14" i="18"/>
  <c r="L32" i="18"/>
  <c r="V68" i="18"/>
  <c r="AF50" i="18"/>
  <c r="AP50" i="18"/>
  <c r="AF14" i="18"/>
  <c r="AZ50" i="18"/>
  <c r="AP32" i="18"/>
  <c r="V86" i="18"/>
  <c r="AP86" i="18"/>
  <c r="AZ68" i="18"/>
  <c r="V14" i="18"/>
  <c r="L50" i="18"/>
  <c r="AZ32" i="18"/>
  <c r="L68" i="18"/>
  <c r="L86" i="18"/>
  <c r="V32" i="18"/>
  <c r="AF68" i="18"/>
  <c r="AR46" i="18"/>
  <c r="AH10" i="18"/>
  <c r="BB10" i="18"/>
  <c r="AR10" i="18"/>
  <c r="X46" i="18"/>
  <c r="AH82" i="18"/>
  <c r="AH64" i="18"/>
  <c r="N28" i="18"/>
  <c r="N10" i="18"/>
  <c r="AH28" i="18"/>
  <c r="AR64" i="18"/>
  <c r="N46" i="18"/>
  <c r="X82" i="18"/>
  <c r="X10" i="18"/>
  <c r="N82" i="18"/>
  <c r="BB28" i="18"/>
  <c r="AH46" i="18"/>
  <c r="BB82" i="18"/>
  <c r="AR82" i="18"/>
  <c r="BB46" i="18"/>
  <c r="X64" i="18"/>
  <c r="BB64" i="18"/>
  <c r="AR28" i="18"/>
  <c r="N64" i="18"/>
  <c r="X28" i="18"/>
  <c r="AF58" i="18"/>
  <c r="V58" i="18"/>
  <c r="V22" i="18"/>
  <c r="AP94" i="18"/>
  <c r="AF22" i="18"/>
  <c r="AP58" i="18"/>
  <c r="L76" i="18"/>
  <c r="AP76" i="18"/>
  <c r="AZ94" i="18"/>
  <c r="V76" i="18"/>
  <c r="AF40" i="18"/>
  <c r="L40" i="18"/>
  <c r="L94" i="18"/>
  <c r="AZ58" i="18"/>
  <c r="AZ76" i="18"/>
  <c r="V40" i="18"/>
  <c r="AZ22" i="18"/>
  <c r="L22" i="18"/>
  <c r="AP40" i="18"/>
  <c r="AZ40" i="18"/>
  <c r="L58" i="18"/>
  <c r="AF94" i="18"/>
  <c r="V94" i="18"/>
  <c r="AP22" i="18"/>
  <c r="AH70" i="18"/>
  <c r="X52" i="18"/>
  <c r="X34" i="18"/>
  <c r="AH34" i="18"/>
  <c r="X16" i="18"/>
  <c r="AH16" i="18"/>
  <c r="X88" i="18"/>
  <c r="N52" i="18"/>
  <c r="BB70" i="18"/>
  <c r="AH88" i="18"/>
  <c r="N34" i="18"/>
  <c r="N16" i="18"/>
  <c r="BB34" i="18"/>
  <c r="BB16" i="18"/>
  <c r="AR70" i="18"/>
  <c r="AR52" i="18"/>
  <c r="AR34" i="18"/>
  <c r="BB88" i="18"/>
  <c r="AR16" i="18"/>
  <c r="BB52" i="18"/>
  <c r="N88" i="18"/>
  <c r="AR88" i="18"/>
  <c r="X70" i="18"/>
  <c r="AH52" i="18"/>
  <c r="AR20" i="18"/>
  <c r="BB56" i="18"/>
  <c r="AH74" i="18"/>
  <c r="X74" i="18"/>
  <c r="N92" i="18"/>
  <c r="AH38" i="18"/>
  <c r="X20" i="18"/>
  <c r="N56" i="18"/>
  <c r="X92" i="18"/>
  <c r="N74" i="18"/>
  <c r="N20" i="18"/>
  <c r="BB74" i="18"/>
  <c r="X56" i="18"/>
  <c r="N38" i="18"/>
  <c r="X38" i="18"/>
  <c r="AR92" i="18"/>
  <c r="AH92" i="18"/>
  <c r="AR38" i="18"/>
  <c r="BB20" i="18"/>
  <c r="BB38" i="18"/>
  <c r="AR56" i="18"/>
  <c r="AH20" i="18"/>
  <c r="AR74" i="18"/>
  <c r="BB92" i="18"/>
  <c r="AJ64" i="18"/>
  <c r="P64" i="18"/>
  <c r="AT28" i="18"/>
  <c r="AJ46" i="18"/>
  <c r="AJ82" i="18"/>
  <c r="BD82" i="18"/>
  <c r="P28" i="18"/>
  <c r="AJ10" i="18"/>
  <c r="P82" i="18"/>
  <c r="BD46" i="18"/>
  <c r="Z46" i="18"/>
  <c r="P10" i="18"/>
  <c r="Z10" i="18"/>
  <c r="AJ28" i="18"/>
  <c r="Z64" i="18"/>
  <c r="BD28" i="18"/>
  <c r="AT82" i="18"/>
  <c r="BD64" i="18"/>
  <c r="P46" i="18"/>
  <c r="AT10" i="18"/>
  <c r="BD10" i="18"/>
  <c r="AT64" i="18"/>
  <c r="Z28" i="18"/>
  <c r="Z82" i="18"/>
  <c r="AT46" i="18"/>
  <c r="AJ48" i="18"/>
  <c r="Z48" i="18"/>
  <c r="AT12" i="18"/>
  <c r="Z30" i="18"/>
  <c r="Z12" i="18"/>
  <c r="AJ66" i="18"/>
  <c r="P84" i="18"/>
  <c r="P66" i="18"/>
  <c r="AJ30" i="18"/>
  <c r="P48" i="18"/>
  <c r="P30" i="18"/>
  <c r="Z84" i="18"/>
  <c r="P12" i="18"/>
  <c r="AJ12" i="18"/>
  <c r="BD30" i="18"/>
  <c r="AT30" i="18"/>
  <c r="BD84" i="18"/>
  <c r="AT84" i="18"/>
  <c r="AT66" i="18"/>
  <c r="BD12" i="18"/>
  <c r="BD48" i="18"/>
  <c r="AJ84" i="18"/>
  <c r="Z66" i="18"/>
  <c r="BD66" i="18"/>
  <c r="AP88" i="18"/>
  <c r="AZ52" i="18"/>
  <c r="V52" i="18"/>
  <c r="AF52" i="18"/>
  <c r="AP52" i="18"/>
  <c r="AF16" i="18"/>
  <c r="V16" i="18"/>
  <c r="AP16" i="18"/>
  <c r="V34" i="18"/>
  <c r="L70" i="18"/>
  <c r="AF70" i="18"/>
  <c r="L88" i="18"/>
  <c r="L34" i="18"/>
  <c r="AF34" i="18"/>
  <c r="L52" i="18"/>
  <c r="AP70" i="18"/>
  <c r="AZ34" i="18"/>
  <c r="V88" i="18"/>
  <c r="L16" i="18"/>
  <c r="AZ16" i="18"/>
  <c r="AZ88" i="18"/>
  <c r="AZ70" i="18"/>
  <c r="V70" i="18"/>
  <c r="AF88" i="18"/>
  <c r="AN26" i="18"/>
  <c r="AD62" i="18"/>
  <c r="J44" i="18"/>
  <c r="AX80" i="18"/>
  <c r="J80" i="18"/>
  <c r="AD26" i="18"/>
  <c r="AN8" i="18"/>
  <c r="AX26" i="18"/>
  <c r="T44" i="18"/>
  <c r="T80" i="18"/>
  <c r="AX8" i="18"/>
  <c r="T8" i="18"/>
  <c r="AN62" i="18"/>
  <c r="T62" i="18"/>
  <c r="AX44" i="18"/>
  <c r="J8" i="18"/>
  <c r="J62" i="18"/>
  <c r="AX62" i="18"/>
  <c r="AN80" i="18"/>
  <c r="AD44" i="18"/>
  <c r="AD8" i="18"/>
  <c r="J26" i="18"/>
  <c r="AN44" i="18"/>
  <c r="T26" i="18"/>
  <c r="AD80" i="18"/>
  <c r="AX90" i="18"/>
  <c r="T72" i="18"/>
  <c r="AD72" i="18"/>
  <c r="AD36" i="18"/>
  <c r="AX54" i="18"/>
  <c r="AX36" i="18"/>
  <c r="T54" i="18"/>
  <c r="AX18" i="18"/>
  <c r="T90" i="18"/>
  <c r="AN72" i="18"/>
  <c r="AX72" i="18"/>
  <c r="AN18" i="18"/>
  <c r="AN36" i="18"/>
  <c r="AD54" i="18"/>
  <c r="J36" i="18"/>
  <c r="J54" i="18"/>
  <c r="J72" i="18"/>
  <c r="AN90" i="18"/>
  <c r="T36" i="18"/>
  <c r="J90" i="18"/>
  <c r="J18" i="18"/>
  <c r="AD90" i="18"/>
  <c r="AD18" i="18"/>
  <c r="T18" i="18"/>
  <c r="AF42" i="18"/>
  <c r="AP42" i="18"/>
  <c r="L60" i="18"/>
  <c r="AZ42" i="18"/>
  <c r="AF78" i="18"/>
  <c r="L24" i="18"/>
  <c r="AF60" i="18"/>
  <c r="V24" i="18"/>
  <c r="AP6" i="18"/>
  <c r="AZ78" i="18"/>
  <c r="L78" i="18"/>
  <c r="AP60" i="18"/>
  <c r="AF6" i="18"/>
  <c r="AF24" i="18"/>
  <c r="AZ24" i="18"/>
  <c r="AP24" i="18"/>
  <c r="V6" i="18"/>
  <c r="V60" i="18"/>
  <c r="AP78" i="18"/>
  <c r="AZ6" i="18"/>
  <c r="V42" i="18"/>
  <c r="AZ60" i="18"/>
  <c r="L42" i="18"/>
  <c r="V78" i="18"/>
  <c r="P34" i="1"/>
  <c r="AE34" i="1" s="1"/>
  <c r="AD34" i="1" s="1"/>
  <c r="T82" i="18"/>
  <c r="AD10" i="18"/>
  <c r="J28" i="18"/>
  <c r="AX46" i="18"/>
  <c r="AX64" i="18"/>
  <c r="AX10" i="18"/>
  <c r="T64" i="18"/>
  <c r="AD82" i="18"/>
  <c r="AN64" i="18"/>
  <c r="T28" i="18"/>
  <c r="AX28" i="18"/>
  <c r="AN28" i="18"/>
  <c r="AN82" i="18"/>
  <c r="AD46" i="18"/>
  <c r="AX82" i="18"/>
  <c r="AN10" i="18"/>
  <c r="J46" i="18"/>
  <c r="T46" i="18"/>
  <c r="J10" i="18"/>
  <c r="T10" i="18"/>
  <c r="AD28" i="18"/>
  <c r="J64" i="18"/>
  <c r="AD64" i="18"/>
  <c r="AN46" i="18"/>
  <c r="J82" i="18"/>
  <c r="N48" i="18"/>
  <c r="AR48" i="18"/>
  <c r="AR30" i="18"/>
  <c r="N30" i="18"/>
  <c r="AH84" i="18"/>
  <c r="BB48" i="18"/>
  <c r="AR84" i="18"/>
  <c r="BB30" i="18"/>
  <c r="X48" i="18"/>
  <c r="AH12" i="18"/>
  <c r="AH48" i="18"/>
  <c r="X30" i="18"/>
  <c r="BB66" i="18"/>
  <c r="BB84" i="18"/>
  <c r="N84" i="18"/>
  <c r="AH30" i="18"/>
  <c r="AR66" i="18"/>
  <c r="X84" i="18"/>
  <c r="N66" i="18"/>
  <c r="X66" i="18"/>
  <c r="BB12" i="18"/>
  <c r="X12" i="18"/>
  <c r="N12" i="18"/>
  <c r="AR12" i="18"/>
  <c r="AF48" i="18"/>
  <c r="AF12" i="18"/>
  <c r="L48" i="18"/>
  <c r="AF66" i="18"/>
  <c r="AZ84" i="18"/>
  <c r="V66" i="18"/>
  <c r="AZ48" i="18"/>
  <c r="AZ30" i="18"/>
  <c r="AP30" i="18"/>
  <c r="AF30" i="18"/>
  <c r="AP48" i="18"/>
  <c r="AP84" i="18"/>
  <c r="L84" i="18"/>
  <c r="V48" i="18"/>
  <c r="L12" i="18"/>
  <c r="L30" i="18"/>
  <c r="AP12" i="18"/>
  <c r="V12" i="18"/>
  <c r="V30" i="18"/>
  <c r="L66" i="18"/>
  <c r="AP66" i="18"/>
  <c r="AZ12" i="18"/>
  <c r="V84" i="18"/>
  <c r="AZ66" i="18"/>
  <c r="BF66" i="18"/>
  <c r="BF84" i="18"/>
  <c r="AL12" i="18"/>
  <c r="R84" i="18"/>
  <c r="BF30" i="18"/>
  <c r="BF12" i="18"/>
  <c r="AV30" i="18"/>
  <c r="AV84" i="18"/>
  <c r="AL84" i="18"/>
  <c r="AV66" i="18"/>
  <c r="BF48" i="18"/>
  <c r="AL48" i="18"/>
  <c r="AV12" i="18"/>
  <c r="AB48" i="18"/>
  <c r="R48" i="18"/>
  <c r="AL30" i="18"/>
  <c r="R66" i="18"/>
  <c r="R12" i="18"/>
  <c r="AB84" i="18"/>
  <c r="R30" i="18"/>
  <c r="AB66" i="18"/>
  <c r="AL66" i="18"/>
  <c r="AB12" i="18"/>
  <c r="AB30" i="18"/>
  <c r="AL10" i="18"/>
  <c r="BF64" i="18"/>
  <c r="AL64" i="18"/>
  <c r="BF82" i="18"/>
  <c r="AB64" i="18"/>
  <c r="AB28" i="18"/>
  <c r="AV82" i="18"/>
  <c r="BF46" i="18"/>
  <c r="BF28" i="18"/>
  <c r="R82" i="18"/>
  <c r="BF10" i="18"/>
  <c r="AV10" i="18"/>
  <c r="R46" i="18"/>
  <c r="AV64" i="18"/>
  <c r="AB46" i="18"/>
  <c r="R10" i="18"/>
  <c r="AL82" i="18"/>
  <c r="R64" i="18"/>
  <c r="AB82" i="18"/>
  <c r="AV28" i="18"/>
  <c r="AL46" i="18"/>
  <c r="AB10" i="18"/>
  <c r="R28" i="18"/>
  <c r="AV46" i="18"/>
  <c r="AL28" i="18"/>
  <c r="AX38" i="18"/>
  <c r="AN74" i="18"/>
  <c r="AX20" i="18"/>
  <c r="AN92" i="18"/>
  <c r="AD56" i="18"/>
  <c r="AD92" i="18"/>
  <c r="AN38" i="18"/>
  <c r="T38" i="18"/>
  <c r="T74" i="18"/>
  <c r="AD20" i="18"/>
  <c r="AN20" i="18"/>
  <c r="J92" i="18"/>
  <c r="T20" i="18"/>
  <c r="AD74" i="18"/>
  <c r="J56" i="18"/>
  <c r="J74" i="18"/>
  <c r="AX74" i="18"/>
  <c r="AD38" i="18"/>
  <c r="J20" i="18"/>
  <c r="J38" i="18"/>
  <c r="T92" i="18"/>
  <c r="AX92" i="18"/>
  <c r="T56" i="18"/>
  <c r="AX56" i="18"/>
  <c r="P67" i="1"/>
  <c r="AE67" i="1" s="1"/>
  <c r="AD67" i="1" s="1"/>
  <c r="J32" i="18"/>
  <c r="T32" i="18"/>
  <c r="J14" i="18"/>
  <c r="T86" i="18"/>
  <c r="AX14" i="18"/>
  <c r="J86" i="18"/>
  <c r="AX68" i="18"/>
  <c r="AX50" i="18"/>
  <c r="AD86" i="18"/>
  <c r="J50" i="18"/>
  <c r="AX32" i="18"/>
  <c r="AN68" i="18"/>
  <c r="T50" i="18"/>
  <c r="AD68" i="18"/>
  <c r="AN86" i="18"/>
  <c r="AD50" i="18"/>
  <c r="AD14" i="18"/>
  <c r="J68" i="18"/>
  <c r="AN50" i="18"/>
  <c r="AX86" i="18"/>
  <c r="AN32" i="18"/>
  <c r="AN14" i="18"/>
  <c r="T14" i="18"/>
  <c r="T68" i="18"/>
  <c r="AX78" i="18"/>
  <c r="T60" i="18"/>
  <c r="AN78" i="18"/>
  <c r="AX42" i="18"/>
  <c r="AX24" i="18"/>
  <c r="AD60" i="18"/>
  <c r="AX6" i="18"/>
  <c r="AN6" i="18"/>
  <c r="T78" i="18"/>
  <c r="AN60" i="18"/>
  <c r="AN42" i="18"/>
  <c r="AD24" i="18"/>
  <c r="T24" i="18"/>
  <c r="AD42" i="18"/>
  <c r="AD6" i="18"/>
  <c r="AN24" i="18"/>
  <c r="J24" i="18"/>
  <c r="T6" i="18"/>
  <c r="AX60" i="18"/>
  <c r="AD78" i="18"/>
  <c r="J78" i="18"/>
  <c r="T42" i="18"/>
  <c r="J42" i="18"/>
  <c r="J60" i="18"/>
  <c r="BF56" i="18"/>
  <c r="AL38" i="18"/>
  <c r="BF38" i="18"/>
  <c r="BF20" i="18"/>
  <c r="BF74" i="18"/>
  <c r="AV20" i="18"/>
  <c r="AV74" i="18"/>
  <c r="AB38" i="18"/>
  <c r="AV38" i="18"/>
  <c r="AB20" i="18"/>
  <c r="R92" i="18"/>
  <c r="AL92" i="18"/>
  <c r="R74" i="18"/>
  <c r="R56" i="18"/>
  <c r="AL20" i="18"/>
  <c r="AB56" i="18"/>
  <c r="AB92" i="18"/>
  <c r="BF92" i="18"/>
  <c r="AB74" i="18"/>
  <c r="AV92" i="18"/>
  <c r="AL74" i="18"/>
  <c r="R20" i="18"/>
  <c r="R38" i="18"/>
  <c r="AL56" i="18"/>
  <c r="AF90" i="18"/>
  <c r="V90" i="18"/>
  <c r="V18" i="18"/>
  <c r="AF54" i="18"/>
  <c r="L18" i="18"/>
  <c r="L72" i="18"/>
  <c r="AF18" i="18"/>
  <c r="AP54" i="18"/>
  <c r="AZ72" i="18"/>
  <c r="AZ90" i="18"/>
  <c r="V72" i="18"/>
  <c r="V36" i="18"/>
  <c r="AF36" i="18"/>
  <c r="AZ54" i="18"/>
  <c r="AP90" i="18"/>
  <c r="L90" i="18"/>
  <c r="AP72" i="18"/>
  <c r="AZ36" i="18"/>
  <c r="AP36" i="18"/>
  <c r="V54" i="18"/>
  <c r="L36" i="18"/>
  <c r="AZ18" i="18"/>
  <c r="AP18" i="18"/>
  <c r="L54" i="18"/>
  <c r="AX34" i="18"/>
  <c r="AD70" i="18"/>
  <c r="T70" i="18"/>
  <c r="AD88" i="18"/>
  <c r="T52" i="18"/>
  <c r="J70" i="18"/>
  <c r="AX88" i="18"/>
  <c r="AX70" i="18"/>
  <c r="AN34" i="18"/>
  <c r="AN16" i="18"/>
  <c r="AD34" i="18"/>
  <c r="AX52" i="18"/>
  <c r="AX16" i="18"/>
  <c r="AD16" i="18"/>
  <c r="T88" i="18"/>
  <c r="J16" i="18"/>
  <c r="J34" i="18"/>
  <c r="AN88" i="18"/>
  <c r="T34" i="18"/>
  <c r="J52" i="18"/>
  <c r="T16" i="18"/>
  <c r="AD52" i="18"/>
  <c r="AN52" i="18"/>
  <c r="AN70" i="18"/>
  <c r="AV88" i="18"/>
  <c r="AB52" i="18"/>
  <c r="BF16" i="18"/>
  <c r="AV34" i="18"/>
  <c r="R88" i="18"/>
  <c r="AV16" i="18"/>
  <c r="R52" i="18"/>
  <c r="AL88" i="18"/>
  <c r="AL34" i="18"/>
  <c r="AV70" i="18"/>
  <c r="AL16" i="18"/>
  <c r="R16" i="18"/>
  <c r="AL52" i="18"/>
  <c r="AB34" i="18"/>
  <c r="BF70" i="18"/>
  <c r="R70" i="18"/>
  <c r="AB88" i="18"/>
  <c r="AV52" i="18"/>
  <c r="BF52" i="18"/>
  <c r="R34" i="18"/>
  <c r="BF34" i="18"/>
  <c r="AB16" i="18"/>
  <c r="BF88" i="18"/>
  <c r="AB70" i="18"/>
  <c r="BB14" i="18"/>
  <c r="AH32" i="18"/>
  <c r="BB68" i="18"/>
  <c r="AR68" i="18"/>
  <c r="BB32" i="18"/>
  <c r="AR86" i="18"/>
  <c r="AR32" i="18"/>
  <c r="X86" i="18"/>
  <c r="AH68" i="18"/>
  <c r="AH86" i="18"/>
  <c r="X32" i="18"/>
  <c r="AH50" i="18"/>
  <c r="X14" i="18"/>
  <c r="N86" i="18"/>
  <c r="BB86" i="18"/>
  <c r="X68" i="18"/>
  <c r="N32" i="18"/>
  <c r="N14" i="18"/>
  <c r="BB50" i="18"/>
  <c r="AR14" i="18"/>
  <c r="AR50" i="18"/>
  <c r="N68" i="18"/>
  <c r="N50" i="18"/>
  <c r="AH14" i="18"/>
  <c r="Q103" i="1"/>
  <c r="AH18" i="18"/>
  <c r="X90" i="18"/>
  <c r="X18" i="18"/>
  <c r="BB18" i="18"/>
  <c r="BB36" i="18"/>
  <c r="AR72" i="18"/>
  <c r="BB72" i="18"/>
  <c r="AR36" i="18"/>
  <c r="AR90" i="18"/>
  <c r="AH36" i="18"/>
  <c r="AH90" i="18"/>
  <c r="N90" i="18"/>
  <c r="AH54" i="18"/>
  <c r="X54" i="18"/>
  <c r="BB90" i="18"/>
  <c r="X72" i="18"/>
  <c r="N18" i="18"/>
  <c r="N36" i="18"/>
  <c r="BB54" i="18"/>
  <c r="AR54" i="18"/>
  <c r="X36" i="18"/>
  <c r="AR18" i="18"/>
  <c r="N72" i="18"/>
  <c r="N54" i="18"/>
  <c r="AV72" i="18"/>
  <c r="AL18" i="18"/>
  <c r="R54" i="18"/>
  <c r="BF36" i="18"/>
  <c r="AL72" i="18"/>
  <c r="AB18" i="18"/>
  <c r="BF90" i="18"/>
  <c r="AV36" i="18"/>
  <c r="AB72" i="18"/>
  <c r="AV90" i="18"/>
  <c r="AL36" i="18"/>
  <c r="R72" i="18"/>
  <c r="BF72" i="18"/>
  <c r="AB54" i="18"/>
  <c r="BF54" i="18"/>
  <c r="AL90" i="18"/>
  <c r="AB36" i="18"/>
  <c r="R18" i="18"/>
  <c r="AV54" i="18"/>
  <c r="AB90" i="18"/>
  <c r="R36" i="18"/>
  <c r="BF18" i="18"/>
  <c r="R90" i="18"/>
  <c r="AV18" i="18"/>
  <c r="P103" i="1"/>
  <c r="AE103" i="1" s="1"/>
  <c r="AD103" i="1" s="1"/>
  <c r="Q67" i="1"/>
  <c r="Q34" i="1"/>
  <c r="P44" i="1"/>
  <c r="AE44" i="1" s="1"/>
  <c r="AD44" i="1" s="1"/>
  <c r="Q44" i="1"/>
  <c r="P22" i="1"/>
  <c r="AE22" i="1" s="1"/>
  <c r="AD22" i="1" s="1"/>
  <c r="Q22" i="1"/>
  <c r="P82" i="1"/>
  <c r="AE82" i="1" s="1"/>
  <c r="AD82" i="1" s="1"/>
  <c r="Q82" i="1"/>
  <c r="P106" i="1"/>
  <c r="AE106" i="1" s="1"/>
  <c r="AD106" i="1" s="1"/>
  <c r="Q106" i="1"/>
  <c r="J6" i="18"/>
  <c r="Q7" i="1"/>
  <c r="P7" i="1"/>
  <c r="P55" i="1"/>
  <c r="AE55" i="1" s="1"/>
  <c r="AD55" i="1" s="1"/>
  <c r="Q55" i="1"/>
  <c r="P100" i="1"/>
  <c r="AE100" i="1" s="1"/>
  <c r="AD100" i="1" s="1"/>
  <c r="Q100" i="1"/>
  <c r="P76" i="1"/>
  <c r="AE76" i="1" s="1"/>
  <c r="AD76" i="1" s="1"/>
  <c r="Q76" i="1"/>
  <c r="Q58" i="1"/>
  <c r="P58" i="1"/>
  <c r="AE58" i="1" s="1"/>
  <c r="AD58" i="1" s="1"/>
  <c r="Q136" i="1"/>
  <c r="P136" i="1"/>
  <c r="P79" i="1"/>
  <c r="AE79" i="1" s="1"/>
  <c r="AD79" i="1" s="1"/>
  <c r="Q79" i="1"/>
  <c r="Q13" i="1"/>
  <c r="P13" i="1"/>
  <c r="AE13" i="1" s="1"/>
  <c r="AD13" i="1" s="1"/>
  <c r="P130" i="1"/>
  <c r="AE130" i="1" s="1"/>
  <c r="AD130" i="1" s="1"/>
  <c r="Q130" i="1"/>
  <c r="P109" i="1"/>
  <c r="AE109" i="1" s="1"/>
  <c r="AD109" i="1" s="1"/>
  <c r="Q109" i="1"/>
  <c r="P25" i="1"/>
  <c r="AE25" i="1" s="1"/>
  <c r="AD25" i="1" s="1"/>
  <c r="Q25" i="1"/>
  <c r="Q37" i="1"/>
  <c r="AE37" i="1"/>
  <c r="AD37" i="1" s="1"/>
  <c r="P31" i="1"/>
  <c r="AE31" i="1" s="1"/>
  <c r="AD31" i="1" s="1"/>
  <c r="Q31" i="1"/>
  <c r="Q118" i="1"/>
  <c r="P118" i="1"/>
  <c r="AE118" i="1" s="1"/>
  <c r="AD118" i="1" s="1"/>
  <c r="Q61" i="1"/>
  <c r="P61" i="1"/>
  <c r="AE61" i="1" s="1"/>
  <c r="AD61" i="1" s="1"/>
  <c r="P52" i="1"/>
  <c r="AE52" i="1" s="1"/>
  <c r="AD52" i="1" s="1"/>
  <c r="Q52" i="1"/>
  <c r="P115" i="1"/>
  <c r="AE115" i="1" s="1"/>
  <c r="AD115" i="1" s="1"/>
  <c r="Q115" i="1"/>
  <c r="L6" i="18"/>
  <c r="Q10" i="1"/>
  <c r="P10" i="1"/>
  <c r="AE10" i="1" s="1"/>
  <c r="AD10" i="1" s="1"/>
  <c r="P91" i="1"/>
  <c r="Q91" i="1"/>
  <c r="P28" i="1"/>
  <c r="AE28" i="1" s="1"/>
  <c r="AD28" i="1" s="1"/>
  <c r="Q28" i="1"/>
  <c r="Q88" i="1"/>
  <c r="P88" i="1"/>
  <c r="P112" i="1"/>
  <c r="AE112" i="1" s="1"/>
  <c r="AD112" i="1" s="1"/>
  <c r="Q112" i="1"/>
  <c r="P124" i="1"/>
  <c r="AE124" i="1" s="1"/>
  <c r="AD124" i="1" s="1"/>
  <c r="Q124" i="1"/>
  <c r="P70" i="1"/>
  <c r="AE70" i="1" s="1"/>
  <c r="AD70" i="1" s="1"/>
  <c r="Q70" i="1"/>
  <c r="P97" i="1"/>
  <c r="AE97" i="1" s="1"/>
  <c r="AD97" i="1" s="1"/>
  <c r="Q97" i="1"/>
  <c r="P133" i="1"/>
  <c r="AE133" i="1" s="1"/>
  <c r="AD133" i="1" s="1"/>
  <c r="Q133" i="1"/>
  <c r="Q73" i="1"/>
  <c r="P73" i="1"/>
  <c r="AE73" i="1" s="1"/>
  <c r="AD73" i="1" s="1"/>
  <c r="P41" i="1"/>
  <c r="AE41" i="1" s="1"/>
  <c r="AD41" i="1" s="1"/>
  <c r="Q41" i="1"/>
  <c r="P19" i="1"/>
  <c r="AE19" i="1" s="1"/>
  <c r="AD19" i="1" s="1"/>
  <c r="Q19" i="1"/>
  <c r="P49" i="1"/>
  <c r="AE49" i="1" s="1"/>
  <c r="AD49" i="1" s="1"/>
  <c r="Q49" i="1"/>
  <c r="Q121" i="1"/>
  <c r="P121" i="1"/>
  <c r="AE121" i="1" s="1"/>
  <c r="AD121" i="1" s="1"/>
  <c r="P85" i="1"/>
  <c r="AE85" i="1" s="1"/>
  <c r="AD85" i="1" s="1"/>
  <c r="Q85" i="1"/>
  <c r="P64" i="1"/>
  <c r="AE64" i="1" s="1"/>
  <c r="AD64" i="1" s="1"/>
  <c r="Q64" i="1"/>
  <c r="P94" i="1"/>
  <c r="Q94" i="1"/>
  <c r="P16" i="1"/>
  <c r="AE16" i="1" s="1"/>
  <c r="AD16" i="1" s="1"/>
  <c r="Q16" i="1"/>
  <c r="V183" i="19" l="1"/>
  <c r="V51" i="19"/>
  <c r="J183" i="19"/>
  <c r="P7" i="19"/>
  <c r="P139" i="19"/>
  <c r="V7" i="19"/>
  <c r="M183" i="19"/>
  <c r="S7" i="19"/>
  <c r="V95" i="19"/>
  <c r="P183" i="19"/>
  <c r="S95" i="19"/>
  <c r="M139" i="19"/>
  <c r="V139" i="19"/>
  <c r="J51" i="19"/>
  <c r="P95" i="19"/>
  <c r="J95" i="19"/>
  <c r="M7" i="19"/>
  <c r="S183" i="19"/>
  <c r="S139" i="19"/>
  <c r="S51" i="19"/>
  <c r="P51" i="19"/>
  <c r="M95" i="19"/>
  <c r="J139" i="19"/>
  <c r="M51" i="19"/>
  <c r="V57" i="19"/>
  <c r="S13" i="19"/>
  <c r="M145" i="19"/>
  <c r="M13" i="19"/>
  <c r="V145" i="19"/>
  <c r="V189" i="19"/>
  <c r="P101" i="19"/>
  <c r="S145" i="19"/>
  <c r="S101" i="19"/>
  <c r="J145" i="19"/>
  <c r="V13" i="19"/>
  <c r="P13" i="19"/>
  <c r="M101" i="19"/>
  <c r="V101" i="19"/>
  <c r="M57" i="19"/>
  <c r="J13" i="19"/>
  <c r="P145" i="19"/>
  <c r="S189" i="19"/>
  <c r="J57" i="19"/>
  <c r="P189" i="19"/>
  <c r="J189" i="19"/>
  <c r="S57" i="19"/>
  <c r="P57" i="19"/>
  <c r="J101" i="19"/>
  <c r="M189" i="19"/>
  <c r="S119" i="19"/>
  <c r="P119" i="19"/>
  <c r="J163" i="19"/>
  <c r="V207" i="19"/>
  <c r="J119" i="19"/>
  <c r="M31" i="19"/>
  <c r="V163" i="19"/>
  <c r="M163" i="19"/>
  <c r="J31" i="19"/>
  <c r="P163" i="19"/>
  <c r="S207" i="19"/>
  <c r="S163" i="19"/>
  <c r="M119" i="19"/>
  <c r="J75" i="19"/>
  <c r="S31" i="19"/>
  <c r="V31" i="19"/>
  <c r="S75" i="19"/>
  <c r="M75" i="19"/>
  <c r="V119" i="19"/>
  <c r="P207" i="19"/>
  <c r="J207" i="19"/>
  <c r="V75" i="19"/>
  <c r="M207" i="19"/>
  <c r="P75" i="19"/>
  <c r="P31" i="19"/>
  <c r="S38" i="19"/>
  <c r="P214" i="19"/>
  <c r="J82" i="19"/>
  <c r="J214" i="19"/>
  <c r="V126" i="19"/>
  <c r="V82" i="19"/>
  <c r="M82" i="19"/>
  <c r="M170" i="19"/>
  <c r="J170" i="19"/>
  <c r="V170" i="19"/>
  <c r="S170" i="19"/>
  <c r="M38" i="19"/>
  <c r="S214" i="19"/>
  <c r="P126" i="19"/>
  <c r="P170" i="19"/>
  <c r="V214" i="19"/>
  <c r="P38" i="19"/>
  <c r="J126" i="19"/>
  <c r="V38" i="19"/>
  <c r="P82" i="19"/>
  <c r="M214" i="19"/>
  <c r="S82" i="19"/>
  <c r="M126" i="19"/>
  <c r="J38" i="19"/>
  <c r="S126" i="19"/>
  <c r="V157" i="19"/>
  <c r="P113" i="19"/>
  <c r="M69" i="19"/>
  <c r="J69" i="19"/>
  <c r="S25" i="19"/>
  <c r="S201" i="19"/>
  <c r="V25" i="19"/>
  <c r="P157" i="19"/>
  <c r="V69" i="19"/>
  <c r="P201" i="19"/>
  <c r="M25" i="19"/>
  <c r="P69" i="19"/>
  <c r="S69" i="19"/>
  <c r="S157" i="19"/>
  <c r="J157" i="19"/>
  <c r="J25" i="19"/>
  <c r="S113" i="19"/>
  <c r="M157" i="19"/>
  <c r="M201" i="19"/>
  <c r="V113" i="19"/>
  <c r="J201" i="19"/>
  <c r="J113" i="19"/>
  <c r="V201" i="19"/>
  <c r="M113" i="19"/>
  <c r="P25" i="19"/>
  <c r="S197" i="19"/>
  <c r="V21" i="19"/>
  <c r="M197" i="19"/>
  <c r="V197" i="19"/>
  <c r="V109" i="19"/>
  <c r="P21" i="19"/>
  <c r="J197" i="19"/>
  <c r="P109" i="19"/>
  <c r="S153" i="19"/>
  <c r="M65" i="19"/>
  <c r="J153" i="19"/>
  <c r="J21" i="19"/>
  <c r="S65" i="19"/>
  <c r="P65" i="19"/>
  <c r="J65" i="19"/>
  <c r="V153" i="19"/>
  <c r="P153" i="19"/>
  <c r="M153" i="19"/>
  <c r="M21" i="19"/>
  <c r="S21" i="19"/>
  <c r="S109" i="19"/>
  <c r="V65" i="19"/>
  <c r="P197" i="19"/>
  <c r="M109" i="19"/>
  <c r="J109" i="19"/>
  <c r="S180" i="19"/>
  <c r="S48" i="19"/>
  <c r="J48" i="19"/>
  <c r="V136" i="19"/>
  <c r="M92" i="19"/>
  <c r="M180" i="19"/>
  <c r="V180" i="19"/>
  <c r="P224" i="19"/>
  <c r="P180" i="19"/>
  <c r="J224" i="19"/>
  <c r="S136" i="19"/>
  <c r="P136" i="19"/>
  <c r="M48" i="19"/>
  <c r="J136" i="19"/>
  <c r="V92" i="19"/>
  <c r="S92" i="19"/>
  <c r="P48" i="19"/>
  <c r="S224" i="19"/>
  <c r="M224" i="19"/>
  <c r="V48" i="19"/>
  <c r="M136" i="19"/>
  <c r="J180" i="19"/>
  <c r="V224" i="19"/>
  <c r="P92" i="19"/>
  <c r="J92" i="19"/>
  <c r="V130" i="19"/>
  <c r="P218" i="19"/>
  <c r="M174" i="19"/>
  <c r="V174" i="19"/>
  <c r="V218" i="19"/>
  <c r="M130" i="19"/>
  <c r="S218" i="19"/>
  <c r="P130" i="19"/>
  <c r="P174" i="19"/>
  <c r="S174" i="19"/>
  <c r="P42" i="19"/>
  <c r="J218" i="19"/>
  <c r="S42" i="19"/>
  <c r="M86" i="19"/>
  <c r="J174" i="19"/>
  <c r="V42" i="19"/>
  <c r="M42" i="19"/>
  <c r="J86" i="19"/>
  <c r="S130" i="19"/>
  <c r="J130" i="19"/>
  <c r="S86" i="19"/>
  <c r="P86" i="19"/>
  <c r="J42" i="19"/>
  <c r="V86" i="19"/>
  <c r="M218" i="19"/>
  <c r="V132" i="19"/>
  <c r="S88" i="19"/>
  <c r="M176" i="19"/>
  <c r="S176" i="19"/>
  <c r="P44" i="19"/>
  <c r="S132" i="19"/>
  <c r="M220" i="19"/>
  <c r="J132" i="19"/>
  <c r="V44" i="19"/>
  <c r="M44" i="19"/>
  <c r="J44" i="19"/>
  <c r="P132" i="19"/>
  <c r="V176" i="19"/>
  <c r="M88" i="19"/>
  <c r="M132" i="19"/>
  <c r="J176" i="19"/>
  <c r="P176" i="19"/>
  <c r="S44" i="19"/>
  <c r="P88" i="19"/>
  <c r="V88" i="19"/>
  <c r="V220" i="19"/>
  <c r="S220" i="19"/>
  <c r="J220" i="19"/>
  <c r="J88" i="19"/>
  <c r="P220" i="19"/>
  <c r="V76" i="19"/>
  <c r="P208" i="19"/>
  <c r="M32" i="19"/>
  <c r="J164" i="19"/>
  <c r="V120" i="19"/>
  <c r="S120" i="19"/>
  <c r="M208" i="19"/>
  <c r="V164" i="19"/>
  <c r="S32" i="19"/>
  <c r="M164" i="19"/>
  <c r="S208" i="19"/>
  <c r="P164" i="19"/>
  <c r="J76" i="19"/>
  <c r="S164" i="19"/>
  <c r="P120" i="19"/>
  <c r="M120" i="19"/>
  <c r="V208" i="19"/>
  <c r="P32" i="19"/>
  <c r="J120" i="19"/>
  <c r="P76" i="19"/>
  <c r="V32" i="19"/>
  <c r="M76" i="19"/>
  <c r="J32" i="19"/>
  <c r="S76" i="19"/>
  <c r="J208" i="19"/>
  <c r="AF103" i="1"/>
  <c r="V215" i="19"/>
  <c r="P171" i="19"/>
  <c r="P39" i="19"/>
  <c r="M127" i="19"/>
  <c r="V39" i="19"/>
  <c r="P215" i="19"/>
  <c r="M171" i="19"/>
  <c r="V171" i="19"/>
  <c r="V83" i="19"/>
  <c r="P83" i="19"/>
  <c r="V127" i="19"/>
  <c r="S39" i="19"/>
  <c r="M83" i="19"/>
  <c r="S127" i="19"/>
  <c r="P127" i="19"/>
  <c r="J127" i="19"/>
  <c r="S83" i="19"/>
  <c r="S215" i="19"/>
  <c r="M215" i="19"/>
  <c r="J83" i="19"/>
  <c r="J215" i="19"/>
  <c r="S171" i="19"/>
  <c r="M39" i="19"/>
  <c r="J39" i="19"/>
  <c r="J171" i="19"/>
  <c r="V199" i="19"/>
  <c r="S199" i="19"/>
  <c r="M67" i="19"/>
  <c r="J111" i="19"/>
  <c r="S67" i="19"/>
  <c r="V23" i="19"/>
  <c r="P111" i="19"/>
  <c r="P23" i="19"/>
  <c r="V111" i="19"/>
  <c r="V155" i="19"/>
  <c r="M111" i="19"/>
  <c r="S111" i="19"/>
  <c r="S23" i="19"/>
  <c r="J155" i="19"/>
  <c r="P155" i="19"/>
  <c r="M23" i="19"/>
  <c r="J67" i="19"/>
  <c r="S155" i="19"/>
  <c r="P199" i="19"/>
  <c r="M155" i="19"/>
  <c r="P67" i="19"/>
  <c r="V67" i="19"/>
  <c r="M199" i="19"/>
  <c r="J23" i="19"/>
  <c r="J199" i="19"/>
  <c r="AF34" i="1"/>
  <c r="P192" i="19"/>
  <c r="P60" i="19"/>
  <c r="J104" i="19"/>
  <c r="V16" i="19"/>
  <c r="M192" i="19"/>
  <c r="M104" i="19"/>
  <c r="V104" i="19"/>
  <c r="S104" i="19"/>
  <c r="P148" i="19"/>
  <c r="J16" i="19"/>
  <c r="V148" i="19"/>
  <c r="S60" i="19"/>
  <c r="M16" i="19"/>
  <c r="S192" i="19"/>
  <c r="S16" i="19"/>
  <c r="J192" i="19"/>
  <c r="S148" i="19"/>
  <c r="P16" i="19"/>
  <c r="M148" i="19"/>
  <c r="V60" i="19"/>
  <c r="P104" i="19"/>
  <c r="J148" i="19"/>
  <c r="V192" i="19"/>
  <c r="M60" i="19"/>
  <c r="J60" i="19"/>
  <c r="AF64" i="1"/>
  <c r="V158" i="19"/>
  <c r="P114" i="19"/>
  <c r="P70" i="19"/>
  <c r="P158" i="19"/>
  <c r="M158" i="19"/>
  <c r="J114" i="19"/>
  <c r="M70" i="19"/>
  <c r="V202" i="19"/>
  <c r="V26" i="19"/>
  <c r="M114" i="19"/>
  <c r="J70" i="19"/>
  <c r="P202" i="19"/>
  <c r="V70" i="19"/>
  <c r="V114" i="19"/>
  <c r="M202" i="19"/>
  <c r="J202" i="19"/>
  <c r="J158" i="19"/>
  <c r="S114" i="19"/>
  <c r="M26" i="19"/>
  <c r="J26" i="19"/>
  <c r="S26" i="19"/>
  <c r="S202" i="19"/>
  <c r="P26" i="19"/>
  <c r="S70" i="19"/>
  <c r="S158" i="19"/>
  <c r="V169" i="19"/>
  <c r="P213" i="19"/>
  <c r="P125" i="19"/>
  <c r="S213" i="19"/>
  <c r="S125" i="19"/>
  <c r="J125" i="19"/>
  <c r="V125" i="19"/>
  <c r="S37" i="19"/>
  <c r="J213" i="19"/>
  <c r="J169" i="19"/>
  <c r="S81" i="19"/>
  <c r="J37" i="19"/>
  <c r="V37" i="19"/>
  <c r="P37" i="19"/>
  <c r="P81" i="19"/>
  <c r="P169" i="19"/>
  <c r="M169" i="19"/>
  <c r="S169" i="19"/>
  <c r="M81" i="19"/>
  <c r="M37" i="19"/>
  <c r="V81" i="19"/>
  <c r="M125" i="19"/>
  <c r="V213" i="19"/>
  <c r="M213" i="19"/>
  <c r="J81" i="19"/>
  <c r="V68" i="19"/>
  <c r="S68" i="19"/>
  <c r="M112" i="19"/>
  <c r="J156" i="19"/>
  <c r="P156" i="19"/>
  <c r="S112" i="19"/>
  <c r="V112" i="19"/>
  <c r="P200" i="19"/>
  <c r="P68" i="19"/>
  <c r="V156" i="19"/>
  <c r="S24" i="19"/>
  <c r="P112" i="19"/>
  <c r="J200" i="19"/>
  <c r="S200" i="19"/>
  <c r="V24" i="19"/>
  <c r="P24" i="19"/>
  <c r="M24" i="19"/>
  <c r="M156" i="19"/>
  <c r="S156" i="19"/>
  <c r="M68" i="19"/>
  <c r="J68" i="19"/>
  <c r="J24" i="19"/>
  <c r="V200" i="19"/>
  <c r="M200" i="19"/>
  <c r="J112" i="19"/>
  <c r="AF22" i="1"/>
  <c r="V144" i="19"/>
  <c r="P144" i="19"/>
  <c r="M188" i="19"/>
  <c r="J100" i="19"/>
  <c r="M12" i="19"/>
  <c r="V12" i="19"/>
  <c r="P56" i="19"/>
  <c r="M56" i="19"/>
  <c r="V188" i="19"/>
  <c r="S12" i="19"/>
  <c r="P12" i="19"/>
  <c r="S100" i="19"/>
  <c r="J188" i="19"/>
  <c r="J144" i="19"/>
  <c r="S188" i="19"/>
  <c r="V56" i="19"/>
  <c r="P100" i="19"/>
  <c r="M100" i="19"/>
  <c r="M144" i="19"/>
  <c r="V100" i="19"/>
  <c r="S56" i="19"/>
  <c r="J56" i="19"/>
  <c r="S144" i="19"/>
  <c r="P188" i="19"/>
  <c r="J12" i="19"/>
  <c r="AF67" i="1"/>
  <c r="V115" i="19"/>
  <c r="S71" i="19"/>
  <c r="P27" i="19"/>
  <c r="J203" i="19"/>
  <c r="J27" i="19"/>
  <c r="P115" i="19"/>
  <c r="V203" i="19"/>
  <c r="S159" i="19"/>
  <c r="M27" i="19"/>
  <c r="V27" i="19"/>
  <c r="S115" i="19"/>
  <c r="M203" i="19"/>
  <c r="P159" i="19"/>
  <c r="S203" i="19"/>
  <c r="P71" i="19"/>
  <c r="M159" i="19"/>
  <c r="S27" i="19"/>
  <c r="M71" i="19"/>
  <c r="V159" i="19"/>
  <c r="M115" i="19"/>
  <c r="J71" i="19"/>
  <c r="P203" i="19"/>
  <c r="V71" i="19"/>
  <c r="J159" i="19"/>
  <c r="J115" i="19"/>
  <c r="S143" i="19"/>
  <c r="M55" i="19"/>
  <c r="J99" i="19"/>
  <c r="S11" i="19"/>
  <c r="P143" i="19"/>
  <c r="M143" i="19"/>
  <c r="V99" i="19"/>
  <c r="V143" i="19"/>
  <c r="P11" i="19"/>
  <c r="J11" i="19"/>
  <c r="M99" i="19"/>
  <c r="V187" i="19"/>
  <c r="S99" i="19"/>
  <c r="S55" i="19"/>
  <c r="V55" i="19"/>
  <c r="V11" i="19"/>
  <c r="P55" i="19"/>
  <c r="M11" i="19"/>
  <c r="P187" i="19"/>
  <c r="J187" i="19"/>
  <c r="J55" i="19"/>
  <c r="P99" i="19"/>
  <c r="S187" i="19"/>
  <c r="J143" i="19"/>
  <c r="M187" i="19"/>
  <c r="S87" i="19"/>
  <c r="S175" i="19"/>
  <c r="J175" i="19"/>
  <c r="V43" i="19"/>
  <c r="M175" i="19"/>
  <c r="J43" i="19"/>
  <c r="S131" i="19"/>
  <c r="J219" i="19"/>
  <c r="J87" i="19"/>
  <c r="V131" i="19"/>
  <c r="P87" i="19"/>
  <c r="J131" i="19"/>
  <c r="P175" i="19"/>
  <c r="V219" i="19"/>
  <c r="M131" i="19"/>
  <c r="P219" i="19"/>
  <c r="V175" i="19"/>
  <c r="S43" i="19"/>
  <c r="P43" i="19"/>
  <c r="M219" i="19"/>
  <c r="S219" i="19"/>
  <c r="P131" i="19"/>
  <c r="M87" i="19"/>
  <c r="V87" i="19"/>
  <c r="M43" i="19"/>
  <c r="V103" i="19"/>
  <c r="S59" i="19"/>
  <c r="M103" i="19"/>
  <c r="V147" i="19"/>
  <c r="P103" i="19"/>
  <c r="P15" i="19"/>
  <c r="S191" i="19"/>
  <c r="M191" i="19"/>
  <c r="J147" i="19"/>
  <c r="S103" i="19"/>
  <c r="M15" i="19"/>
  <c r="J15" i="19"/>
  <c r="V59" i="19"/>
  <c r="M59" i="19"/>
  <c r="J59" i="19"/>
  <c r="S147" i="19"/>
  <c r="S15" i="19"/>
  <c r="J103" i="19"/>
  <c r="V15" i="19"/>
  <c r="M147" i="19"/>
  <c r="V191" i="19"/>
  <c r="P147" i="19"/>
  <c r="P59" i="19"/>
  <c r="J191" i="19"/>
  <c r="P191" i="19"/>
  <c r="V91" i="19"/>
  <c r="S47" i="19"/>
  <c r="P91" i="19"/>
  <c r="J47" i="19"/>
  <c r="P179" i="19"/>
  <c r="M135" i="19"/>
  <c r="V223" i="19"/>
  <c r="V47" i="19"/>
  <c r="M91" i="19"/>
  <c r="V179" i="19"/>
  <c r="M223" i="19"/>
  <c r="P135" i="19"/>
  <c r="J223" i="19"/>
  <c r="J91" i="19"/>
  <c r="S223" i="19"/>
  <c r="S135" i="19"/>
  <c r="J179" i="19"/>
  <c r="M179" i="19"/>
  <c r="V135" i="19"/>
  <c r="P223" i="19"/>
  <c r="P47" i="19"/>
  <c r="M47" i="19"/>
  <c r="J135" i="19"/>
  <c r="S179" i="19"/>
  <c r="S91" i="19"/>
  <c r="V52" i="19"/>
  <c r="M184" i="19"/>
  <c r="P96" i="19"/>
  <c r="S96" i="19"/>
  <c r="M140" i="19"/>
  <c r="S140" i="19"/>
  <c r="J52" i="19"/>
  <c r="V184" i="19"/>
  <c r="M52" i="19"/>
  <c r="J184" i="19"/>
  <c r="P52" i="19"/>
  <c r="V96" i="19"/>
  <c r="J140" i="19"/>
  <c r="V140" i="19"/>
  <c r="S8" i="19"/>
  <c r="S52" i="19"/>
  <c r="P140" i="19"/>
  <c r="M96" i="19"/>
  <c r="J96" i="19"/>
  <c r="P184" i="19"/>
  <c r="J8" i="19"/>
  <c r="V8" i="19"/>
  <c r="P8" i="19"/>
  <c r="S184" i="19"/>
  <c r="M8" i="19"/>
  <c r="S186" i="19"/>
  <c r="P10" i="19"/>
  <c r="J54" i="19"/>
  <c r="S54" i="19"/>
  <c r="M142" i="19"/>
  <c r="J98" i="19"/>
  <c r="P142" i="19"/>
  <c r="M98" i="19"/>
  <c r="V142" i="19"/>
  <c r="V186" i="19"/>
  <c r="P186" i="19"/>
  <c r="V10" i="19"/>
  <c r="P54" i="19"/>
  <c r="V54" i="19"/>
  <c r="P98" i="19"/>
  <c r="J186" i="19"/>
  <c r="M10" i="19"/>
  <c r="V98" i="19"/>
  <c r="S10" i="19"/>
  <c r="J142" i="19"/>
  <c r="M54" i="19"/>
  <c r="S98" i="19"/>
  <c r="M186" i="19"/>
  <c r="J10" i="19"/>
  <c r="S142" i="19"/>
  <c r="S90" i="19"/>
  <c r="P90" i="19"/>
  <c r="M222" i="19"/>
  <c r="S134" i="19"/>
  <c r="P222" i="19"/>
  <c r="M46" i="19"/>
  <c r="S178" i="19"/>
  <c r="S222" i="19"/>
  <c r="M178" i="19"/>
  <c r="J134" i="19"/>
  <c r="J46" i="19"/>
  <c r="M90" i="19"/>
  <c r="J222" i="19"/>
  <c r="P178" i="19"/>
  <c r="V178" i="19"/>
  <c r="V134" i="19"/>
  <c r="M134" i="19"/>
  <c r="J90" i="19"/>
  <c r="V222" i="19"/>
  <c r="P134" i="19"/>
  <c r="P46" i="19"/>
  <c r="V90" i="19"/>
  <c r="V46" i="19"/>
  <c r="S46" i="19"/>
  <c r="J178" i="19"/>
  <c r="S121" i="19"/>
  <c r="P77" i="19"/>
  <c r="J77" i="19"/>
  <c r="V33" i="19"/>
  <c r="S77" i="19"/>
  <c r="J209" i="19"/>
  <c r="M77" i="19"/>
  <c r="S165" i="19"/>
  <c r="M209" i="19"/>
  <c r="J165" i="19"/>
  <c r="P165" i="19"/>
  <c r="V165" i="19"/>
  <c r="S33" i="19"/>
  <c r="P33" i="19"/>
  <c r="J33" i="19"/>
  <c r="S209" i="19"/>
  <c r="V121" i="19"/>
  <c r="M33" i="19"/>
  <c r="V77" i="19"/>
  <c r="P121" i="19"/>
  <c r="M121" i="19"/>
  <c r="V209" i="19"/>
  <c r="P209" i="19"/>
  <c r="J121" i="19"/>
  <c r="M165" i="19"/>
  <c r="W18" i="19"/>
  <c r="Q18" i="19"/>
  <c r="K150" i="19"/>
  <c r="W106" i="19"/>
  <c r="N62" i="19"/>
  <c r="K62" i="19"/>
  <c r="T106" i="19"/>
  <c r="T62" i="19"/>
  <c r="K106" i="19"/>
  <c r="Q150" i="19"/>
  <c r="N194" i="19"/>
  <c r="Q62" i="19"/>
  <c r="W62" i="19"/>
  <c r="Q194" i="19"/>
  <c r="N150" i="19"/>
  <c r="N106" i="19"/>
  <c r="W150" i="19"/>
  <c r="W194" i="19"/>
  <c r="N18" i="19"/>
  <c r="Q106" i="19"/>
  <c r="T194" i="19"/>
  <c r="T18" i="19"/>
  <c r="K18" i="19"/>
  <c r="T150" i="19"/>
  <c r="K194" i="19"/>
  <c r="S116" i="19"/>
  <c r="M116" i="19"/>
  <c r="J116" i="19"/>
  <c r="P204" i="19"/>
  <c r="S72" i="19"/>
  <c r="S28" i="19"/>
  <c r="J72" i="19"/>
  <c r="V160" i="19"/>
  <c r="S160" i="19"/>
  <c r="M72" i="19"/>
  <c r="J28" i="19"/>
  <c r="S204" i="19"/>
  <c r="M204" i="19"/>
  <c r="V204" i="19"/>
  <c r="P160" i="19"/>
  <c r="M28" i="19"/>
  <c r="V28" i="19"/>
  <c r="P72" i="19"/>
  <c r="J160" i="19"/>
  <c r="V72" i="19"/>
  <c r="M160" i="19"/>
  <c r="P116" i="19"/>
  <c r="V116" i="19"/>
  <c r="J204" i="19"/>
  <c r="P28" i="19"/>
  <c r="S102" i="19"/>
  <c r="S146" i="19"/>
  <c r="J58" i="19"/>
  <c r="V102" i="19"/>
  <c r="S14" i="19"/>
  <c r="P146" i="19"/>
  <c r="J14" i="19"/>
  <c r="V146" i="19"/>
  <c r="P102" i="19"/>
  <c r="J190" i="19"/>
  <c r="S190" i="19"/>
  <c r="P14" i="19"/>
  <c r="M190" i="19"/>
  <c r="V190" i="19"/>
  <c r="P58" i="19"/>
  <c r="M146" i="19"/>
  <c r="P190" i="19"/>
  <c r="V14" i="19"/>
  <c r="M102" i="19"/>
  <c r="M14" i="19"/>
  <c r="V58" i="19"/>
  <c r="J102" i="19"/>
  <c r="S58" i="19"/>
  <c r="J146" i="19"/>
  <c r="M58" i="19"/>
  <c r="S105" i="19"/>
  <c r="M149" i="19"/>
  <c r="J105" i="19"/>
  <c r="P17" i="19"/>
  <c r="V17" i="19"/>
  <c r="J193" i="19"/>
  <c r="M193" i="19"/>
  <c r="S149" i="19"/>
  <c r="S61" i="19"/>
  <c r="S17" i="19"/>
  <c r="P61" i="19"/>
  <c r="M105" i="19"/>
  <c r="J17" i="19"/>
  <c r="M17" i="19"/>
  <c r="V149" i="19"/>
  <c r="V105" i="19"/>
  <c r="P193" i="19"/>
  <c r="J61" i="19"/>
  <c r="V61" i="19"/>
  <c r="P105" i="19"/>
  <c r="M61" i="19"/>
  <c r="P149" i="19"/>
  <c r="V193" i="19"/>
  <c r="S193" i="19"/>
  <c r="J149" i="19"/>
  <c r="V141" i="19"/>
  <c r="S141" i="19"/>
  <c r="M185" i="19"/>
  <c r="J53" i="19"/>
  <c r="S185" i="19"/>
  <c r="P9" i="19"/>
  <c r="V97" i="19"/>
  <c r="P185" i="19"/>
  <c r="V9" i="19"/>
  <c r="M9" i="19"/>
  <c r="M141" i="19"/>
  <c r="J185" i="19"/>
  <c r="P141" i="19"/>
  <c r="J9" i="19"/>
  <c r="M53" i="19"/>
  <c r="V53" i="19"/>
  <c r="M97" i="19"/>
  <c r="P97" i="19"/>
  <c r="J97" i="19"/>
  <c r="S53" i="19"/>
  <c r="J141" i="19"/>
  <c r="P53" i="19"/>
  <c r="V185" i="19"/>
  <c r="S9" i="19"/>
  <c r="S97" i="19"/>
  <c r="V177" i="19"/>
  <c r="M133" i="19"/>
  <c r="J45" i="19"/>
  <c r="S89" i="19"/>
  <c r="J177" i="19"/>
  <c r="M89" i="19"/>
  <c r="P177" i="19"/>
  <c r="S221" i="19"/>
  <c r="M45" i="19"/>
  <c r="P45" i="19"/>
  <c r="V133" i="19"/>
  <c r="P221" i="19"/>
  <c r="M177" i="19"/>
  <c r="V221" i="19"/>
  <c r="S133" i="19"/>
  <c r="M221" i="19"/>
  <c r="S45" i="19"/>
  <c r="J89" i="19"/>
  <c r="V45" i="19"/>
  <c r="S177" i="19"/>
  <c r="J221" i="19"/>
  <c r="P89" i="19"/>
  <c r="V89" i="19"/>
  <c r="P133" i="19"/>
  <c r="J133" i="19"/>
  <c r="S161" i="19"/>
  <c r="P29" i="19"/>
  <c r="J73" i="19"/>
  <c r="V205" i="19"/>
  <c r="V117" i="19"/>
  <c r="M73" i="19"/>
  <c r="J205" i="19"/>
  <c r="S73" i="19"/>
  <c r="P73" i="19"/>
  <c r="J117" i="19"/>
  <c r="J29" i="19"/>
  <c r="M205" i="19"/>
  <c r="V73" i="19"/>
  <c r="P161" i="19"/>
  <c r="M29" i="19"/>
  <c r="J161" i="19"/>
  <c r="S29" i="19"/>
  <c r="V29" i="19"/>
  <c r="V161" i="19"/>
  <c r="S117" i="19"/>
  <c r="M161" i="19"/>
  <c r="S205" i="19"/>
  <c r="P205" i="19"/>
  <c r="M117" i="19"/>
  <c r="P117" i="19"/>
  <c r="S110" i="19"/>
  <c r="J154" i="19"/>
  <c r="M154" i="19"/>
  <c r="S154" i="19"/>
  <c r="S22" i="19"/>
  <c r="P154" i="19"/>
  <c r="J66" i="19"/>
  <c r="V154" i="19"/>
  <c r="V110" i="19"/>
  <c r="V66" i="19"/>
  <c r="M66" i="19"/>
  <c r="J198" i="19"/>
  <c r="M22" i="19"/>
  <c r="S198" i="19"/>
  <c r="P110" i="19"/>
  <c r="M198" i="19"/>
  <c r="M110" i="19"/>
  <c r="V198" i="19"/>
  <c r="P22" i="19"/>
  <c r="P198" i="19"/>
  <c r="V22" i="19"/>
  <c r="P66" i="19"/>
  <c r="J110" i="19"/>
  <c r="S66" i="19"/>
  <c r="J22" i="19"/>
  <c r="S118" i="19"/>
  <c r="M206" i="19"/>
  <c r="J30" i="19"/>
  <c r="V118" i="19"/>
  <c r="S30" i="19"/>
  <c r="P162" i="19"/>
  <c r="J74" i="19"/>
  <c r="M118" i="19"/>
  <c r="V162" i="19"/>
  <c r="P118" i="19"/>
  <c r="M162" i="19"/>
  <c r="S206" i="19"/>
  <c r="P30" i="19"/>
  <c r="M74" i="19"/>
  <c r="M30" i="19"/>
  <c r="V206" i="19"/>
  <c r="P74" i="19"/>
  <c r="J206" i="19"/>
  <c r="S74" i="19"/>
  <c r="J162" i="19"/>
  <c r="J118" i="19"/>
  <c r="V30" i="19"/>
  <c r="V74" i="19"/>
  <c r="S162" i="19"/>
  <c r="P206" i="19"/>
  <c r="AF44" i="1"/>
  <c r="W107" i="19"/>
  <c r="T19" i="19"/>
  <c r="N151" i="19"/>
  <c r="K63" i="19"/>
  <c r="N195" i="19"/>
  <c r="W151" i="19"/>
  <c r="Q107" i="19"/>
  <c r="N19" i="19"/>
  <c r="K19" i="19"/>
  <c r="T195" i="19"/>
  <c r="Q19" i="19"/>
  <c r="Q151" i="19"/>
  <c r="T107" i="19"/>
  <c r="T151" i="19"/>
  <c r="W195" i="19"/>
  <c r="Q195" i="19"/>
  <c r="K195" i="19"/>
  <c r="W19" i="19"/>
  <c r="Q63" i="19"/>
  <c r="K107" i="19"/>
  <c r="W63" i="19"/>
  <c r="T63" i="19"/>
  <c r="N107" i="19"/>
  <c r="N63" i="19"/>
  <c r="K151" i="19"/>
  <c r="S173" i="19"/>
  <c r="P41" i="19"/>
  <c r="J129" i="19"/>
  <c r="S217" i="19"/>
  <c r="S129" i="19"/>
  <c r="M217" i="19"/>
  <c r="J85" i="19"/>
  <c r="V217" i="19"/>
  <c r="S85" i="19"/>
  <c r="M173" i="19"/>
  <c r="V173" i="19"/>
  <c r="S41" i="19"/>
  <c r="M129" i="19"/>
  <c r="J173" i="19"/>
  <c r="V129" i="19"/>
  <c r="P217" i="19"/>
  <c r="M85" i="19"/>
  <c r="V85" i="19"/>
  <c r="P173" i="19"/>
  <c r="M41" i="19"/>
  <c r="V41" i="19"/>
  <c r="P129" i="19"/>
  <c r="J217" i="19"/>
  <c r="J41" i="19"/>
  <c r="P85" i="19"/>
  <c r="M40" i="19"/>
  <c r="V40" i="19"/>
  <c r="J216" i="19"/>
  <c r="S216" i="19"/>
  <c r="J172" i="19"/>
  <c r="S172" i="19"/>
  <c r="J128" i="19"/>
  <c r="S128" i="19"/>
  <c r="J84" i="19"/>
  <c r="S84" i="19"/>
  <c r="S40" i="19"/>
  <c r="J40" i="19"/>
  <c r="P216" i="19"/>
  <c r="P172" i="19"/>
  <c r="V172" i="19"/>
  <c r="P128" i="19"/>
  <c r="P84" i="19"/>
  <c r="V84" i="19"/>
  <c r="P40" i="19"/>
  <c r="M128" i="19"/>
  <c r="M84" i="19"/>
  <c r="M216" i="19"/>
  <c r="V216" i="19"/>
  <c r="M172" i="19"/>
  <c r="V128" i="19"/>
  <c r="AE7" i="1"/>
  <c r="AD7" i="1" s="1"/>
  <c r="AE8" i="1"/>
  <c r="AD8" i="1" s="1"/>
  <c r="AF121" i="1"/>
  <c r="AF19" i="1"/>
  <c r="AF70" i="1"/>
  <c r="AF31" i="1"/>
  <c r="AF109" i="1"/>
  <c r="AF58" i="1"/>
  <c r="AF130" i="1"/>
  <c r="AF73" i="1"/>
  <c r="AF52" i="1"/>
  <c r="AF13" i="1"/>
  <c r="AF85" i="1"/>
  <c r="AF97" i="1"/>
  <c r="AF28" i="1"/>
  <c r="AF37" i="1"/>
  <c r="AF100" i="1"/>
  <c r="AF41" i="1"/>
  <c r="AF61" i="1"/>
  <c r="AF124" i="1"/>
  <c r="AF112" i="1"/>
  <c r="AE94" i="1"/>
  <c r="AD94" i="1" s="1"/>
  <c r="AE88" i="1"/>
  <c r="J7" i="19"/>
  <c r="AF10" i="1"/>
  <c r="AF118" i="1"/>
  <c r="AF49" i="1"/>
  <c r="AF25" i="1"/>
  <c r="AF106" i="1"/>
  <c r="AF79" i="1"/>
  <c r="AF16" i="1"/>
  <c r="AF133" i="1"/>
  <c r="AF115" i="1"/>
  <c r="AF76" i="1"/>
  <c r="AF55" i="1"/>
  <c r="AF82" i="1"/>
  <c r="W138" i="19" l="1"/>
  <c r="T182" i="19"/>
  <c r="N50" i="19"/>
  <c r="W50" i="19"/>
  <c r="T138" i="19"/>
  <c r="K138" i="19"/>
  <c r="T50" i="19"/>
  <c r="Q138" i="19"/>
  <c r="K94" i="19"/>
  <c r="T6" i="19"/>
  <c r="W94" i="19"/>
  <c r="Q94" i="19"/>
  <c r="N6" i="19"/>
  <c r="K50" i="19"/>
  <c r="T94" i="19"/>
  <c r="N138" i="19"/>
  <c r="N182" i="19"/>
  <c r="Q50" i="19"/>
  <c r="W182" i="19"/>
  <c r="K182" i="19"/>
  <c r="N94" i="19"/>
  <c r="W6" i="19"/>
  <c r="Q6" i="19"/>
  <c r="Q182" i="19"/>
  <c r="S6" i="19"/>
  <c r="M182" i="19"/>
  <c r="P182" i="19"/>
  <c r="V94" i="19"/>
  <c r="P6" i="19"/>
  <c r="M138" i="19"/>
  <c r="S94" i="19"/>
  <c r="J50" i="19"/>
  <c r="M6" i="19"/>
  <c r="P138" i="19"/>
  <c r="V138" i="19"/>
  <c r="V50" i="19"/>
  <c r="P94" i="19"/>
  <c r="V182" i="19"/>
  <c r="P50" i="19"/>
  <c r="M50" i="19"/>
  <c r="V6" i="19"/>
  <c r="M94" i="19"/>
  <c r="J182" i="19"/>
  <c r="S182" i="19"/>
  <c r="J138" i="19"/>
  <c r="S50" i="19"/>
  <c r="S138" i="19"/>
  <c r="J94" i="19"/>
  <c r="S80" i="19"/>
  <c r="M168" i="19"/>
  <c r="P212" i="19"/>
  <c r="V124" i="19"/>
  <c r="J212" i="19"/>
  <c r="J80" i="19"/>
  <c r="S124" i="19"/>
  <c r="M36" i="19"/>
  <c r="J168" i="19"/>
  <c r="S168" i="19"/>
  <c r="M212" i="19"/>
  <c r="J36" i="19"/>
  <c r="V168" i="19"/>
  <c r="S212" i="19"/>
  <c r="S36" i="19"/>
  <c r="J124" i="19"/>
  <c r="P80" i="19"/>
  <c r="V212" i="19"/>
  <c r="P124" i="19"/>
  <c r="M80" i="19"/>
  <c r="V80" i="19"/>
  <c r="V36" i="19"/>
  <c r="P168" i="19"/>
  <c r="P36" i="19"/>
  <c r="M124" i="19"/>
  <c r="J6" i="19"/>
  <c r="AF7" i="1"/>
  <c r="K6" i="19"/>
  <c r="AF8" i="1"/>
  <c r="AD88" i="1"/>
  <c r="AE91" i="1"/>
  <c r="AD91" i="1" s="1"/>
  <c r="AF94" i="1"/>
  <c r="V123" i="19" l="1"/>
  <c r="S35" i="19"/>
  <c r="M211" i="19"/>
  <c r="M35" i="19"/>
  <c r="V211" i="19"/>
  <c r="S123" i="19"/>
  <c r="M167" i="19"/>
  <c r="V35" i="19"/>
  <c r="P167" i="19"/>
  <c r="S167" i="19"/>
  <c r="V167" i="19"/>
  <c r="S211" i="19"/>
  <c r="P123" i="19"/>
  <c r="J79" i="19"/>
  <c r="M79" i="19"/>
  <c r="V79" i="19"/>
  <c r="P79" i="19"/>
  <c r="J35" i="19"/>
  <c r="S79" i="19"/>
  <c r="M123" i="19"/>
  <c r="P35" i="19"/>
  <c r="J123" i="19"/>
  <c r="P211" i="19"/>
  <c r="J167" i="19"/>
  <c r="J211" i="19"/>
  <c r="S122" i="19"/>
  <c r="M210" i="19"/>
  <c r="J210" i="19"/>
  <c r="S166" i="19"/>
  <c r="M34" i="19"/>
  <c r="J34" i="19"/>
  <c r="S210" i="19"/>
  <c r="P34" i="19"/>
  <c r="S78" i="19"/>
  <c r="P210" i="19"/>
  <c r="V34" i="19"/>
  <c r="M166" i="19"/>
  <c r="J166" i="19"/>
  <c r="V78" i="19"/>
  <c r="P122" i="19"/>
  <c r="P166" i="19"/>
  <c r="M122" i="19"/>
  <c r="J78" i="19"/>
  <c r="V122" i="19"/>
  <c r="V210" i="19"/>
  <c r="V166" i="19"/>
  <c r="M78" i="19"/>
  <c r="J122" i="19"/>
  <c r="S34" i="19"/>
  <c r="P78" i="19"/>
  <c r="AF91" i="1"/>
  <c r="AF88" i="1"/>
  <c r="A52" i="1"/>
  <c r="A55" i="1" l="1"/>
  <c r="AD66" i="18"/>
  <c r="A58" i="1" l="1"/>
  <c r="AF84" i="18"/>
  <c r="AH66" i="18" l="1"/>
  <c r="A61" i="1"/>
  <c r="AT48" i="18" l="1"/>
  <c r="A64" i="1"/>
  <c r="AV48" i="18" l="1"/>
  <c r="A67" i="1"/>
  <c r="AD32" i="18" l="1"/>
  <c r="A70" i="1"/>
  <c r="A73" i="1" l="1"/>
  <c r="V50" i="18"/>
  <c r="A76" i="1" l="1"/>
  <c r="X50" i="18"/>
  <c r="A79" i="1" l="1"/>
  <c r="Z50" i="18"/>
  <c r="AL50" i="18" l="1"/>
  <c r="A82" i="1"/>
  <c r="A85" i="1" l="1"/>
  <c r="J88" i="18"/>
  <c r="AP34" i="18" l="1"/>
  <c r="A88" i="1"/>
  <c r="A91" i="1" l="1"/>
  <c r="N70" i="18"/>
  <c r="A94" i="1" l="1"/>
  <c r="Z70" i="18"/>
  <c r="A97" i="1" l="1"/>
  <c r="AL70" i="18"/>
  <c r="AN54" i="18" l="1"/>
  <c r="A100" i="1"/>
  <c r="A103" i="1" l="1"/>
  <c r="AF72" i="18"/>
  <c r="A106" i="1" l="1"/>
  <c r="AH72" i="18"/>
  <c r="AJ54" i="18" l="1"/>
  <c r="A109" i="1"/>
  <c r="A112" i="1" l="1"/>
  <c r="AL54" i="18"/>
  <c r="AN56" i="18" l="1"/>
  <c r="A115" i="1"/>
  <c r="A118" i="1" l="1"/>
  <c r="AF38" i="18"/>
  <c r="A121" i="1" l="1"/>
  <c r="AH56" i="18"/>
  <c r="AT56" i="18" l="1"/>
  <c r="A124" i="1"/>
  <c r="A127" i="1" s="1"/>
  <c r="A130" i="1" s="1"/>
  <c r="AV56" i="18" l="1"/>
  <c r="AN76" i="18" l="1"/>
  <c r="A133" i="1"/>
  <c r="A136" i="1" l="1"/>
  <c r="AF76" i="18"/>
</calcChain>
</file>

<file path=xl/sharedStrings.xml><?xml version="1.0" encoding="utf-8"?>
<sst xmlns="http://schemas.openxmlformats.org/spreadsheetml/2006/main" count="2143" uniqueCount="828">
  <si>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</si>
  <si>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</si>
  <si>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</si>
  <si>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</si>
  <si>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</si>
  <si>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</si>
  <si>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</si>
  <si>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</si>
  <si>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</si>
  <si>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</si>
  <si>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</si>
  <si>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</si>
  <si>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</si>
  <si>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</si>
  <si>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</si>
  <si>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</si>
  <si>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</si>
  <si>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</si>
  <si>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</si>
  <si>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</si>
  <si>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</si>
  <si>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</si>
  <si>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</si>
  <si>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</si>
  <si>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</si>
  <si>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</si>
  <si>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</si>
  <si>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</si>
  <si>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</si>
  <si>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</si>
  <si>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</si>
  <si>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</si>
  <si>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</si>
  <si>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</si>
  <si>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</si>
  <si>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</si>
  <si>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</si>
  <si>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</si>
  <si>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</si>
  <si>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</si>
  <si>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</si>
  <si>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</si>
  <si>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</si>
  <si>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</si>
  <si>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</si>
  <si>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</si>
  <si>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</si>
  <si>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</si>
  <si>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</si>
  <si>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</si>
  <si>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</si>
  <si>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</si>
  <si>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</si>
  <si>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</si>
  <si>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</si>
  <si>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</si>
  <si>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</si>
  <si>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</si>
  <si>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</si>
  <si>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</si>
  <si>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</si>
  <si>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</si>
  <si>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</si>
  <si>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</si>
  <si>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</si>
  <si>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</si>
  <si>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</si>
  <si>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</si>
  <si>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</si>
  <si>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</si>
  <si>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</si>
  <si>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</si>
  <si>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</si>
  <si>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</si>
  <si>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</si>
  <si>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</si>
  <si>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</si>
  <si>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</si>
  <si>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</si>
  <si>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</si>
  <si>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</si>
  <si>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</si>
  <si>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</si>
  <si>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</si>
  <si>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</si>
  <si>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</si>
  <si>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</si>
  <si>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</si>
  <si>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</si>
  <si>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</si>
  <si>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</si>
  <si>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</si>
  <si>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</si>
  <si>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</si>
  <si>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</si>
  <si>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</si>
  <si>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</si>
  <si>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</si>
  <si>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</si>
  <si>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</si>
  <si>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</si>
  <si>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</si>
  <si>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</si>
  <si>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</si>
  <si>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</si>
  <si>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</si>
  <si>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</si>
  <si>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</si>
  <si>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</si>
  <si>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</si>
  <si>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</si>
  <si>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</si>
  <si>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</si>
  <si>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</si>
  <si>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Fraude Externo</t>
  </si>
  <si>
    <t>Fraude Interno</t>
  </si>
  <si>
    <t>Relaciones Laborales</t>
  </si>
  <si>
    <t>Usuarios, productos y practicas , organizacionales</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</si>
  <si>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</si>
  <si>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</si>
  <si>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</si>
  <si>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</si>
  <si>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</si>
  <si>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</si>
  <si>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</si>
  <si>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</si>
  <si>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</si>
  <si>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</si>
  <si>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</si>
  <si>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</si>
  <si>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t>
  </si>
  <si>
    <t>✔</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</si>
  <si>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</si>
  <si>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</si>
  <si>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</si>
  <si>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</si>
  <si>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</si>
  <si>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</si>
  <si>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</si>
  <si>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</si>
  <si>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</si>
  <si>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</si>
  <si>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</si>
  <si>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</si>
  <si>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</si>
  <si>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</si>
  <si>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</si>
  <si>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</si>
  <si>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</si>
  <si>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</si>
  <si>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</si>
  <si>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</si>
  <si>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</si>
  <si>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</si>
  <si>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</si>
  <si>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</si>
  <si>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</si>
  <si>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</si>
  <si>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</si>
  <si>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</si>
  <si>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</si>
  <si>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</si>
  <si>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</si>
  <si>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</si>
  <si>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</si>
  <si>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</si>
  <si>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</si>
  <si>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</si>
  <si>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</si>
  <si>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</si>
  <si>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</si>
  <si>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</si>
  <si>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</si>
  <si>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</si>
  <si>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</si>
  <si>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</si>
  <si>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</si>
  <si>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</si>
  <si>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</si>
  <si>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</si>
  <si>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</si>
  <si>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</si>
  <si>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</si>
  <si>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</si>
  <si>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</si>
  <si>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</si>
  <si>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</si>
  <si>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</si>
  <si>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 xml:space="preserve">Proceso </t>
  </si>
  <si>
    <t xml:space="preserve">Objetivo </t>
  </si>
  <si>
    <t>Acción de tratamiento</t>
  </si>
  <si>
    <t>Fecha Inicio</t>
  </si>
  <si>
    <t>Fecha fin</t>
  </si>
  <si>
    <t>Trimestral</t>
  </si>
  <si>
    <t>Entrega de información incompleta por parte de los procesos.</t>
  </si>
  <si>
    <t>Anual</t>
  </si>
  <si>
    <t>Periodicidad de Seguimiento</t>
  </si>
  <si>
    <t>Semestral</t>
  </si>
  <si>
    <t>Desconocimiento en el adecuado manejo de la información confidencial.</t>
  </si>
  <si>
    <t>Retrasos en la formulación de instrumentos de planeamiento.</t>
  </si>
  <si>
    <t>Posibilidad de afectación reputacional por retrasos en la formulación de instrumentos de planeamiento debido a dificultades en la contratación de estudios técnicos, demora en la emisión de respuestas o conceptos por parte de las entidades distritales.</t>
  </si>
  <si>
    <t xml:space="preserve">Multas, sanciones o demandas
</t>
  </si>
  <si>
    <t xml:space="preserve">
Demoras en la entrega de las obras de urbanismo
</t>
  </si>
  <si>
    <t>Mensual</t>
  </si>
  <si>
    <t>Diario</t>
  </si>
  <si>
    <t>Enero</t>
  </si>
  <si>
    <t>Diciembre</t>
  </si>
  <si>
    <t>Gestión Jurídica</t>
  </si>
  <si>
    <t>Soborno.
Intereses particulares.</t>
  </si>
  <si>
    <t>Acuerdos entre apoderados para viciar la defensa judicial durante las etapas del proceso.</t>
  </si>
  <si>
    <t>Gestión Contractual</t>
  </si>
  <si>
    <t>Posibilidad de recibir o solicitar cualquier dádiva o beneficio a nombre propio o de terceros con el fin de adjudicar un proceso de contratación para favorecer a personas o grupos determinados.</t>
  </si>
  <si>
    <t>Gestión de TIC</t>
  </si>
  <si>
    <t>Realizar seguimiento a la contratación de los servicios de mantenimiento preventivo y correctivo del hardware de la Empresa a través del Plan de Adquisiciones.</t>
  </si>
  <si>
    <t>Indisponibilidad de los servicios o infraestructura de TI.</t>
  </si>
  <si>
    <t>Gestión Financiera</t>
  </si>
  <si>
    <t>Evaluación y Seguimiento</t>
  </si>
  <si>
    <t>Inicia con la planificación del Plan Anual de Auditoría basado en riesgos, su ejecución, evaluación, seguimiento de actividades planificadas, elaboración de informes y/o asesoría para la toma de decisiones, evaluación de la gestión del riesgo, finalizando con la implementación de los Planes de Mejoramiento correspondientes a fin de agregar valor y mejora en los procesos y operaciones de la Empresa, proporcionando aseguramiento, análisis basado en riesgos y de manera paralela interactuando con los entes de control conforme la normatividad vigente.</t>
  </si>
  <si>
    <t>Ejecución y Administración de procesos</t>
  </si>
  <si>
    <t>Daños Activos Físicos</t>
  </si>
  <si>
    <t>Fallas Tecnológicas</t>
  </si>
  <si>
    <t>El aplicativo ENTUITY de manera permanente realiza monitoreo web a la infraestructura tecnológica compuesta por canales de datos, canal internet y equipos tipo servidor, para verificar la disponibilidad y el estado del funcionamiento de los aplicativos, al encontrar una falla envía un correo de alerta al proceso Gestión de TIC para adelantar las acciones que corresponda.</t>
  </si>
  <si>
    <t>Fuente: Adaptado de Curso Riesgo Operativo Universidad del Rosario por Dirección de Gestión y Desempeño Institucional de Función Pública, 2020.</t>
  </si>
  <si>
    <t>Dirigir los procesos jurídicos necesarios para la implementación de proyectos misionales y ejercer la representación judicial y extrajudicial de la Empresa, con base en los lineamientos contemplados en el Manual de Prevención del Daño Antijurídico y las Políticas que se adopten con el fin de garantizar la prevención del daño antijurídico.</t>
  </si>
  <si>
    <t>Debilidad en los controles establecidos.</t>
  </si>
  <si>
    <t>Informar a las instancias internas y externas de control que corresponda.</t>
  </si>
  <si>
    <t>Realizar socializaciones sobre los requisitos exigidos por las Entidades Competentes, de acuerdo a lo establecido en el Procedimiento PD-90 Recibo y entrega de obras y áreas de cesiones públicas.</t>
  </si>
  <si>
    <t>Dejar la obra en condiciones de recibo, revisar que falta para entregar y verificar que lo que ya está se pueda entregar e ir entregando en la medida en que se vaya terminando.</t>
  </si>
  <si>
    <t>Posibilidad de afectación reputacional por divulgación de información institucional, confusa e inoportuna debido a entrega de información incompleta por parte de los procesos.</t>
  </si>
  <si>
    <t>Divulgación del procedimiento para solicitudes de Comunicaciones.</t>
  </si>
  <si>
    <t>Mantenimiento correctivo.</t>
  </si>
  <si>
    <t>Realizar seguimiento al contrato que soporta los servicios de TI, capacitar al personal del proceso de Gestión de TIC de acuerdo con la necesidad.</t>
  </si>
  <si>
    <t>Aplicar los ANS con el proveedor y restablecer el servicio.</t>
  </si>
  <si>
    <t>Generar el reporte a los entes internos y externos que corresponda.</t>
  </si>
  <si>
    <t>Gestión de Talento Humano</t>
  </si>
  <si>
    <t>Informar al jefe inmediato y generar una estrategia de convocatoria.</t>
  </si>
  <si>
    <t>Bajos niveles de agregación de valor para mejorar las operaciones en los procesos de gobierno, riesgos y control.</t>
  </si>
  <si>
    <t>Concentración de poder.</t>
  </si>
  <si>
    <t>Excesiva discrecionalidad.</t>
  </si>
  <si>
    <t>Dificultades en la contratación de estudios, demora en la emisión de respuestas o conceptos por parte de las entidades distritales.</t>
  </si>
  <si>
    <t>Vencimiento de términos judiciales.</t>
  </si>
  <si>
    <t>Descuido del apoderado en sus procesos judiciales.</t>
  </si>
  <si>
    <t>Posibilidad de afectación reputacional por el vencimiento de términos judiciales debido a descuido del apoderado en sus procesos judiciales.</t>
  </si>
  <si>
    <t xml:space="preserve">Manipulación indebida de documentos precontractuales. </t>
  </si>
  <si>
    <t>Alteración de la información financiera.</t>
  </si>
  <si>
    <t>Falta de conocimiento frente a la norma, la política y al manejo de las PQRS.</t>
  </si>
  <si>
    <t xml:space="preserve"> Afectación menor a 10 SMLMV .</t>
  </si>
  <si>
    <t xml:space="preserve"> El riesgo afecta la imagen de alguna área de la organización</t>
  </si>
  <si>
    <t xml:space="preserve"> Entre 10 y 50 SMLMV </t>
  </si>
  <si>
    <t xml:space="preserve"> Entre 50 y 100 SMLMV </t>
  </si>
  <si>
    <t xml:space="preserve"> El riesgo afecta la imagen de la entidad con algunos usuarios de relevancia frente al logro de los objetivos</t>
  </si>
  <si>
    <t xml:space="preserve"> Entre 100 y 500 SMLMV </t>
  </si>
  <si>
    <t xml:space="preserve"> Mayor a 500 SMLMV </t>
  </si>
  <si>
    <t xml:space="preserve"> El riesgo afecta la imagen de la entidad a nivel nacional, con efecto publicitarios sostenible a nivel país</t>
  </si>
  <si>
    <t>El riesgo afecta la imagen de la entidad internamente, de conocimiento general, nivel interno, de junta directiva y accionistas y/o de proveedores</t>
  </si>
  <si>
    <t xml:space="preserve"> El riesgo afecta la imagen de la entidad internamente, de conocimiento general, nivel interno, de junta directiva y accionistas y/o de proveedores</t>
  </si>
  <si>
    <t>El riesgo afecta la imagen de la entidad con efecto publicitario sostenido a nivel de sector administrativo, nivel departamental o municipal</t>
  </si>
  <si>
    <t xml:space="preserve"> El riesgo afecta la imagen de la entidad con efecto publicitario sostenido a nivel de sector administrativo, nivel departamental o municipal</t>
  </si>
  <si>
    <t>Plan de acción (solo para la opción reducir)</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</si>
  <si>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Subgerencia de Planeación y Administración de Proyectos.</t>
    </r>
  </si>
  <si>
    <t>Elaborar y socializar un protocolo de seguridad de tesorería.</t>
  </si>
  <si>
    <t>Debilidad en la aplicación de controles a las operaciones financieras.</t>
  </si>
  <si>
    <t>Posibilidad de que, por acción u omisión, se use el poder para manipular de manera indebida los procesos judiciales para favorecer un interés particular.</t>
  </si>
  <si>
    <t>El Dependiente Judicial realiza control y vigilancia a los procesos judiciales a través de la Matriz de Seguimiento, en la cual se dejan las alertas que correspondan como insumo para los apoderados.</t>
  </si>
  <si>
    <t>Revisión del estado general de los procesos dentro del Comité de Autoevaluación.</t>
  </si>
  <si>
    <t>Posibilidad de que por acción, omisión o abuso de poder, se profieran decisiones a favor o en contra de los sujetos procesales en beneficio propio o de terceros.</t>
  </si>
  <si>
    <t>Mensualmente se realizan reuniones donde se actualiza el archivo de seguimiento disponible en Drive con las actuaciones realizadas en el mes y se verifican los términos.</t>
  </si>
  <si>
    <t>Contribuir al fortalecimiento y protección de los principios de la función pública a través de la generación de actividades de prevención en materia disciplinaria, así como adelantar las actuaciones administrativas a los servidores y exservidores públicos de la Empresa, cuando incurran en conductas que puedan constituir faltas disciplinarias de conformidad con lo establecido en la normatividad vigente.</t>
  </si>
  <si>
    <t>Inicia con el diseño de estrategias de prevención y socialización relacionadas con asuntos disciplinarios, contempla el análisis de las quejas o denuncias, o remisiones por competencia o informe de autoridad competente, la generación de las indagaciones previas y/o las investigaciones disciplinarias por las infracciones a la Constitución, las leyes y manuales de funciones o por la omisión o extralimitación en el ejercicio de sus funciones, de conformidad con lo establecido en la Ley.</t>
  </si>
  <si>
    <t>Materialización de la figura jurídica de la prescripción establecida en la ley.</t>
  </si>
  <si>
    <t>Presiones indebidas por un tercero o un superior jerárquico.
Recibir o solicitar dádivas o beneficios a nombre propio o de un tercero.</t>
  </si>
  <si>
    <t>Interés particular del servidor público.</t>
  </si>
  <si>
    <t>Posibilidad de que, por acción u omisión, haya uso indebido de información privilegiada para favorecimiento de un interés particular.</t>
  </si>
  <si>
    <t>A demanda</t>
  </si>
  <si>
    <t>El Gestor Senior 1 de atención al ciudadano cada vez que ingresa un colaborador genera la inducción en las temáticas de Atención al Ciudadano, resultado de esta reunión quedan las grabaciones y las listas de asistencia.</t>
  </si>
  <si>
    <t>Gestión del Conocimiento y la Innovación</t>
  </si>
  <si>
    <t>Acción de Contingencia ante posible materialización</t>
  </si>
  <si>
    <t>Direccionamiento y Planeación Institucional</t>
  </si>
  <si>
    <t xml:space="preserve">Establecer y liderar la implementación de metodologías, lineamientos estratégicos y de operación de la Empresa, para la programación y seguimiento al cumplimiento de objetivos, políticas y metas institucionales. </t>
  </si>
  <si>
    <t xml:space="preserve">Inicia con la definición y/o actualización del marco estratégico, incluye la definición de lineamientos y metodologías para la planeación, gestión y mejora, y termina con el seguimiento y la presentación de los resultados de la gestión institucional. </t>
  </si>
  <si>
    <t>Posibilidad de que por acción u omisión haya priorización de planes, programas o proyectos o de toma de decisiones para favorecer intereses particulares.</t>
  </si>
  <si>
    <t>El Comité Institucional de Gestión y Desempeño al inicio de cada vigencia verifica y aprueba los planes, programas o proyectos de inversión que se formulan de manera participativa entre la alta dirección y los responsables de los procesos. De otra parte, el Comité de Proyectos realiza la verificación objetiva de la viabilidad de los criterios técnicos, jurídicos, socioambientales y financieros, así como la alineación con los objetivos estratégicos de la empresa presentada por la Subgerencia de Planeamiento y Estructuración. En caso de encontrar alguna desviación se generan observaciones para presentar en siguiente iteración.</t>
  </si>
  <si>
    <t>Capacitar al equipo responsable en el uso y aplicación efectiva de las guías y procedimientos asociadas a la formulación de proyectos.</t>
  </si>
  <si>
    <t>Junio</t>
  </si>
  <si>
    <t>Semestralmente la Oficina Asesora de Planeación en el marco de las mesas de trabajo con los líderes operativos presenta el cronograma de seguimientos a realizar durante el periodo, esto con el fin de que los equipos de trabajo planifiquen la entrega de información de manera oportuna y veraz.</t>
  </si>
  <si>
    <t>Reportar a la Instancia de Seguimiento correspondiente para evitar que la situación se vuelva a repetir.</t>
  </si>
  <si>
    <t>Toma de decisiones estratégicas inadecuadas.</t>
  </si>
  <si>
    <t xml:space="preserve">Relacionamiento y Comunicaciones </t>
  </si>
  <si>
    <t>Diseñar y desarrollar las políticas, planes y estrategias de relacionamiento estratégico, comunicación interna y externa de la Empresa necesarias para la promoción, posicionamiento y fortalecimiento de la imagen institucional.</t>
  </si>
  <si>
    <t>Inicia con la definición del Plan Estratégico de Comunicaciones, comprende las acciones de comunicación interna y externa, la gestión del modelo de relacionamiento con los grupos de interés y finaliza con la evaluación del Plan.</t>
  </si>
  <si>
    <t>Divulgación de información institucional confusa e inoportuna.</t>
  </si>
  <si>
    <t>El jefe y los profesionales de la Oficina Asesora de Relacionamiento y Comunicaciones cada vez que se reciben las solicitudes de divulgación de los procesos, realizan una validación con cada proceso para garantizar su veracidad y que esté acorde con los procedimientos establecidos. Cuando se encuentran diferencias se solicitan los ajustes correspondientes mediante correo electrónico y/o las herramientas de comunicación disponibles a los responsables de cada proceso, y una vez ajustada la información, se realizan las piezas de comunicación y/o actualización solicitadas. Las evidencias del control corresponden a las solicitudes realizadas por las áreas, los correos electrónicos enviados y las piezas de comunicación diseñadas.</t>
  </si>
  <si>
    <t>Asesorar y acompañar la implementación de la Política de Gestión del Conocimiento y la Innovación para materializar ideas, generar y preservar el conocimiento y generar una cultura de innovación que conlleven al mejoramiento del desempeño de la Empresa.</t>
  </si>
  <si>
    <t>Inicia con la definición del Plan y la Estrategia de Gestión del Conocimiento y la Innovación, comprende la implementación de mecanismos para generación o construcción del conocimiento y la innovación, su sistematización o documentación y finaliza con la implementación de acciones de mejora.</t>
  </si>
  <si>
    <t>Posibilidad de afectación reputacional por la pérdida del conocimiento crítico y/o estratégico de la empresa debido a la desactualización del conocimiento explicito.</t>
  </si>
  <si>
    <t>Desactualización del conocimiento explicito.</t>
  </si>
  <si>
    <t>Pérdida del conocimiento crítico y/o estratégico de la empresa.</t>
  </si>
  <si>
    <t>Septiembre</t>
  </si>
  <si>
    <t>Informar a las instancias que corresponda para actualizar el conocimiento explícito.</t>
  </si>
  <si>
    <t>Única</t>
  </si>
  <si>
    <t>Noviembre</t>
  </si>
  <si>
    <t>Gestión Urbana</t>
  </si>
  <si>
    <t xml:space="preserve">Liderar la formulación de los instrumentos de planeación con los estudios y diseños necesarios para determinar la viabilidad técnica, social y financiera, que deriven en la gestión y habilitación del suelo requerido para el desarrollo de los programas y proyectos de renovación y desarrollo urbano, a través de la Aplicación de instrumentos de gestión establecidos en la Ley. </t>
  </si>
  <si>
    <t xml:space="preserve">Inicia con la identificación y evaluación de las áreas de oportunidad, la elaboración de estudios técnicos, la radicación de la formulación del instrumento ante las autoridades competentes para su aprobación, además, incluye la administración de Sistemas de Información Geográfica. </t>
  </si>
  <si>
    <t>Cada vez que se requiere llevar a cabo una contratación, el abogado de la Dirección Técnica de Planeamiento y Gestión Urbana, verifica que en la solicitud de los contratos de prestación de servicios que hacen parte integral del contrato, se incluya en las obligaciones generales guardar la estricta reserva de toda la información y documentos que tenga acceso, con el fin de dar un manejo adecuado de la información por parte de los contratistas, y en caso de no encontrarla, se solicita mediante comunicación interna su incorporación a la Dirección de Contratación.</t>
  </si>
  <si>
    <t>Capacitar al personal en las directrices y el adecuado tratamiento de datos e información confidencial semestralmente.</t>
  </si>
  <si>
    <t>El Líder Operativo verifica que cada vez que se de inicio a la formulación de un instrumento, el líder del proyecto haya solicitado a la entidad competente en su primera fase, la emisión de los estudios y/o conceptos requeridos mediante una solicitud oficial; en caso de encontrar que la solicitud no se realizó en los tiempos establecidos se solicita en el marco de los seguimientos la evidencia y se registra en el cronograma de trabajo.</t>
  </si>
  <si>
    <t>El líder operativo en el marco del seguimiento al proyecto verifica que se hayan entregado los estudios o conceptos en el plazo establecido en el cronograma, de lo contrario generara una alerta al Dirección Técnica de Planeamiento y Gestión Urbana.</t>
  </si>
  <si>
    <t>Realizar el ajuste a la planeación establecida actualizando metas y cronogramas para la vigencia.</t>
  </si>
  <si>
    <t>Estructuración de Proyectos</t>
  </si>
  <si>
    <t xml:space="preserve">Dirigir la estructuración integral de los proyectos para evaluar la viabilidad económica y financiera de los proyectos urbanos e inmobiliarios de la Empresa. </t>
  </si>
  <si>
    <t>Inicia con la definición de la política de priorización de las áreas de oportunidad para el desarrollo de los proyectos a cargo de la Empresa, incluye el análisis jurídico, social, técnico ambiental y económico y termina con el documento de zonas de oportunidad, prefactibilidad o factibilidad del proyecto.</t>
  </si>
  <si>
    <t>Posibilidad de afectación económica y reputacional por estructurar procesos de selección que no son acordes a la realidad del proyecto, por falta de información, o información que no cuenta con criterios de calidad para la validación del proceso.</t>
  </si>
  <si>
    <t>Estructuración de procesos de selección que no son acordes a la realidad.</t>
  </si>
  <si>
    <t>Falta de información, o información que no cuenta con criterios de calidad para la validación del proceso.</t>
  </si>
  <si>
    <t>El profesional responsable del proyecto verifica cada vez que surja la necesidad, que la documentación entregada se ajuste a los criterios de calidad y oportunidad establecidos en el cronograma del proyecto. En caso de presentarse inconsistencias se solicita a las áreas responsables, a través de correo electrónico, o se realizan mesas de trabajo para garantizar la entrega de la información y efectuar los ajustes correspondientes.</t>
  </si>
  <si>
    <t>Actualizar el procedimiento "Modelaciones Financieras de los Proyectos", con el propósito de documentar los controles establecidos.</t>
  </si>
  <si>
    <t>´- Se informa internamente a la Gerencia General.
- Se informa Externamente a la Alcaldía Mayor.
- Se procede a dar un alcance (corrección o eliminación) a la información publicada.</t>
  </si>
  <si>
    <t>´- Cuantificar los costos incurridos en el desarrollo del instrumento de estructuración de proyectos y presentarlos a la Gerencia de la Empresa y a la Subgerencia de Planeamiento y Estructuración.
- Realizar el ajuste a la estructuración de los procesos de selección.</t>
  </si>
  <si>
    <t>Gestión Predial</t>
  </si>
  <si>
    <t xml:space="preserve">Ejecutar los procesos de adquisición del suelo que se requieran en nuevas áreas de oportunidad para el desarrollo de los planes, programas y proyectos de renovación y desarrollo urbano de la ciudad, así como administrar y movilizar, los predios fideicomitidos y de la empresa. </t>
  </si>
  <si>
    <t xml:space="preserve">Inicia con el análisis e identificación de nuevas áreas de oportunidad, la definición y ejecución del Plan de Gestión del Suelo, incluye la administración de predios, el trámite de las liquidaciones de los pagos por concepto de compensación y termina con la transferencia efectiva del derecho real de dominio a favor de la Empresa, del tercero concurrente o la Fiduciaria correspondiente. </t>
  </si>
  <si>
    <t>´- Debilidad en los controles establecidos.
- Desconocer el Código de Integridad de la Empresa.
- Favorecer a terceros en la liquidación de la obligación VIS/VIP.
- Cobro por parte de funcionarios públicos o contratistas a los ciudadanos para la asesoría del trámite "Cumplimiento de la obligación VIS-VIP a través de compensación económica".</t>
  </si>
  <si>
    <t>Falta de información o claridad de los obligados en el inicio y fin del trámite que surte la Empresa.</t>
  </si>
  <si>
    <t>Adelantar estrategias de divulgación del trámite y sus requisitos.</t>
  </si>
  <si>
    <t>Gestión de la Participación Ciudadana y Asuntos Sociales</t>
  </si>
  <si>
    <t xml:space="preserve">Definir e implementar las políticas de Gestión Social y de Participación Ciudadana para la garantía de los derechos de la comunidad en los proyectos que adelanta la Empresa. </t>
  </si>
  <si>
    <t xml:space="preserve">Inicia con la definición de la Estrategia de Participación Ciudadana, comprende la elaboración de estudios socioeconómicos requeridos en el marco de la identificación de zonas de oportunidad, la implementación de los censos de población, diagnósticos socioeconómicos, evaluación de impactos, la formulación del Planes de Gestión Social, incluyendo la identificación de espacios, el diseño y ejecución de estrategias y mecanismos de participación, comunicación y divulgación, en cumplimiento de lo establecido en la normatividad relacionada con la política de protección a moradores y finaliza con el restablecimiento de las condiciones iniciales de la población ubicada en los territorios intervenidos. </t>
  </si>
  <si>
    <t>Bimensual</t>
  </si>
  <si>
    <t>Ejecución de Proyectos</t>
  </si>
  <si>
    <t xml:space="preserve">Consolidar una gestión eficiente de proyectos que se encuentren en fase de ejecución (estudios y diseños y ejecución de obra). </t>
  </si>
  <si>
    <t xml:space="preserve">Inicia con la planeación de las actividades para la ejecución de los proyectos, incluye la gestión y el seguimiento integral a la ejecución (técnica, financiera y contractual) y finaliza con la entrega de insumos para la fase de cierre de proyecto. </t>
  </si>
  <si>
    <t>Incumplimiento de los requisitos exigibles por las Entidades competentes para el recibo de cesiones urbanísticas.</t>
  </si>
  <si>
    <t>Falta de oportunidad en la entrega de cesiones urbanísticas en proyectos de urbanización en los que la empresa actúa como responsable directo de la ejecución de obras.</t>
  </si>
  <si>
    <t>Posibilidad de afectación económica y reputacional por incumplimiento de requisitos exigibles por las Entidades competentes para el recibo de cesiones urbanísticas, debido a la falta de oportunidad en la entrega en proyectos de urbanización en los que la empresa actúa como responsable directo de la ejecución de obras.</t>
  </si>
  <si>
    <t>Los profesionales de apoyo a la Supervisión de la Subgerencia de Ejecución de Proyectos, deberán dar cumplimiento a lo establecido en el procedimiento PD-90 Recibo y entrega de obras y áreas de cesiones públicas, en el cual se solicita la revisión oportuna de los requisitos mínimos para la entrega de la obra al Empresas de Servicios Públicos, IDRD, IDU, UAESP y por último al DADEP diligenciando el formato FT-193 Requisitos mínimos para entrega de obra, y estableciendo el estado actual de los requisitos exigidos por las Entidades competentes, registrando en la columna "Se cuenta con la Certificación" (SI), en caso contrario, deberá revisar las acciones a seguir y requerirá al interventor para el cumplimiento del requisito.</t>
  </si>
  <si>
    <t>Incumplimiento en oportunidad y calidad en la entrega de los proyectos.</t>
  </si>
  <si>
    <t>Documentar e implementar la metodología de acción ante riesgos con probabilidad de materialización.</t>
  </si>
  <si>
    <t>Gestión Comercial</t>
  </si>
  <si>
    <t xml:space="preserve">Diseñar y ejecutar actividades que conduzcan a la identificación de oportunidades comerciales, la promoción de los servicios, proyectos y predios, así como a la vinculación de actores tanto públicos como privados, con el fin de generar y concretar negocios que beneficien la Empresa. </t>
  </si>
  <si>
    <t xml:space="preserve">Inicia con la definición de las actividades que conformarán la Estrategia Comercial y la definición de las líneas de Servicio que serán priorizadas, continúa con la etapa de ejecución de las actividades definidas y concluye con el reporte y/o registro de los negocios gestionados (ofertas, ventas, arriendos, y otros negocios). </t>
  </si>
  <si>
    <t>Proceso de comercialización con condiciones o requisitos que favorecen a un tercero.</t>
  </si>
  <si>
    <t>Debilidad en la gestión de los riesgos en cuanto a: 
1. Identificación
2. Seguimiento y control oportuno y 
3. Efectividad de las acciones correctivas ante la materialización</t>
  </si>
  <si>
    <t>Negocios generados por ofertas de servicios que no se pueden ejecutar.</t>
  </si>
  <si>
    <t>Al revisar la solicitud del servicio o posibilidad de negocio, no se consideran los impactos o riesgos (de tipo jurídico, financiero, técnico o reputacional) que pueden llegar a imposibilitar la ejecución de lo propuesto en la oferta que se consolida para el cliente.</t>
  </si>
  <si>
    <t>Posibilidad de afectación económica y reputacional, debido a que se concreten negocios generados por ofertas de servicios que no se puedan ejecutar, pues al revisar las solicitudes o posibilidades de negocio, no se consideran impactos o riesgos (de tipo jurídico, financiero, técnico o reputacional) que pueden llegar a imposibilitar la ejecución de lo propuesto en la oferta que se consolida para el cliente.</t>
  </si>
  <si>
    <t xml:space="preserve">Inicia con la planeación de las estrategias de defensa jurídica y prevención del daño antijurídico, el seguimiento de los procesos judiciales y extrajudiciales de los cuales sea parte la Empresa incluye dar respuesta a las solicitudes de conceptos, asesoría a clientes internos y externos, análisis y expedición de actos administrativos a los que haya lugar, en el desarrollo del objeto social de la Empresa, lo anterior para prevenir cualquier tipo de daño antijurídico. </t>
  </si>
  <si>
    <t>El Jefe de la Oficina Jurídica cada vez que conoce de un proceso judicial o extrajudicial en el que la Empresa actúa como parte activa o pasiva, designa un abogado que lleva la defensa. El abogado-apoderado revisa el proceso y valora las posibilidades de éxito procesal realizando la evaluación jurídica preliminar, esta evaluación se pone en conocimiento de los demás abogados del equipo de Defensa Judicial en las reuniones de equipo. En caso de requerirse, se realiza un análisis que sirve para fortalecer la evaluación realizada. Las decisiones tomadas quedan registradas en las actas de reunión de seguimiento a los procesos judiciales donde se plasma la estrategia del abogado y las demás recomendaciones del equipo.</t>
  </si>
  <si>
    <t>trimestral</t>
  </si>
  <si>
    <t>Reportar la conducta del abogado-apoderado ante el Consejo Superior de la Judicatura- Comisión Seccional de Disciplina Judicial.</t>
  </si>
  <si>
    <t xml:space="preserve">Apoyar, tramitar, brindar asesoría y realizar seguimiento a los procesos contractuales requeridos por la Empresa, atendiendo al régimen legal aplicable y las modalidades de selección establecidas por la ley y enmarcada en el Manual Interno de Contratación y Gestión de Negocios de la Empresa, para ejecutar los planes de Inversión, Anual de Adquisiciones y Operación Comercial y dar cumplimiento a las metas y objetivos de la Empresa. </t>
  </si>
  <si>
    <t>Inicia con la definición de políticas, objetivos, lineamientos, parámetros y estrategias en materia de contratación de la Empresa, la consolidación del Plan de Contratación, desarrolla las etapas de estructuración, de selección y contratación, lineamientos de supervisión e interventoría y finaliza con la liquidación de los contratos y cierre de los expedientes contractuales, cuando aplique.</t>
  </si>
  <si>
    <t>Estructurar documentos técnicos preliminar es deficientes.</t>
  </si>
  <si>
    <t>Inadecuada planeación y desconocimiento de los lineamientos internos para llevar a cabo los trámites contractuales.</t>
  </si>
  <si>
    <t>Posibilidad de afectación reputacional por estructurar documentos técnicos preliminares deficientes debido a una inadecuada planeación y desconocimiento de los lineamientos internos para llevar a cabo los trámites contractuales.</t>
  </si>
  <si>
    <t>Estandarizar la lista de verificación de la etapa de estructuración.</t>
  </si>
  <si>
    <t>Enviar correo electrónico a las dependencias correspondientes (por evento cuando se presente).</t>
  </si>
  <si>
    <t>Dirigir, planear, organizar, supervisar, coordinar y controlar los procesos financieros, presupuestales, Contables, Tesorería, Cartera, Administración Financiera y de operación transaccional de las fiducias y encargos fiduciarios de la Empresa, así como, formular políticas orientadas a la mejor asignación y utilización de los recursos financieros de la Empresa para brindar información confiable y oportuna que contribuya a la toma de decisiones y sostenibilidad de la Empresa.</t>
  </si>
  <si>
    <t>Inicia con el diseño de los lineamientos orientados a la mejor asignación y utilización de los recursos financieros de forma que garantice el apalancamiento de las operaciones urbanas y prestación de servicios que se estructuren y finaliza con la ejecución, seguimiento y control de los recursos financieros.</t>
  </si>
  <si>
    <t>El Tesorero General cada vez que se realiza el cargue del archivo plano de pagos a terceros en el portal bancario por el profesional de la Tesorería, verifica que esté acorde a la orden de pago y sus documentos soporte, si no hay novedades se realiza la aprobación del pago, en caso de presentarse novedades con los soportes de pago se remite un correo electrónico al profesional de la Tesorería para su validación.</t>
  </si>
  <si>
    <t>Posibilidad de afectación reputacional debido a un dictamen adverso o con abstención de opinión por parte de la Revisoría Fiscal por el incumplimiento de las características cualitativas de la información financiera y aplicación de los principios de contabilidad pública que afecta la razonabilidad de las cifras en los estados financieros.</t>
  </si>
  <si>
    <t>Posibilidad de afectación económica debido al pago en exceso de las obligaciones adquiridas con terceros por el inadecuado proceso de cancelación de cuentas por pagar a proveedores.</t>
  </si>
  <si>
    <t>Julio</t>
  </si>
  <si>
    <t>Gestionar la selección, vinculación, desarrollo integral, administración y desvinculación del talento humano Renobo con el propósito de tener servidores íntegros y comprometidos con la misión, visión y objetivos institucionales.</t>
  </si>
  <si>
    <t>Inicia con el estudio y análisis de planta de personal para determinar las necesidades de la selección y vinculación del talento humano, continúa con la formulación del Plan Estratégico del Talento Humano, su ejecución y evaluación y finaliza con el retiro de los servidores públicos de la empresa.</t>
  </si>
  <si>
    <t>Baja participación en las actividades del PETH.</t>
  </si>
  <si>
    <t>Debilidad en la promoción y socialización de las actividades programadas.</t>
  </si>
  <si>
    <t>Posibilidad de afectación reputacional debido a la baja participación en las actividades del PETH por la debilidad en la promoción y socialización de éstas.</t>
  </si>
  <si>
    <t>Posterior a la programación de una actividad se envía correo electrónico y se realiza agendamiento general mensualmente, a los colaboradores de la empresa promoviendo las actividades programadas para el periodo.</t>
  </si>
  <si>
    <t xml:space="preserve">Trimestral </t>
  </si>
  <si>
    <t xml:space="preserve">Informar a la Dirección Administrativa y de TIC y proceder a formalizar el acto administrativo. </t>
  </si>
  <si>
    <t>Gestión Ambiental</t>
  </si>
  <si>
    <t>Fortalecer los hábitos de consumo sostenible y responsable de los recursos naturales, a través de la implementación del PIGA y PACA, con el fin de minimizar los impactos derivados de las actividades inherentes a la misionalidad de la Empresa y contribuir a la mitigación del Cambio Climático en Bogotá.</t>
  </si>
  <si>
    <t>Inicia con la identificación del objetivo general, concertación y ejecución para la vigencia actual del Plan Institucional de Gestión Ambiental PIGA y el Plan de Acción Cuatrienal Ambiental – PACA. Así como los objetivos de la sostenibilidad social y ambiental definida en proyectos de la empresa y finaliza con el mejoramiento continuo del desempeño ambiental de la Empresa.</t>
  </si>
  <si>
    <t>Incumplimiento de requisitos legales ambientales.</t>
  </si>
  <si>
    <t>Inobservancia de lineamientos, procedimientos y regulaciones ambientales internas por parte de los colaboradores y contratistas.</t>
  </si>
  <si>
    <t>Posibilidad de afectación económica y reputacional por incumplimiento de requisitos legales ambientales, debido a inobservancia de lineamientos, procedimientos y regulaciones ambientales internas por parte de los colaboradores y contratistas.</t>
  </si>
  <si>
    <t>Divulgación, capacitación y campañas del PIGA y sus programas para efectuar seguimiento a los programas.</t>
  </si>
  <si>
    <t>Realizar mesas de trabajo con las demás áreas, para incorporar los lineamientos del PACA dentro de los proyectos de inversión.</t>
  </si>
  <si>
    <t>Informar a la Secretaría Distrital de Ambiente.
Generar el ajuste al plan de acción.</t>
  </si>
  <si>
    <t>Gestión de Servicios Logísticos</t>
  </si>
  <si>
    <t>Administrar y gestionar el suministro de recursos físicos y servicios de apoyo administrativo para el cumplimiento de los objetivos misionales y el normal funcionamiento de los procesos de la Empresa.</t>
  </si>
  <si>
    <t>Inicia con la elaboración de la proyección del Presupuesto, Planes de Contratación y Adquisiciones, así como el manejo y control del inventario y termina con el seguimiento y ejecución de estos.</t>
  </si>
  <si>
    <t>Pérdida de los activos fijos de la Empresa</t>
  </si>
  <si>
    <t>No contar con los contratos que suministren bienes y servicios para la gestión y funcionamiento de la Empresa.</t>
  </si>
  <si>
    <t>Amiguismo Fenecimiento o recepción de dádivas, Incumplimiento del código de ética.</t>
  </si>
  <si>
    <t>Falta de controles, seguimientos de los mismos y no contar con la ubicación y el responsable de los activos fijos.</t>
  </si>
  <si>
    <t>Posibilidad de impacto económico y reputacional por la pérdida de los activos fijos de la Empresa por falta de controles, seguimientos de los mismos y no contar con la ubicación y el responsable de los activos fijos.</t>
  </si>
  <si>
    <t>Posibilidad de que, por acción u omisión, se use el poder para la destinación de Recursos Públicos de forma indebida en favor de un privado o tercero.</t>
  </si>
  <si>
    <t xml:space="preserve">Junio </t>
  </si>
  <si>
    <t>Hacer la reposición del bien a través de la compañía de seguros e informar a las instancias de Control Interno correspondientes.</t>
  </si>
  <si>
    <t>Informar al jefe del área, para tomar las medidas pertinentes con el fin de cubrir los bienes y servicios que no se encuentran en el Plan Anual de Adquisiciones.
Hacer efectivas las garantías contractuales especificadas en cada uno de los contratos.</t>
  </si>
  <si>
    <t>La Subgerencia de Gestión Corporativa envía comunicados a través del correo institucional socializando los principios y valores éticos (integridad), mínimo dos veces al año.</t>
  </si>
  <si>
    <t>Gestión Documental</t>
  </si>
  <si>
    <t xml:space="preserve">Inicia con la articulación de los instrumentos estratégicos y comprende la planeación, producción, recepción, trámite, organización y custodia, culminando con la disposición final de la documentación e información de la Empresa. </t>
  </si>
  <si>
    <t>Sustracción, alteración o inclusión de documentos en los expedientes documentales que se encuentran en custodia del proceso para beneficiar a terceros.</t>
  </si>
  <si>
    <t>Seguimiento inadecuado en los préstamos documentales y consultas en sala.</t>
  </si>
  <si>
    <t>Posibilidad de que, por acción u omisión, se use el poder para sustraer, incluir y/o adulterar documentos en los expedientes (misionales y de gestión) en beneficio de terceros.</t>
  </si>
  <si>
    <t>Previo a la entrega de un préstamo documental en físico, los colaboradores de Gestión Documental verifican el contenido y estado del expediente para asegurar su integralidad y validan que se cuente con el requerimiento por correo electrónico de la dependencia solicitante. Una vez validado todo, se realiza el préstamo documental diligenciando el formato FT-111 Registro Préstamo de Documentos. Tres días previos al vencimiento del préstamo, los colaboradores de Gestión Documental solicitan la devolución o renovación del mismo a través de correo electrónico. En caso de devolución del expediente, los colaboradores de Gestión Documental verifican el contenido y estado del expediente para asegurar su integralidad y en caso de encontrar inconsistencias se solicita al responsable subsanar las novedades para poder recibirlo.</t>
  </si>
  <si>
    <t xml:space="preserve">El Técnico de Gestión Documenta realiza capacitaciones a los colaboradores del proceso de Gestión Documental con respecto al cumplimiento del procedimiento de préstamo y consulta documental. </t>
  </si>
  <si>
    <t>Degradación y deterioro parcial o total de la información o su soporte.</t>
  </si>
  <si>
    <t>Incumplimiento de los lineamientos y acciones de conservación preventiva del acervo documental de la Empresa.</t>
  </si>
  <si>
    <t>Posibilidad de afectación reputacional por degradación y deterioro parcial o total de la información o su soporte, debido al incumplimiento de los lineamientos y acciones de conservación preventiva del acervo documental de la Empresa.</t>
  </si>
  <si>
    <t>La profesional de Conservación y Restauración de Bienes Muebles mensualmente monitorea y verifica el cumplimiento del Plan de Conservación Documental diligenciando los formatos establecidos tal fin, en caso de presentarse desviaciones en la ejecución del plan se toman las acciones de mitigación necesarias para cada componente de conservación.</t>
  </si>
  <si>
    <t>Socializar el Sistema Integrado de Conservación Documental.</t>
  </si>
  <si>
    <t>Realizar la intervención de la documentación afectada por el deterioro.</t>
  </si>
  <si>
    <t>El archivista del proceso de Gestión documental trimestralmente verifica que la producción documental de las dependencias se encuentre archivada en los expedientes electrónicos del SGDEA, resultado de esta verificación se elabora una comunicación oficial dirigida al jefe de la dependencia para que se tomen las acciones que correspondan.</t>
  </si>
  <si>
    <t>Socialización, implementación y seguimiento de los instrumentos archivísticos
* PINAR
* PGD
* TRD
* CCD
* Modelo de Requisitos
* Banco Terminológico</t>
  </si>
  <si>
    <t>Aplicación de los procedimientos de recuperación, conservación y seguridad de la información.</t>
  </si>
  <si>
    <t xml:space="preserve">Gestionar de manera integral las tecnologías de la información y las comunicaciones, para prestar servicios acordes a las necesidades de la empresa y formular lineamientos relacionados con estándares y buenas prácticas para el manejo de la información. </t>
  </si>
  <si>
    <t xml:space="preserve">Inicia con la identificación de necesidades TIC en la formulación del Plan Estratégico de Tecnologías de la Información - PETI y finaliza con la implementación de soluciones integrales para el mejoramiento continuo de la Empresa. Comprende la administración y soporte de hardware – software, liderar la función Central de Gobierno de Datos, la Política de Gobierno Digital y Seguridad de la Información. </t>
  </si>
  <si>
    <t>Atención y Relacionamiento con la Ciudadanía</t>
  </si>
  <si>
    <t xml:space="preserve">Liderar la implementación de las políticas y lineamientos relacionados con la atención a los ciudadanos para dar acceso oportuno, efectivo y de calidad a la oferta de bienes y servicios de la empresa. </t>
  </si>
  <si>
    <t xml:space="preserve">Inicia con la definición de las actividades a través de las cuales se ejecute la normatividad y lineamientos aplicables para la atención a los ciudadanos, incluye la formulación de las estrategias o lineamientos dispuestos en la Política Publica de Atención al ciudadano y las normas concordantes, la definición de los escenarios de relacionamiento y la interacción con los grupos de interés que la requieran dentro del proceso y finaliza con la presentación de informes seguimiento. </t>
  </si>
  <si>
    <t xml:space="preserve">Ser agente dinamizador del Sistema de Control Interno por medio de actividades en torno a los cinco (5) roles a cargo de la Oficina de Control Interno: Liderazgo estratégico, Enfoque hacia la prevención, Evaluación de la gestión del riesgo, Evaluación y seguimiento, Relación con entes externos de control, para fortalecer el autocontrol, la autorregulación y la autogestión de la Empresa, de conformidad con la normatividad vigente y contribuir con el cumplimiento de los objetivos y metas institucionales, a través de la evaluación y mejora de la eficacia de los procesos de gestión de riesgos, control y gobierno. </t>
  </si>
  <si>
    <t xml:space="preserve">Contribuir al fortalecimiento y protección de los principios de la función pública a través de la generación de actividades de prevención en materia disciplinaria, así como adelantar las actuaciones administrativas a los servidores y ex servidores públicos de la Empresa, cuando incurran en conductas que puedan constituir faltas disciplinarias de conformidad con lo establecido en la normatividad vigente. </t>
  </si>
  <si>
    <t xml:space="preserve">Inicia con el diseño de estrategias de prevención y socialización relacionadas con asuntos disciplinarios, contempla el análisis de las quejas o denuncias, o remisiones por competencia o informe de autoridad competente, la generación de las indagaciones previas y/o las investigaciones disciplinarias por acción u omisión, por el incumplimiento de deberes, extralimitación en el ejercicio de derechos y funciones, incurrir en prohibiciones y por la violación del régimen de inhabilidades, incompatibilidades, impedimentos y conflicto de intereses, así como por las infracciones a la Constitución, las leyes y manuales de funciones. </t>
  </si>
  <si>
    <t xml:space="preserve">Control Disciplinario Interno </t>
  </si>
  <si>
    <t>Debilidades en el debido control de los términos de prescripción que permita que se tomen las decisiones de fondo en los plazos establecidos.</t>
  </si>
  <si>
    <t>Informar en Comité Institucional de Gestión y Desempeño para trasladar al área que competa para que se busque alternativa para una nueva estructuración de la propuesta.</t>
  </si>
  <si>
    <t>Posibilidad de recibir dádivas o beneficios a nombre propio o de terceros para el incumplimiento en procesos financieros y la alteración de la información del registro de ingresos, liquidaciones y de cartera en el proceso de recaudo o de descuentos y deducciones en trámites de pago.</t>
  </si>
  <si>
    <t>Revisar y actualizar las políticas contables y catalogo de cuentas atendiendo las modificaciones del marco normativo aplicable a la empresa.</t>
  </si>
  <si>
    <t xml:space="preserve">Liderar la formulación, normalización e implementación de los instrumentos archivísticos, manuales, procedimientos y lineamientos que garanticen la autenticidad, integralidad, accesibilidad, conservación y preservación de la memoria documental de la Empresa. </t>
  </si>
  <si>
    <t>La Jefatura de la Oficina de Control Interno revisa, de acuerdo con el Plan Anual de Auditorías, los Planes de Trabajo de auditoría específicos, para asegurar que se incluyan los aspectos relevantes de la auditoría, a ser tenidos en cuenta para su ejecución, y posterior envió del Plan de Trabajo al líder del proceso a auditar, conforme al procedimiento PD-57 "Auditorías Internas SIG y de Evaluación Independiente". En caso de encontrar inconsistencias en el plan de trabajo se solicitará al auditor encargado corregir las desviaciones. La evidencia del control será el Plan de trabajo final ajustado y enviado al auditado.</t>
  </si>
  <si>
    <t>Falta de revisión detallada de los documentos que contienen las condiciones y requisitos exigidos para participar en los procesos de comercialización.</t>
  </si>
  <si>
    <t>Inclusión en los estudios previos o en la presentación de Adendas que modifican las condiciones generales del proceso de contratación, posiblemente por presiones internas o externa o por nepotismo.</t>
  </si>
  <si>
    <t>Realizar plan de mejoramiento en dado caso que se materialice el riesgo.</t>
  </si>
  <si>
    <t xml:space="preserve">Posibilidad de afectación económica o reputacional por hallazgos generados a raíz de informes de organismos externos, debido a la presentación fuera de términos y/o incompletas de las actividades asignadas por ley a la Oficina de Control Interno. </t>
  </si>
  <si>
    <t>Entrega inmediata y/o ejecución inmediata de la actividad pendiente. Cuando se trate de actividades incluidas en el PAA, cuya entrega no sea de ley, se analiza su posible modificación para ser presentado y aprobado en el CICCI.</t>
  </si>
  <si>
    <t>El profesional de apoyo a la supervisión verifica bimensualmente en visita técnica a la obra, según muestreo aleatorio, las cantidades de obra y las especificaciones técnicas ejecutadas en los proyectos. Se solicitan las revisiones y/o aclaraciones de inconsistencias a que haya lugar en las actas y/o informes correspondientes.</t>
  </si>
  <si>
    <r>
      <rPr>
        <b/>
        <sz val="10"/>
        <rFont val="Arial Narrow"/>
        <family val="2"/>
      </rPr>
      <t>RIESGO ASOCIADO A TRÁMITES:</t>
    </r>
    <r>
      <rPr>
        <sz val="10"/>
        <rFont val="Arial Narrow"/>
        <family val="2"/>
      </rPr>
      <t xml:space="preserve">
Posibilidad de aceptar o solicitar dádivas de los obligados para la realización del trámite "Cumplimiento de la obligación VIS-VIP mediante pago compensatorio".</t>
    </r>
  </si>
  <si>
    <t>Revisar que la información publicada del trámite "Cumplimiento de la obligación VIS-VIP mediante pago compensatorio” se encuentre actualizada en los portales, Guía de Trámites y Servicios y en el Sistema Único de Información y Trámites - SUIT. Adicionalmente, brindar asesorías a los obligados que lo soliciten informando que el trámite no tiene ningún costo.</t>
  </si>
  <si>
    <t>´- Desconocimiento en el tratamiento de la información sensible de la Renobo.
- Conflicto de intereses.</t>
  </si>
  <si>
    <t>Llevar a cabo las siguientes actividades:
- Modificaciones contractuales técnica, jurídica y financieramente soportadas.
- Acciones de apremio o procesos de incumplimiento.
- Activación de mecanismos de cobertura de los riesgos asegurados mediante pólizas.</t>
  </si>
  <si>
    <t>El profesional de Tesorería cada vez que se recepciona un pago verifica que los documentos requeridos para trámite y pago por los diferentes conceptos estén en el Sistema de Gestión Documental, en donde verifica:
- Que el valor y periodo a cobrar corresponda a lo establecido en el contrato o en el acto administrativo debidamente legalizado.
- El pago de aportes de parafiscales y documentos soportes de pago estén acorde con lo establecido por Ley.
- El Certificado de cumplimiento este acorde con la factura electrónica y/o documento de pago del proveedor y se encuentre en los tiempos estipulados, si el tramite de pago cumple con todos los requisitos establecidos continua el tramite de pago, en caso de presentarse inconsistencia se devuelve al tercero, (a través del sistema de información y se informa a través de correo electrónico).</t>
  </si>
  <si>
    <t>Debilidad en el debido control de los procesos y procedimientos.</t>
  </si>
  <si>
    <r>
      <t>Posibilidad de que por acción u omisión se favorezca a un tercero, con las condiciones o requisitos exigidos para su participación en los procesos de comercialización</t>
    </r>
    <r>
      <rPr>
        <sz val="10"/>
        <color rgb="FFFF0000"/>
        <rFont val="Arial Narrow"/>
        <family val="2"/>
      </rPr>
      <t>.</t>
    </r>
  </si>
  <si>
    <t xml:space="preserve">Los profesionales de la Dirección Técnica Comercial, verifican que siempre que se elaboren documentos para la comercialización de inmuebles a cargo del área; éstos incluyan los parámetros establecidos en el Manual de Contratación vigente y/o las políticas definidas por la Empresa para el negocio en particular, luego el o (la) Director(a) Técnico Comercial los revisa y aprueba como evidencia del control, en caso de requerir ajustes los realiza de manera conjunta con los profesionales de la Dirección y posterior al ajuste los remite a la Dirección Contractual para validación, visto bueno y publicación en SECOP o página Web para que puedan acceder a ellos los interesados. De llegarse a presentar observaciones o necesitar ajustes resultantes de los comentarios que emitan los interesados o gestión contractual, deberá repetirse nuevamente el proceso de revisión y aprobación. </t>
  </si>
  <si>
    <t>Socializar a los profesionales de la Dirección Técnica Comercial los parámetros establecidos en el Manual de Contratación vigente y/o las políticas definidas por la Empresa para los negocios.</t>
  </si>
  <si>
    <t>El (La) Director(a) y los profesionales de la Dirección Comercial encargados de apoyar la gestión de ofertas, cada vez que se recibe una solicitud de servicios o se identifica una posibilidad de negocio, realizan una revisión preliminar para determinar si enmarca en las líneas de negocios de la Empresa, si ésta cuenta con la facultad y capacidad de atenderla y si existe algún otro aspecto (como jurídico, financiero o técnico) que imposibilita su ejecución. Como resultado de la revisión se determina si se continúa con la estructuración de la propuesta o en caso contrario, se emite la correspondiente comunicación oficial con radicado, informando al interesado la imposibilidad de atender el servicio correspondiente.</t>
  </si>
  <si>
    <t xml:space="preserve">Revisar que las propuesta elaboradas incluyan en su presentación la línea de negocio o el servicio que se prestará, y que su contenido corresponda al remitido y avalado por cada una de las áreas que participaron en su construcción. </t>
  </si>
  <si>
    <t>El dependiente judicial del proceso de Gestión Jurídica verifica día de por medio (lunes, miércoles y viernes) que el estado de los procesos judiciales en la página oficial de la rama judicial corresponda con lo reportado en la Matriz de Seguimiento a las actuaciones y en el SIPROJ, en caso de encontrar inconsistencias se remite
correo electrónico al apoderado para que realice las actuaciones que correspondan.</t>
  </si>
  <si>
    <t>Aplicación del Procedimiento PD-40 Reconstrucción de Expedientes.
Informar a las instancias internas y externas de control que corresponda.</t>
  </si>
  <si>
    <t>Pérdida de información digital y/o electrónica.</t>
  </si>
  <si>
    <t>Incumplimiento de los lineamientos internos y uso de herramientas establecidos por el proceso de gestión documental.</t>
  </si>
  <si>
    <t>Posibilidad de afectación económica y reputacional por pérdida de información digital y/o electrónica debido al incumplimiento de los lineamientos internos y uso de herramientas establecidos por el proceso de gestión documental.</t>
  </si>
  <si>
    <t>El técnico líder asignado al CAD del proceso de Gestión Documental cada vez que recepciona documentación, verifica que los documentos que se entregan estén debidamente registrados en el formato FT-33 Formato Único de Inventario Documental y valida su correcto, como evidencia de la ejecución del control queda el formato firmado por la dependencia productora y por el líder técnico del CAD de Gestión Documental, en caso de presentarse errores en el diligenciamiento se remite un correo electrónico indicando las sugerencias de ajustes.</t>
  </si>
  <si>
    <t>Los colaboradores del Centro de Administración Documental validan con las tablas de retención documental vigentes, si la solicitud para crear los expedientes electrónicos cumple con todos los criterios, de ser así se crea el expediente, en caso de encontrar inconsistencias en la solicitud realizada, se remite un correo electrónico informando de la misma al área solicitante y solo se procede hasta cuando esté corregida.</t>
  </si>
  <si>
    <t>El profesional responsable del inventario ejecuta las actividades descritas en el procedimiento PD-59 Administración de Inventarios, por lo menos una (1) vez al año con el propósito de identificar, verificar, analizar y actualizar el inventario de los bienes de propiedad o administrados por la Empresa. En caso de presentarse novedades, se procede a ejecutar los procedimientos: PD-21 Baja de bienes servibles no utilizables y bienes inservibles y PD-22 Pérdida de Bienes.</t>
  </si>
  <si>
    <t>Posibilidad de afectación reputacional por no contar con los contratos que suministren bienes y servicios para el gestión y funcionamiento de la Empresa, por la falta de control y seguimiento oportuno al Plan de Adquisiciones.</t>
  </si>
  <si>
    <t>Falta de control y seguimiento oportuno al Plan de Adquisiciones.</t>
  </si>
  <si>
    <t>El profesional de recursos físicos mensualmente verifica que los procesos contractuales programados que se requieren conforme a las necesidades evidenciadas para el normal funcionamiento de la empresa se estructuren y contraten conforme a lo establecido en el Plan de Adquisiciones y Plan de Contratación del proceso, en caso de encontrar procesos que se requieren y no han iniciado el proceso contractual, se inicia inmediatamente, y en caso de encontrar procesos que ya no se requieren, se informa a la Dirección Financiera y Dirección de Contratación para modificar el Plan de Adquisiciones y Plan de Contratación, lo cual queda evidenciado en las nuevas versiones de los planes.</t>
  </si>
  <si>
    <t>Realizar seguimiento mensual al Plan de Adquisiciones y al Plan de Contratación del proceso, en el Comité de Autoevaluación, para tomar medidas preventivas.</t>
  </si>
  <si>
    <t>Posibilidad de que por acción u omisión, haya afectación reputacional por ocultamiento o manipulación de información por parte de quien desarrolla el trabajo de auditoría, para favorecimiento propio o de un tercero.</t>
  </si>
  <si>
    <t>Amiguismo.</t>
  </si>
  <si>
    <t>Garantizar la suscripción de los Acuerdos de confidencialidad - Carta de representación.</t>
  </si>
  <si>
    <t>Realizar una socialización del Estatuto de Auditoría y del Código de Ética del Auditor al equipo de auditores.</t>
  </si>
  <si>
    <t>Cada vez que aplique</t>
  </si>
  <si>
    <t>Analizar las causas que originaron el caso y rediseñar los controles operativos para prevenir la repetición de la situación detectada.
Informar a las instancias internas y externas de control que corresponda.</t>
  </si>
  <si>
    <t>Hallazgos generados a raíz de informes de organismos externos.</t>
  </si>
  <si>
    <t xml:space="preserve">Presentación fuera de términos y/o incompletas de las actividades asignadas por ley a la Oficina de Control Interno. </t>
  </si>
  <si>
    <t xml:space="preserve">La jefatura de la Oficina de Control Interno verifica periódicamente el cumplimiento de las actividades del Plan Anual de Auditoría y del Cuadro de Actividades y Requerimientos, a cargo de la oficina; como resultado se generan y se comunican las alertas correspondientes. En caso de encontrar un vencimiento próximo que se pueda reprogramar, se hace la solicitud correspondiente. Cuando se generan ajustes en las actividades programadas del PAA se presentan para aprobación y/o comunican en el marco del Comité Institucional de Control Interno, de ser necesario. Y luego el PAA final ajustado es socializado al grupo auditor de la OCI. </t>
  </si>
  <si>
    <t>La Jefatura de la Oficina de Control Interno en las reuniones de seguimiento y/o autoevaluación trimestral, requiere al Equipo de trabajo se informe el estado de cada una de las actividades asignadas, dejando registro dentro de la documentación correspondiente del análisis y los compromisos.</t>
  </si>
  <si>
    <t>Un miembro del equipo de la Oficina de Control Interno encargado de realizar el apoyo del seguimiento y control de las actividades y requerimientos a cargo, envía correo electrónico diario al Grupo de Trabajo de la OCI, indicando los vencimientos cuya respuesta se deben enviar en los plazos y fechas establecidas.</t>
  </si>
  <si>
    <t>Aprobaciones de productos o requerimientos asociados a los proyectos sin el cumplimiento de los requisitos técnicos, jurídicos o de procedimiento.</t>
  </si>
  <si>
    <t>Posibilidad de que por acción u omisión, se acepten o soliciten dádivas para aprobar productos o requerimientos asociados a los proyectos sin el cumplimiento de los requisitos técnicos, jurídicos o de procedimiento.</t>
  </si>
  <si>
    <t xml:space="preserve">Los profesionales de apoyo a la supervisión realizan seguimiento mensual a las Interventorías, mediante la revisión de los informes de Interventoría y acompañamiento en comités (actas) en las cuales se evidencia el estado del proyecto. Se realizan las solicitudes de revisión y/o aclaración de inconsistencias a que haya lugar en las actas y/o informes correspondientes. </t>
  </si>
  <si>
    <t>El profesional de apoyo a la supervisión verifica, cada vez que sesione el Comité de Compras y Contrataciones para la toma de decisiones relacionada con los proyectos, que las cotizaciones presentadas para decisiones del comité estén a valor de mercado. Se solicitan las revisiones y/o aclaraciones de inconsistencias a que haya lugar.</t>
  </si>
  <si>
    <t>El profesional de apoyo a la supervisión verifica mensualmente que las aprobaciones de compras coincidan con lo establecido en las actas de los comités y los cuadros comparativos correspondientes. Se solicitan las revisiones y/o aclaraciones de inconsistencias a que haya lugar.</t>
  </si>
  <si>
    <t>Posibilidad de afectación económica y reputacional por el incumplimiento en oportunidad y calidad en la entrega de los proyectos, debido a debilidad en la identificación, el seguimiento y control de riesgos de proyectos y la respuesta ante la materialización de los mismos.</t>
  </si>
  <si>
    <t xml:space="preserve">Los profesionales de la Dirección Técnica correspondiente verifican, cada vez que se efectúe la etapa precontractual para estudios y diseños o ejecución de obra, la correspondencia de la matriz de riesgos respectiva con los riesgos tipo y las características específicas contenidas en el Anexo Técnico y el modelo de ejecución del proyecto. Se realizan todos los ajustes y complementos necesarios a la matriz de riesgos, previo a la contratación. </t>
  </si>
  <si>
    <t>Los profesionales de la Dirección Técnica correspondiente verifican y validan mensualmente los informes y reportes de interventoría para monitorear la probabilidad de materialización de los riesgos del proyecto y determinar los riesgos materializados durante el período. Como resultado del control se implementa la metodología de acción ante riesgos con probabilidad de materialización, se realiza el reporte a la Oficina Asesora de Planeación sobre riesgos materializados y se adelantan las acciones preventivas y correctivas correspondientes.</t>
  </si>
  <si>
    <t>Los profesionales de la Dirección Técnica correspondiente identifican semanalmente los proyectos con desviaciones negativas en la ejecución menores a 0 % y hasta -5%, respecto de lo programado y se registra en el instrumento de seguimiento. En caso de encontrar desviaciones en la ejecución, los profesionales de la Dirección Técnica correspondiente definen la ruta para superar la desviación en el corto plazo y ejecutan seguimiento semanal.</t>
  </si>
  <si>
    <t xml:space="preserve">Los profesionales de la Dirección Técnica correspondiente identifican semanalmente los proyectos con desviaciones negativas en la ejecución menores a -5% y hasta -10% respecto de lo programado y se registra en el instrumento de seguimiento. En caso de encontrar desviaciones en la ejecución, los profesionales de la Dirección Técnica correspondiente formulan plan de contingencia y se hace seguimiento mensual desde Subgerencia. </t>
  </si>
  <si>
    <t xml:space="preserve">Los profesionales de la Dirección Técnica correspondiente identifican semanalmente los proyectos con desviaciones negativas en la ejecución menores a -10%) respecto de lo programado y se registra en el instrumento de seguimiento. En caso de encontrar desviaciones en la ejecución, los profesionales de la Dirección Técnica correspondiente requieren acompañamiento de la Oficina Jurídica y de la Dirección de Contratación, se da inicio los procesos de apremio y de incumplimiento a los que haya lugar. </t>
  </si>
  <si>
    <t>Posibilidad de afectación reputacional por inexistencia de valor agregado en el desarrollo del trabajo de auditoría por debilidades en la información utilizada para la elaboración del Plan Anual de Auditoría, la planificación del objetivo y/o alcance del trabajo de auditoría y/o las competencias del equipo auditor.</t>
  </si>
  <si>
    <t xml:space="preserve"> Inexistencia de valor agregado en el desarrollo del trabajo de auditoría.</t>
  </si>
  <si>
    <t>Información utilizada para la elaboración del Plan Anual de Auditoría, la planificación del objetivo y/o alcance del trabajo de auditoría y/o las competencias del equipo auditor.</t>
  </si>
  <si>
    <t xml:space="preserve">La Jefe de la Oficina de Control Interno revisa los informes preliminares antes de ser enviados a los líderes de los procesos y/o grupos de valor, con el propósito de asegurar su entrega con calidad y oportunidad. En caso de encontrar que el informe no genera valor, solicita mediante correo electrónico o a través de reunión, al profesional responsable los ajustes correspondientes. </t>
  </si>
  <si>
    <t xml:space="preserve">La Jefe de la Oficina de Control Interno y el profesional asignado, revisan cada vez que se requiera, los comentarios recibidos por parte de los líderes del proceso y/o grupos de valor al informe preliminar, para validar la pertinencia y/o ajuste al mismo. Una vez en firme, se realiza la reunión de cierre para la entrega del informe final. </t>
  </si>
  <si>
    <t xml:space="preserve">Se solicita al inicio de cada auditoria la firma de la Carta de Representación: Veracidad, Calidad y Oportunidad en la entrega de información presentada a la Oficina de Control Interno en el marco de la realización de auditorías de gestión. </t>
  </si>
  <si>
    <t>Realizar una capacitación sobre temas inherentes al Sistema de Control Interno por parte de la Oficina de Control Interno.</t>
  </si>
  <si>
    <t>Hacer un alcance al informe final de auditoría.</t>
  </si>
  <si>
    <t>Hacer retroalimentación al equipo auditor.</t>
  </si>
  <si>
    <t>Los profesionales de la Dirección de Contratación al inicio de cada vigencia y cada vez que se realicen modificaciones al Pla de Contratación verifican que lo establecido en el Plan corresponda con el Plan de Egresos, si se encuentran diferencias se devuelve al área generadora a través del Sistema Administrativo y Financiero y una vez ajustado se presenta al Comité de Contratación para su respectiva recomendación (acta comité de contratación) y aprobación por parte del ordenador del gasto.</t>
  </si>
  <si>
    <t>Los profesionales de la Dirección de Contratación cada vez que se lleve a cabo una contratación, verifican que el anexo técnico y la matriz de riesgos preliminar, el presupuesto y el estudio de precios de mercado sean consistentes con la necesidad definida y que cumpla con los lineamientos internos para llevar a cabo el trámite contractual; en caso de encontrar inconsistencias se realizan los ajustes de manera conjunta con el área generadora en donde además se hace la retroalimentación respectiva, lo cual queda evidenciado con la formalización de los estudios previos.</t>
  </si>
  <si>
    <t>continua</t>
  </si>
  <si>
    <t>La Jefe de la Oficina de Control Disciplinario Interno verifica el sentido del acto administrativo con fundamento en la documentación entregada y determina si la decisión es ajustada o no a derecho. En caso de encontrar inconsistencias implementa los correctivos correspondientes. La evidencia del control queda consignada en actas digitales que se archivan en el despacho.</t>
  </si>
  <si>
    <t>Cada vez que se evidencie que no hay unidad de criterio en un tema, la Jefe de la Oficina de Control Disciplinario Interno realiza reuniones donde se revisan los diferentes casos y se elabora un concepto resolviendo la controversia. La evidencia queda consignada en el archivo del despacho.</t>
  </si>
  <si>
    <t>Elaborar un informe para ser enviado al superior jerárquico o al ente de control competente, dependiendo de la naturaleza del cargo.
Informar a las instancias internas y externas de control que corresponda.</t>
  </si>
  <si>
    <t>Posibilidad de afectación reputacional por la materialización de la figura jurídica de la prescripción establecida en la ley, por debilidades en el debido control de los términos de prescripción que permita que se tomen las decisiones de fondo en los plazos establecidos.</t>
  </si>
  <si>
    <t>El profesional de Gestión Ambiental realiza la verificación mensual del cumplimiento a la ejecución de los Programas Ambientales del PIGA realizando un comparativo con la vigencia anterior, los resultados del seguimiento son presentados en el marco del Comité de Autoevaluación, en caso de presentarse desviaciones respecto a la ejecución de los programas se formulan acciones preventivas y correctivas correspondientes. Las decisiones tomadas quedan registradas en las actas del Comité y en los reportes trimestrales a la ejecución de los indicadores del proceso.</t>
  </si>
  <si>
    <t>Realizar el ajuste a la planeación establecida, actualizando metas y cronogramas para la vigencia y generar una estrategia de convocatoria.</t>
  </si>
  <si>
    <t>Incumplimiento los criterios de respuesta de las peticiones (oportunidad, claridad, calidez, coherencia y manejo del sistema).</t>
  </si>
  <si>
    <t>Posibilidad de afectación reputacional por respuestas a los ciudadanos que incumplen los criterios de respuesta de las peticiones (oportunidad, claridad, calidez, coherencia y manejo del sistema) debido a falta de conocimiento frente a la norma, la política y al manejo del sistema de PQRS.</t>
  </si>
  <si>
    <t>El líder del proceso de Atención al Ciudadano y Relacionamiento con la Ciudadanía, mensualmente valida el informe de seguimiento a la calidad de las respuestas remitido por la Alcaldía Mayor de Bogotá, y de acuerdo con lo reportado por esta entidad, a través de comunicación oficial da alcance a las áreas que presentaron incumplimiento para que éstas formulen el plan de mejoramiento correspondiente en el formato establecido por la Alcaldía. De otra parte, se realizan mesas de trabajo conjuntas con las áreas que presentaron incumplimiento para retroalimentar el criterio en el cual se presentó el incumplimiento.</t>
  </si>
  <si>
    <t>El líder del proceso de Atención al Ciudadano y Relacionamiento con la Ciudadanía, una vez al año analiza los resultados de la prueba de entendimiento aplicada a los colaboradores de la empresa para detectar deficiencias frente al conocimiento de los criterios de respuesta de las peticiones. Los resultados del análisis se socializan y se realiza una retroalimentación a toda la empresa a través de piezas de comunicación interna.</t>
  </si>
  <si>
    <t>Documentar el control.</t>
  </si>
  <si>
    <t>Único</t>
  </si>
  <si>
    <t>Agosto</t>
  </si>
  <si>
    <t>Ausencia de confidencialidad de la claves de acceso a funcionarios y contratistas.
Debilidad en la actualización del hardware y software de la empresa.</t>
  </si>
  <si>
    <t xml:space="preserve">Los profesionales del proceso de Gestión de TIC, realizan un monitoreo diario de la infraestructura de TI de la entidad, utilizando herramientas de monitoreo, protección y tableros de control, ingresando a la plataforma o revisando que no hayan enviado alertas de correo electrónico sobre fallos en los sistemas, una vez revisado se generan reportes mensuales los cuales son trasladados a los expedientes contractuales. El proveedor también realiza revisión de alertas e informa inmediatamente al profesional de sistemas si se encuentran alguna anormalidad. </t>
  </si>
  <si>
    <t>Baja participación en las actividades de Gestión Social y de Participación Ciudadana</t>
  </si>
  <si>
    <t>Posibilidad de afectación reputacional debido a la baja participación en las actividades de Gestión Social y de Participación Ciudadana por la debilidad en la promoción y socialización.</t>
  </si>
  <si>
    <t>El Jefe de la Oficina de Participación Ciudadana y Asuntos Sociales, junto con el equipo de trabajo, realizará la verificación mensual del cumplimiento a la ejecución de las diferentes estrategias de Gestión Social y de Participación Ciudadana, realizando un comparativo con el periodo anterior, en el marco del Comité de Autoevaluación y Seguimiento. En caso de presentarse desviaciones respecto a la ejecución, se formularán las acciones preventivas y correctivas correspondientes. Las decisiones tomadas quedarán registradas en las actas del Comité y en los reportes trimestrales de ejecución.</t>
  </si>
  <si>
    <t>Debilidad en la promoción y socialización de las convocatorias programadas y en la inclusión de los aportes recopilados en los diferente espacios.</t>
  </si>
  <si>
    <t>Posterior a la elaboración de la estrategia, se realizarán las respectivas convocatorias por los diferentes canales de la Entidad y mediante los medios establecidos por el Jefe de la OPCAS y el líder de cada proyecto, el cual verificará que se hayan realizado en el plazo establecido en el cronograma.</t>
  </si>
  <si>
    <t>En los casos en los que se pueda dar alcance mediante alguna acción correctiva al ciudadano, se realiza el seguimiento respectivo a dicha acción.</t>
  </si>
  <si>
    <t>Sanción del ente regulador.</t>
  </si>
  <si>
    <t xml:space="preserve">
 Aplicación del incremento salarial de los trabajadores oficiales sin contar con el acto administrativo correspondiente.</t>
  </si>
  <si>
    <t>Posibilidad de afectación económica y reputacional por sanción del ente regulador debido a que se aplique aumento salarial a los trabajadores oficiales sin contar con el acto administrativo correspondiente.</t>
  </si>
  <si>
    <t>La Alta Dirección emite anualmente un acto administrativo (Resolución) en donde se especifica la escala salarial de los Trabajadores Oficiales. El profesional de nómina remite dicho acto administrativo al DASCD para que se realice la actualización de la información en el SIDEAP. Cuando se detectan desviaciones que no sean atendidas por el proceso la alta dirección determina las medidas a tomar.</t>
  </si>
  <si>
    <t>Anualmente, se realiza el cálculo del incremento salarial mediante el Sistema Administrativo y Financiero de la Empresa y se corrobora con la información que reposa en el SIDEAP, previo al pago de la nómina del mes de enero de cada vigencia.</t>
  </si>
  <si>
    <t>Dictamen adverso o con abstención de opinión por parte de la Revisoría Fiscal.</t>
  </si>
  <si>
    <t>Incumplimiento de las características cualitativas de la información financiera y aplicación de los principios de contabilidad pública que afecta la razonabilidad de las cifras en los estados financieros.</t>
  </si>
  <si>
    <t>Inadecuada aplicación normativa para la liquidación de retenciones en la fuente a practicar a proveedores.</t>
  </si>
  <si>
    <t>Posibilidad de afectación económica y reputacional debido a la inadecuada aplicación normativa para la liquidación de retenciones en la fuente a practicar a proveedores por debilidad en el debido control de los procesos y procedimientos.</t>
  </si>
  <si>
    <t>Las presentaciones y pagos de retenciones ante la DIAN son firmadas y certificadas por la revisoría fiscal.</t>
  </si>
  <si>
    <t>Pago en exceso de las obligaciones adquiridas con terceros.</t>
  </si>
  <si>
    <t>Inadecuado proceso de cancelación de cuentas por pagar a proveedores.</t>
  </si>
  <si>
    <t>Se actualizarán los procedimientos asociados al proceso de pagos de tesorería para que se implemente un control dual entre contabilidad y el tesorero previo al cierre de las cuentas por pagar.</t>
  </si>
  <si>
    <t>Creación de formato de matriz de control de pagos validado por el profesional en Contabilidad y el profesional en Tesorería.</t>
  </si>
  <si>
    <t xml:space="preserve">La profesional de apoyo al PETH mensualmente verifica que las actividades previstas para el siguiente periodo y las socializa mediante correo electrónico con líderes operativos para fortalecer la promoción y conocimiento de actividades a ejecutar, como evidencia queda el correo electrónico enviado. Así se garantiza que la información se divulgue a través de los líderes a los servidores y se tenga un compromiso adicional para confirmar la asistencia. Cuando se detectan desviaciones, se envía correo a los jefes de cada una de las áreas. </t>
  </si>
  <si>
    <t xml:space="preserve">Se maneja doble revisión como punto de control para los pagos. Inicialmente el profesional de Tesorería realiza el cargue del proceso de pago en el portal bancario con su token y contraseña asignada, posteriormente, el profesional contratista de la Dirección Financiera revisa la coincidencia del cargue del valor del pago con los soportes del sistema de información contable y da aval por correo electrónico antes de que se proceda a la última autorización de pago por parte del Director Financiero. </t>
  </si>
  <si>
    <t xml:space="preserve">Con el fin de consolidar los estados financieros de la vigencia de manera razonable, se preparan mensualmente estados financieros intermedios los cuales son validados y firmados por la revisoría fiscal, el Contador y el Gerente para la publicación en página web de la empresa. En el marco de esa revisión se tienen conciliaciones para todas las categorías contables y con las áreas internas y externas con un proceso debidamente documentado en las políticas contables de la empresa. </t>
  </si>
  <si>
    <t xml:space="preserve"> Vulnerabilidad de los sistemas de información.</t>
  </si>
  <si>
    <t>Posibilidad de afectación reputacional por la vulnerabilidad de los sistemas de información, debido a la debilidad en la actualización del hardware, software y claves de confidencialidad de acceso a funcionarios y contratistas.</t>
  </si>
  <si>
    <t>El profesional encargado del directorio activo generará un mensaje de advertencia que su contraseña va a caducar para que el usuario realice el cambio de la contraseña.</t>
  </si>
  <si>
    <t>El profesional del proceso de gestión de TIC mensualmente realizará actualizaciones de los servidores instalando update de seguridad en el software, sistemas operativos para minimizar las brechas de vulnerabilidades.</t>
  </si>
  <si>
    <t>Equipos obsoletos que no soportan eficientemente el software adquirido.</t>
  </si>
  <si>
    <t>Posibilidad de afectación reputacional por indisponibilidad de los servicios o infraestructura de TI debido a cortes de redes eléctricas, de datos, voz e Internet imprevistos por tiempos prolongados y equipos obsoletos que no soportan eficientemente el software adquirido.</t>
  </si>
  <si>
    <t xml:space="preserve">El profesional en cargado de TIC en el tema de redes de internet deberá asegurar la disponibilidad de los servicios con los proveedores de forma mensual con informes de indisponibilidad del servicio. </t>
  </si>
  <si>
    <t>Tener una infraestructura (Conjunto de medios técnicos, servicios e instalaciones necesarios para el desarrollo de una actividad o para que un lugar pueda ser utilizado.) de protección y contingencia desactualizada.
Pérdida de la información institucional.</t>
  </si>
  <si>
    <t>Debilidades en el proceso de realizar copias de seguridad.</t>
  </si>
  <si>
    <t>Posibilidad de afectación reputacional por pérdida de información institucional debido a una infraestructura de protección y contingencia desactualizada, junto con deficiencias en el proceso de realizar copias de seguridad.</t>
  </si>
  <si>
    <t>Verificar diariamente en los repositorios que los backups se realicen de la forma adecuada.</t>
  </si>
  <si>
    <t>Realizar mantenimiento correctivo.</t>
  </si>
  <si>
    <t>Solicitar una copia de seguridad de la fecha anterior más reciente del día de materialización del evento.</t>
  </si>
  <si>
    <t>Mapa Riesgos Institucional Empresa de Renovación y Desarrollo Urbano de Bogotá - 2024</t>
  </si>
  <si>
    <t>El profesional financiero del proceso de Gestión Predial verifica que la liquidación de la obligación VIS- VIP corresponda con los valores certificados por la Curaduría cada vez que se reciba un trámite, lo cual queda registrado en el anexo de la resolución de la liquidación (FT-244 Liquidación Obligación VIS – VIP y FT-245 Descripción de la aplicación de la fórmula). En caso de encontrar algún error en la aplicación de la formula se devuelve al profesional técnico de Gestión Predial para realizar los ajustes correspondientes. Una vez se han realizado las validaciones se traslada para revisión y aprobación del Director (a) Técnico (a) de Gestión Predial, y revisión y firma del Subgerente (a) de Planeamiento y Estructuración del acto administrativo por medio del cual se adopta.</t>
  </si>
  <si>
    <t>Informar a las instancias internas  de control que corresponda, revocar el acto administrativo y expedir nuevamente la liquidación en debida forma.</t>
  </si>
  <si>
    <t>Incumplimiento de los requisitos establecidos en la norma.</t>
  </si>
  <si>
    <t>Posibilidad de afectación reputacional ante una eventual sentencia en contra de la Empresa, en virtud de una demanda interpuesta por parte de los propietarios de los predios adquiridos, por el incumplimiento de los requisitos establecidos en la norma.</t>
  </si>
  <si>
    <t>Eventual sentencia en contra de la Empresa, en virtud de una demanda interpuesta por parte de los propietarios de los predios adquiridos.</t>
  </si>
  <si>
    <t>Los profesionales de la Dirección Técnica de Gestión Predial se encargan de la revisión de los aspectos técnicos y jurídicos de los predios, de manera preliminar y durante la adquisición predial.
Los profesionales designados como líderes o coordinadores revisan los documentos y actos administrativos que se generan durante el proceso de adquisición, solicitando los ajustes y/o correcciones a que haya lugar.
Una vez se han realizado las validaciones se traslada para revisión y aprobación del Director (a) Técnico (a) de Gestión Predial y firma del (a) Subgerente de Planeamiento y Estructuración.</t>
  </si>
  <si>
    <t>Informar a las instancias  internas la materialización del riesgo y  modificar o dar alcance al  acto administrativo.</t>
  </si>
  <si>
    <t xml:space="preserve">El profesional  de la OAP encargado de la documentación del SIG, cada vez que se actualiza un documento de un proceso misional, informa mediante correo electrónico  al profesional OAP que lidera el mapa de conocimiento, para que realice el análisis del tipo de cambio y en caso de ser necesario, convoque una sesión de trabajo con el Líder Operativo del proceso para aclarar dicho cambio y evaluar su impacto en el Mapa de Conocimiento. 
En caso de  que no se atienda a la convocatoria de la mesa de trabajo, se genera una reprogramación  para garantizar la evaluación de la  necesidad de actualización del conocimiento explícito. Como resultado de esta actividad queda la actualización del Mapa de Conocimiento (cuando aplique). </t>
  </si>
  <si>
    <t xml:space="preserve">Hacer seguimiento al plan de trabajo de la  actualización del Mapa de Conocimiento Institucional. </t>
  </si>
  <si>
    <t>Fecha:</t>
  </si>
  <si>
    <t>Junio 20 de 2024</t>
  </si>
  <si>
    <t xml:space="preserve">Versión: </t>
  </si>
  <si>
    <t>Cambios realizados:</t>
  </si>
  <si>
    <t>Ajuste en los riesgos y controles del proceso Gestión Predial, e inclusión del control del riesgo asociado al proceso Gestión del Conocimiento y la Innovación, así como ajuste en las acciones de tratamiento.</t>
  </si>
  <si>
    <t>La jefe de la Oficina Asesora de Planeación y su equipo de trabajo, de acuerdo con la periodicidad definida para el seguimiento del Plan de Acción Institucional, revisan la información enviada por los responsables definidos, verificando que la información esté completa, sea clara, consistente y coherente frente a lo programado, con el fin de consolidar y presentar los informes correspondientes para la toma de decisiones de la alta dirección, en caso de presentarse inconsistencias se reitera el requerimiento y de ser necesario se realiza acompañamiento en el reporte para contar con la información veraz y oportuna. Cuando se detecten desviaciones que no sean atendidas por el proceso, la alta dirección determina las medidas a tomar, lo cual queda consignado en las actas del Comité Institucional de Gestión y Desempeño.</t>
  </si>
  <si>
    <t>Posibilidad de afectación reputacional por toma de decisiones estratégicas inadecuadas debido al uso de información con datos erróneos o entrega de información posterior a la fecha definida inicialmente.</t>
  </si>
  <si>
    <t>Uso de información con datos erróneos o entrega de información posterior a la fecha definida inicialmente.</t>
  </si>
  <si>
    <t>Enero 30 de 2024</t>
  </si>
  <si>
    <t>Versión inicial.</t>
  </si>
  <si>
    <t>Septiembre 20 de 2024</t>
  </si>
  <si>
    <t>Actualización del Mapa de Riesgos Institucional, dado el ajuste al mapa de procesos.</t>
  </si>
  <si>
    <t>Revisar los documentos y actos administrativos que se generan con ocasión del proceso de adquisición predial, previo a su expedición, con el fin de verificar que no existan inconsistencias, o, de ser el caso, tramitar las correcciones, modificaciones o alcances que sean necesarios.</t>
  </si>
  <si>
    <t>La Dirección Administrativa y de Tic envía comunicados a través del correo institucional recordando los lineamientos establecidos para un adecuado uso de los elementos asignados, mínimo dos veces al año.</t>
  </si>
  <si>
    <t xml:space="preserve">Proferir auto de archivo que declara la prescripción por extinción de la acción disciplinaria. </t>
  </si>
  <si>
    <t>Ajustes a los riesgos, controles y acciones de tratamiento del proceso Direccionamiento y Planeación Institucional y del control y acción de contingencia del proceso Control Disciplinario Interno.</t>
  </si>
  <si>
    <t>Octubre 8 de 2024</t>
  </si>
  <si>
    <t>Posibilidad de afectación reputacional por falta de oportunidad en la entrega de los resultados de trabajos de auditorias, debido a factores internos y externos.</t>
  </si>
  <si>
    <t>Falta de oportunidad en la entrega de los resultados de trabajos de auditorias.</t>
  </si>
  <si>
    <t>Factores internos y externos.</t>
  </si>
  <si>
    <t>Noviembre 8 de 2024</t>
  </si>
  <si>
    <t>Inclusión de un nuevo riesgo para el proceso de Evaluación y Seguimiento.</t>
  </si>
  <si>
    <t>Seguimiento Controles</t>
  </si>
  <si>
    <t>Seguimiento Acciones de Tratamiento</t>
  </si>
  <si>
    <t>¿Se materializo el riesgo?</t>
  </si>
  <si>
    <t>Seguimiento Acciones de Contingencia</t>
  </si>
  <si>
    <t xml:space="preserve">Observaciones </t>
  </si>
  <si>
    <t>Describa las actividades desarrolladas para dar cumplimiento a los controles establecidos</t>
  </si>
  <si>
    <t>Enuncie las evidencias que soportan el seguimiento del control y anéxelas en la carpeta compartida destinada para ello (si son de carácter reservado, no es necesario anexarlas)</t>
  </si>
  <si>
    <t>% de Cumplimiento</t>
  </si>
  <si>
    <t>Describa las actividades desarrolladas para dar cumplimiento a las acciones de tratamiento establecidas</t>
  </si>
  <si>
    <t>Relacione las evidencias que soportan el seguimiento de las acciones de tratamiento y anéxelas en la carpeta compartida destinada para ello (si son de carácter reservado, no es necesario anexarla)</t>
  </si>
  <si>
    <t>Si</t>
  </si>
  <si>
    <t>No</t>
  </si>
  <si>
    <t xml:space="preserve">En caso de materialización describa cómo se materializó </t>
  </si>
  <si>
    <t>Describa las actividades desarrolladas para dar cumplimiento a las acciones de contingencia en los casos que se materializo el riesgo</t>
  </si>
  <si>
    <t>Relacione las evidencias que soportan el seguimiento de las acciones de contingencia y anéxelas en la carpeta compartida destinada para ello (si son de carácter reservado, no es necesario anexarlas)</t>
  </si>
  <si>
    <t>Seguimiento Tercer Cuatrimestre 2024</t>
  </si>
  <si>
    <t>En periodo evaluado se realizo ajuste y comunicación del cronograma a las siguientes auditorias:
-Plan Estratégico de Tecnologías de la Información y las Comunicaciones ­ PETI - Plan de Tratamiento de Riesgos de Seguridad y Privacidad de la Información - Plan de Seguridad y Privacidad de la Información
-Plan Institucional de Archivos de la Entidad PINAR - Plan Estratégico de Talento Humano - Plan de Trabajo Anual en Seguridad y Salud en el Trabajo - Sistema de Gestión de Seguridad y Salud en el Trabajo</t>
  </si>
  <si>
    <t>X</t>
  </si>
  <si>
    <t>Se ajustaron los Planes de trabajo de las auditorias por solicitud de los auditados</t>
  </si>
  <si>
    <t>No aplica.</t>
  </si>
  <si>
    <t>N.A.</t>
  </si>
  <si>
    <t>Socialización Estatuto de   Auditoría y del Código de Ética del Auditor al equipo de auditor, los Auditorias de la OCI firmaron el Compromiso código Ético del Auditor</t>
  </si>
  <si>
    <t>Correo Electrónico Agosto 15 de 2024
Cartas Compromisos Éticos Auditoría Interna firmada por los auditores de la OCI</t>
  </si>
  <si>
    <t>Correos Electrónicos de vencimiento de términos - Excel seguimiento requerimientos y tareas</t>
  </si>
  <si>
    <t xml:space="preserve">Correos Institucionales de los profesionales responsable del envió cuadro de vencimientos
Cuadro general requerimientos y tareas.
</t>
  </si>
  <si>
    <t>Informes Preliminares Revisados por la Jefe de la Oficina de control Interno</t>
  </si>
  <si>
    <t>Informes Preliminares Revisados por la Jefe de la Oficina de control Interno y descargos de los procesos</t>
  </si>
  <si>
    <t>Planes de trabajo de las auditorias ajustados por solicitud de los auditados</t>
  </si>
  <si>
    <t xml:space="preserve">Plan Anual de Auditoria
Planes de trabajo Auditorias:
-Auditoria proyecto misional 2 (Actuaciones Estratégicas)
-Auditoria proceso Talento Humano- Nómina
-Auditoria de Gestión Contractual
</t>
  </si>
  <si>
    <t>Planes de trabajo Auditorias:
-Auditoria proyecto misional 2 (Actuaciones Estratégicas)
-Auditoria proceso Talento Humano- Nómina
-Auditoria de Gestión Contractual</t>
  </si>
  <si>
    <t>El procesos cuenta con los Acuerdos confidencialidad y cartas de Representación de las siguientes Auditorias:
-Auditoria proyecto misional 2 (Actuaciones Estratégicas)
-Auditoria proceso Talento Humano- Nómina
-Auditoria de Gestión Contractual</t>
  </si>
  <si>
    <t>los Acuerdos confidencialidad y cartas de Representación firmados por los auditores y los auditados de las auditorias:
-Auditoria proyecto misional 2 (Actuaciones Estratégicas)
-Auditoria proceso Talento Humano- Nómina
-Auditoria de Gestión Contractual</t>
  </si>
  <si>
    <t xml:space="preserve">PAA V5 Acta No. 05 Comité CICCI del 5 de octubre de 2024
PAA V6 Acta No. 06 Comité CICCI del 17 de enero de 2024
Seguimiento Plan Anual de Auditoria corte Diciembre 2024
Cuadro de Actividades y requerimientos </t>
  </si>
  <si>
    <t>Reuniones de autoevaluación donde se realizaron seguimiento a las tareas</t>
  </si>
  <si>
    <t>Se realizaron las siguientes reuniones de autoevaluación donde se realizaron seguimiento a las tareas:
Acta 5 del 29 de Agosto de 2024
Acta 6 del 30 de Octubre de 2024
Acta 7 del 24 de Diciembre de 2024</t>
  </si>
  <si>
    <t>Informes finales  Auditorias:
-Auditoria proyecto misional 2 (Actuaciones Estratégicas)
-Auditoria proceso Talento Humano- Nómina
-Auditoria de Gestión Contractual</t>
  </si>
  <si>
    <t>Carta de Representación: Veracidad, Calidad y Oportunidad en la entrega de información presentada a la Oficina de Control Interno de las siguientes auditorias:
-Auditoria proyecto misional 2 (Actuaciones Estratégicas)
-Auditoria proceso Talento Humano- Nómina
-Auditoria de Gestión Contractual</t>
  </si>
  <si>
    <t>Se realizo socialización de Código de Ética del Auditor y de los procedimientos PD-55 Relación con Entes de Control; PD 57 Auditorias Internas de Evaluación Independiente V10</t>
  </si>
  <si>
    <t xml:space="preserve">Código de Ética del Auditor y de los procedimientos PD-55 Relación con Entes de Control; PD 57 Auditorias Internas de Evaluación Independiente V10
</t>
  </si>
  <si>
    <t>En desarrollo de las auditorias Plan Estratégico de Tecnologías de la Información y las Comunicaciones ­ PETI - Plan de Tratamiento de Riesgos de Seguridad y Privacidad de la Información - Plan de Seguridad y Privacidad de la Información
Plan Institucional de Archivos de la Entidad PINAR - Plan Estratégico de Talento Humano - Plan de Trabajo Anual en Seguridad y Salud en el Trabajo - Sistema de Gestión de Seguridad y Salud en el Trabajo se presentaron los siguientes aspectos que provocaron la reprogramación del cronograma de las auditorias:
Cambio de personal de planta auditado, así como el apoyo de contrato del área de Talento
Humano; lo anterior se subsano por parte del proceso delegando los reemplazos
necesarios y entregando la información que se encontraba pendiente.
• Retiro de un auditor que estaba asignado a este trabajo.
• Interrupción del servicio de internet para consultas de documentos en las plataformas
oficiales.</t>
  </si>
  <si>
    <t xml:space="preserve">Correos instruccionales de los Planes de Trabajo Ajustados por solicitud del auditado
Informes Finales de Auditoria </t>
  </si>
  <si>
    <t>Los auditores Lideres remitieron correo institucional a la OCI, informando la materialización del Riesgo.</t>
  </si>
  <si>
    <t>No aplica</t>
  </si>
  <si>
    <t>\\192.168.10.203\Institucional\OGS\0 OFICINA DE GESTION SOCIAL 2024\ATENCION AL CIUDADANO\Seguimiento a la calidad de las respuestas\Octubre</t>
  </si>
  <si>
    <t>Se realizó una jornada de inducción y reinducción corporativa, en la cual se realizó la presentación del proceso de atención y relacionamiento con la ciudadanía durante el trimestre.</t>
  </si>
  <si>
    <t>Formato de evaluación post jornada de inducción y reinducción Corporativa \\192.168.10.203\ogs\0 OFICINA DE GESTION SOCIAL 2024\ATENCION AL CIUDADANO\Capacitación\Inducción</t>
  </si>
  <si>
    <t xml:space="preserve">Se aplicó la prueba de entendimiento acerca de temas relacionados con derecho de petición y servicio a la ciudadanía. </t>
  </si>
  <si>
    <t>\\192.168.10.203\Institucional\OGS\0 OFICINA DE GESTION SOCIAL 2024\ATENCION AL CIUDADANO\Prueba de entendimiento</t>
  </si>
  <si>
    <t>http://10.115.245.74/sites/default/files/documentos/GI-04_Protoc_Atenc_Ciudad_V6.pdf</t>
  </si>
  <si>
    <t xml:space="preserve">Excel con la relación de actividades de la OARC
</t>
  </si>
  <si>
    <t>Durante los meses de Septiembre y Diciembre de 2024 se recordó la divulgación realizada en el primer cuatrimestre con la campaña interna, del procedimiento para las solicitudes de comunicaciones, a través del formato FT10.</t>
  </si>
  <si>
    <t>La evidencia se carga en la siguiente dirección: \\192.168.10.203\Institucional\Seg_Riesgos_ERU</t>
  </si>
  <si>
    <t>Los profesionales de la DTEP realizaron las revisiones de la información suministrado por las diferentes áreas y sostuvieron reuniones para los casos en los que la información no se encontró acorde con el proyecto a estructurar, también se mantiene reuniones de seguimiento semanales al interior de la dirección en donde se realiza el sondeo de temas pendientes basado en el tablero de control implementado de manera interna.</t>
  </si>
  <si>
    <t>Citaciones a  las reuniones semanales adelantadas por el equipo.
Base de datos actualizada en cada una de las reuniones.
Tablero de control de la DTEP</t>
  </si>
  <si>
    <t>Se realiza la actualización del procedimiento PD-75 Modelaciones Financieras, llevándola a la realidad actual de la dirección, dicho procedimiento fue firmado el 26 de septiembre de 2024 y publicado en el sistema integral de gestión de calidad de la empresa.</t>
  </si>
  <si>
    <t>El profesional financiero del proceso de Gestión Predial verificó las liquidaciones de la obligación VIS- VIP correspondiente a los valores certificados por la curaduría de las solicitudes realizadas del 1 de septiembre  31 de diciembre de 2024.</t>
  </si>
  <si>
    <t>Anexos de la resolución de la liquidación (FT-244 Liquidación Obligación VIS – VIP y FT-245 Descripción de la aplicación de la fórmula</t>
  </si>
  <si>
    <t>Para los meses de septiembre a diciembre de 2024 , se realizaron nueve (9) asesorías virtuales para entregar información acerca del trámite  "Cumplimiento de la obligación VIS-VIP a través de pago compensatorio",  se informa que  no tiene ningún costo y se deja registro en G-Meet.</t>
  </si>
  <si>
    <t>Calendario G-Meet - Información sobre las atenciones virtuales realizadas.</t>
  </si>
  <si>
    <t xml:space="preserve">Previo a la expedición y legalización de las ofertas de compra, promesas de compra venta y escrituras públicas  se realizó la verificación por parte de los profesionales del cumplimiento de los requisitos legales y formales establecidos en el PD-23  adquisición </t>
  </si>
  <si>
    <t>1. Ofertas de compra
2. Escrituras Publica de compra venta
Donde se evidencia los vistos de aprobación de cada profesional</t>
  </si>
  <si>
    <t>Se realizó la revisión de los actos administrativos expedidos, con el fin de verificar que no existieran inconsistencias.</t>
  </si>
  <si>
    <t>1. Ofertas de compra
2. Escrituras Publica de compra venta</t>
  </si>
  <si>
    <t>- Actas Comité Nos. 6, 7 y 8 firmadas
Actas Comités No. 9 al 11 en proceso de revisión y firma por parte de los miembros</t>
  </si>
  <si>
    <t>En el mes de diciembre se iniciaron las actividades de alineación y capacitación sobre las hojas de ruta y flujo de actividades, con el fin de establecer una base estratégica para la asignación de roles y responsabilidades en la gestión de las diferentes tipologías de proyectos de la empresa. Estas actividades han incluido sesiones de capacitación y concertación con la Gerencia General, la Subgerencia de Planeamiento y Estructuración y la Oficina de Participación Ciudadana y Asuntos Sociales.</t>
  </si>
  <si>
    <t>- Agendas, propuesta de hojas de ruta y observaciones enviadas por las áreas</t>
  </si>
  <si>
    <t>- Herramienta JSP7 actualizada.
- Plan de Acción Institucional y su seguimiento disponible en Página web sección Transparencia - Planeación, presupuesto e informes - 4.3 Plan de Acción
- Correos enviando links de visores Power BI
- Visores disponibles en: https://app.powerbi.com/view?r=eyJrIjoiYjRlMjc3ZmMtZDkzNS00ODA4LWEwYTItZTRiNTQxOGUwNjc3Iiwi
dCI6ImYyOTYxNmEyLWU5YzItNGI0Ny04ZjQ5LTMzOTkxMGRiNzRkMyJ9</t>
  </si>
  <si>
    <t>La Oficina Asesora de Planeación realizó la presentación del cronograma de actividades y reportes en el marco de la mesa de líderes operativos del mes de octubre, en este documento se relacionan reportes internos y externos, los campos que lo integran incluyen el tipo de actividad o reporte, el responsable y la periodicidad de seguimiento así mismo tiene una agrupación de actividades por componentes del SIG-MIPG; complementario a la socialización de la mesa de líderes se envió el cronograma a través de correo electrónico a todos los Líderes de la mesa.
Es necesario precisar que la OAP adicional a la socialización antes mencionada y previo a la generación de los periodos de reporte incluye en las mesas de líderes operativos como punto de estas las alertas de los reportes que aplicarán para cada periodo.</t>
  </si>
  <si>
    <t>- Cronograma de reportes
- Correo electrónico enviando el cronograma
- Presentaciones "Sesión 11-2024 Líderes Operativos" y "Sesión 9-2024 Líderes Operativos" utilizadas en mesa con líderes operativos disponibles en la intranet</t>
  </si>
  <si>
    <t>- Invitaciones de las mesas de trabajo.
- Correos electrónicos de actualización documental
- Mapa de Conocimiento Institucional en la Intranet</t>
  </si>
  <si>
    <t>De acuerdo con el plan de trabajo establecido para actualización del Mapa de Conocimiento Institucional 2024, se cumplió con el 100% de las actividades programadas.</t>
  </si>
  <si>
    <t>- Plan de trabajo establecido para actualización del Mapa de Conocimiento Institucional 2024
- Mapa de Conocimiento Institucional en la Intranet</t>
  </si>
  <si>
    <t xml:space="preserve">Las evidencias se encuentra en la matriz de procesos judiciales </t>
  </si>
  <si>
    <t xml:space="preserve">La Dependiente Judicial revisa tres veces por semana la página de procesos judiciales con la finalidad de alertar a los apoderados de los vencimientos dentro de las actuaciones judiciales </t>
  </si>
  <si>
    <t xml:space="preserve">El dependiente judicial y  los apoderados han realizado un seguimiento constante a sus procesos judiciales y las actuaciones se han incorporado en la matriz de seguimiento de los procesos judiciales </t>
  </si>
  <si>
    <r>
      <rPr>
        <sz val="10"/>
        <color theme="1"/>
        <rFont val="Arial Narrow"/>
        <family val="2"/>
      </rPr>
      <t xml:space="preserve">En el mes de noviembre de 2024 se publicó el proceso para "Entregar en arrendamiento el área de terreno que compone el predio denominado La Estación identificado con Folio de Matrícula 50C-00483943 y CHIP AAA0086PHFT ubicado en el barrio San Felipe, localidad de Barrios Unidos en Bogotá D.C.; en la página WEB de la Empresa el Banner Principal con el título : Proceso para la revitalización del Parque La Estación y en SECOP II bajo el número RENOBO-IP-07-2024 " </t>
    </r>
    <r>
      <rPr>
        <b/>
        <i/>
        <sz val="10"/>
        <color rgb="FF0070C0"/>
        <rFont val="Arial Narrow"/>
        <family val="2"/>
      </rPr>
      <t>https://community.secop.gov.co/Public/Tendering/OpportunityDetail/Index?noticeUID=CO1.NTC.7090595&amp;isFromPublicArea=True&amp;isModal=False</t>
    </r>
    <r>
      <rPr>
        <sz val="10"/>
        <color theme="1"/>
        <rFont val="Arial Narrow"/>
        <family val="2"/>
      </rPr>
      <t xml:space="preserve">
Para este proceso se aplicaron los parámetros establecidos en el Manual de Contratación vigente, en el Documento de Estudios Previos numeral 3,2 se justifica la modalidad de contratación "Invitación Pública"
Los documentos publicados en SECOP cuentan con las firmas respectivas firmas y Vistos Buenos :
* Anexo Técnico , * Documento de Estudios Previos, * Estudio de Mercado , * Matriz de Riesgos</t>
    </r>
  </si>
  <si>
    <r>
      <rPr>
        <b/>
        <sz val="10"/>
        <color theme="1"/>
        <rFont val="Arial Narrow"/>
        <family val="2"/>
      </rPr>
      <t>Carpeta : Riesgo 2 _ Ofertas- con 7 subcarpetas</t>
    </r>
    <r>
      <rPr>
        <sz val="10"/>
        <color theme="1"/>
        <rFont val="Arial Narrow"/>
        <family val="2"/>
      </rPr>
      <t xml:space="preserve"> :
</t>
    </r>
    <r>
      <rPr>
        <b/>
        <sz val="10"/>
        <color theme="1"/>
        <rFont val="Arial Narrow"/>
        <family val="2"/>
      </rPr>
      <t>IDRD - CEFE 2024</t>
    </r>
    <r>
      <rPr>
        <sz val="10"/>
        <color theme="1"/>
        <rFont val="Arial Narrow"/>
        <family val="2"/>
      </rPr>
      <t xml:space="preserve">: contiene 18 archivos incluye la propuesta su radicado y el contrato suscrito
</t>
    </r>
    <r>
      <rPr>
        <b/>
        <sz val="10"/>
        <color theme="1"/>
        <rFont val="Arial Narrow"/>
        <family val="2"/>
      </rPr>
      <t>UAESP_ECOPUNTOS 2024</t>
    </r>
    <r>
      <rPr>
        <sz val="10"/>
        <color theme="1"/>
        <rFont val="Arial Narrow"/>
        <family val="2"/>
      </rPr>
      <t xml:space="preserve">: contiene 29 archivos incluye oferta, su radicado y el contrato suscrito. 
</t>
    </r>
    <r>
      <rPr>
        <b/>
        <sz val="10"/>
        <color theme="1"/>
        <rFont val="Arial Narrow"/>
        <family val="2"/>
      </rPr>
      <t>UAESP - CEMENTERIO :</t>
    </r>
    <r>
      <rPr>
        <sz val="10"/>
        <color theme="1"/>
        <rFont val="Arial Narrow"/>
        <family val="2"/>
      </rPr>
      <t xml:space="preserve">  contiene 5 archivos, incluye  propuesta su radicado y contrato suscrito.
</t>
    </r>
    <r>
      <rPr>
        <b/>
        <sz val="10"/>
        <color theme="1"/>
        <rFont val="Arial Narrow"/>
        <family val="2"/>
      </rPr>
      <t xml:space="preserve">SEC DE SEGURIDAD_ CENTRO DE DETENCION: </t>
    </r>
    <r>
      <rPr>
        <sz val="10"/>
        <color theme="1"/>
        <rFont val="Arial Narrow"/>
        <family val="2"/>
      </rPr>
      <t>contiene 8 archivos dentro de los que se encuentra la oferta, su radicado y el contrato suscrito.</t>
    </r>
    <r>
      <rPr>
        <b/>
        <sz val="10"/>
        <color theme="1"/>
        <rFont val="Arial Narrow"/>
        <family val="2"/>
      </rPr>
      <t xml:space="preserve"> 
SECRETARIA DE SEGURIDAD - CARCEL II: </t>
    </r>
    <r>
      <rPr>
        <sz val="10"/>
        <color theme="1"/>
        <rFont val="Arial Narrow"/>
        <family val="2"/>
      </rPr>
      <t xml:space="preserve"> contiene 4 archivos incluye  propuesta su radicado y contrato suscrito.
</t>
    </r>
    <r>
      <rPr>
        <b/>
        <sz val="10"/>
        <color theme="1"/>
        <rFont val="Arial Narrow"/>
        <family val="2"/>
      </rPr>
      <t>MINCULTURA</t>
    </r>
    <r>
      <rPr>
        <sz val="10"/>
        <color theme="1"/>
        <rFont val="Arial Narrow"/>
        <family val="2"/>
      </rPr>
      <t xml:space="preserve">: contiene 4  archivos con las ofertas remitidas, sus respectivos radicados y el contrato suscrito.
</t>
    </r>
    <r>
      <rPr>
        <b/>
        <sz val="10"/>
        <color theme="1"/>
        <rFont val="Arial Narrow"/>
        <family val="2"/>
      </rPr>
      <t xml:space="preserve">ALCALDÍA DE SUBA : </t>
    </r>
    <r>
      <rPr>
        <sz val="10"/>
        <color theme="1"/>
        <rFont val="Arial Narrow"/>
        <family val="2"/>
      </rPr>
      <t xml:space="preserve">carpeta ALCALDIA DE SUBA dos archivos :propuesta y radicado.
</t>
    </r>
    <r>
      <rPr>
        <b/>
        <sz val="10"/>
        <color theme="1"/>
        <rFont val="Arial Narrow"/>
        <family val="2"/>
      </rPr>
      <t xml:space="preserve">
</t>
    </r>
    <r>
      <rPr>
        <sz val="10"/>
        <color theme="1"/>
        <rFont val="Arial Narrow"/>
        <family val="2"/>
      </rPr>
      <t xml:space="preserve">
</t>
    </r>
  </si>
  <si>
    <t xml:space="preserve">Carpeta : Riesgo 2 _ Ofertas- con 7 subcarpetas :
IDRD - CEFE 2024: contiene 18 archivos incluye la propuesta su radicado y el contrato suscrito
UAESP_ECOPUNTOS 2024: contiene 29 archivos incluye oferta, su radicado y el contrato suscrito. 
UAESP - CEMENTERIO :  contiene 5 archivos, incluye  propuesta su radicado y contrato suscrito.
SEC DE SEGURIDAD_ CENTRO DE DETENCION: contiene 8 archivos dentro de los que se encuentra la oferta, su radicado y el contrato suscrito. 
SECRETARIA DE SEGURIDAD - CARCEL II:  contiene 4 archivos incluye  propuesta su radicado y contrato suscrito.
MINCULTURA: contiene 4  archivos con las ofertas remitidas, sus respectivos radicados y el contrato suscrito.
ALCALDÍA DE SUBA : carpeta ALCALDIA DE SUBA dos archivos :propuesta y radicado.
</t>
  </si>
  <si>
    <t xml:space="preserve">En el Comité ampliado de la Subgerencia de Ejecución de Proyectos, se socializó con los gerentes de proyectos las condiciones técnicas necesarias para la entrega a satisfacción de los proyectos que se encuentren más cercanos a su etapa de entrega y/o recibo de obra. </t>
  </si>
  <si>
    <t xml:space="preserve">Acta comité ampliado de la Subgerencia de Ejecución de Proyectos llevado a cabo el día 26 de diciembre de 2024. (Esta se encuentra en proceso de aprobación una ves se tenga se subirá a la carpeta de evidencias).  </t>
  </si>
  <si>
    <t>Comités de seguimiento periódico de los gerentes de proyectos y aprobación de informes mensuales y semanales por parte de las interventorías de los contratos en ejecución.</t>
  </si>
  <si>
    <t>Actas de comité técnicos y operativos Disponible en la estructura de carpetas de la Subgerencia de Ejecución de Proyectos en Drive y disponible en cada uno de los contratos en Tampus</t>
  </si>
  <si>
    <t>Comités de obra en sitio de los proyectos en ejecución de obra, revisión constante de lo reportado por las interventorías</t>
  </si>
  <si>
    <t>El jefe de la Oficina de Participación Ciudadana y Asuntos Sociales, en conjunto con su equipo de trabajo, llevó a cabo la verificación mensual del cumplimiento en la ejecución de las diversas estrategias de Gestión Social y Participación Ciudadana. Durante dicha revisión, no se evidenciaron desviaciones en la ejecución de las estrategias establecidas. Las decisiones adoptadas en el marco de este proceso quedarán debidamente consignadas en las actas correspondientes del Comité</t>
  </si>
  <si>
    <t>10102024 Comité de Seguimiento y Evaluación OPCAS
23122024 Comité de Seguimiento y Evaluación OPCAS</t>
  </si>
  <si>
    <t>Se realizó las respectivas convocatorias por los diferentes canales de la Entidad y mediante los medios establecidos por el Jefe de la OPCAS y el líder de cada proyecto, la jefe de la OPCAS verificó el cumplimiento en los plazos establecidos en el cronograma.</t>
  </si>
  <si>
    <t>Cronogramas verificados</t>
  </si>
  <si>
    <t>Reunión No. 1 mes septiembre de fecha 2 de Septiembre de 2024.                                                                                                                                                                                                                                                                                                                                                                                                                                                                                                                                                                                                                                                                                                                                                                                                                                                                                             Reunión No. 2 mes de septiembre de fecha 4 de septiembre de 2024.                                                                                                                                                                                                                                                                                                                                                                                                                                                           Reunión mes de octubre de fecha 3 de octubre de 2024                                                                                                                                                                                                                                                                                                                                                                                                                                                                                                                                                                                                                                                                                                                                                                                                                                                                             Reunión mes de noviembre de fecha 5 de noviembre de 2024                                                                                                                                                                                                                                          Reunión mes de diciembre de fecha 3 de diciembre de 2024                                                                                                                                                                                                                                                                                                                                                                                                                            Es importante informar qué se anexan todas las 4 actas teniendo en cuenta que son procesos terminados y archivados y no tienen reserva.</t>
  </si>
  <si>
    <t xml:space="preserve">Reuniones en las que se  revisaron los expedientes donde se verificaron los hechos de las quejas y se revisaron las pruebas remitidas por diferentes dependencias para poder llegar a una decisión dentro de la etapa:                                                                                                                                                                                                                                                                                                                Reunión No. 1 de fecha 2 de septiembre de 2024.                                                                                                                                                                                                                                                                                                                                                                                                                                                      Reunión No. 2 de fecha 4 de septiembre de 2024                                                                                                                                                                                                                                                                                                                                                                                                                                                           Reunión No. 3 de fecha 3 de octubre de 2024.                                                                                                                                                                                                                                                                                                                                                                                                                                                        Reunión No. 4 de fecha 5 de noviembre de 2024.                                                                                                                                                                                                                                                                Reunión No. 5 de fecha 3 de diciembre de 2024.                                                                                                                                                                                                                                                                                                                                                                                                                                                                                                                                                                                                                                                                                                                                                                                                                                                                                                            Seguimiento disponible en Drive, evaluación de los hechos y de las pruebas remitidas por las diferentes dependencias para poder llegar a la verdad de los hechos y así tomar las decisiones en derecho.                                                                </t>
  </si>
  <si>
    <t xml:space="preserve">Seguimiento disponible en Drive denominado seguimiento de los procesos disciplinarios, compartido con los profesionales del área y la jefe de la Oficina de Control Disciplinario Interno y Actas de reunión:                                                                                                                                                                                                                                                                                                                                                      No. 1 de fecha 2 de septiembre de 2024.                                                                                                                                                                                                                                                                                                                                                                                                                                                                                 No. 2 de fecha 4 de septiembre de 2024.                                                                                                                                                                                                                                                                                                                                                                                                                                                                                                                                                                                                                                                                                                                                                                                                                                                                                                                                                                            No. 3 de fecha 3 de octubre de 2024.                                                                                                                                                                                                                                                                                                                                                                                                                                                                                   No. 4 de fecha 5 de noviembre de 2024.                                                                                                                                                                                                                                                                                    No. 5 de fecha 3 de diciembre de 2024.               </t>
  </si>
  <si>
    <t xml:space="preserve">Acta de reunión mes de septiembre de fecha 4 de septiembre de 2024. Acta de reunión mes de octubre de fecha 1 de octubre de 2024. Acta de reunión mes de noviembre de fecha 7 de noviembre de 2024. Acta de reunión mes de diciembre de fecha 17 de diciembre de 2024, (Nota: Las actas fueron incluidas en el link remitido por la Oficina de Control Interno). </t>
  </si>
  <si>
    <t xml:space="preserve">Reuniones en las que se verificaron los términos de prescripción de los procesos, a saber:                                                                                                                                                                                                                                                                                                                                                                            Reunión mes de septiembre de fecha 4 de septiembre de 2024.                                                                                                                                                                                                                                                                                                                                                                                                                                                    Reunión mes de octubre de fecha 1 de octubre de 2024.                                                                                                                                                                                                                                                                                                                                                                                                                                                           Reunión mes de noviembre de fecha 7 de noviembre de 2024.                                                                                                                                                                                                                                                                                                                                                                                                                                  Reunión mes de diciembre de fecha 17 de diciembre de 2024.                                                                                                                                                                                                                                                                                                                                                                                                                                                                Se actualizó el archivo de seguimiento disponible en el Drive con las actuaciones realizadas en los meses, en el momento contamos con 11 procesos disciplinarios vigentes a la fecha 31 de diciembre de 2024.                                                                                                                                                       </t>
  </si>
  <si>
    <t>Seguimiento disponible en el Drive compartido con los profesionales del área y la jefe de la oficina y las Actas de reunión:                                                                                                                                                                                                                                                                                                                                                Acta mes de septiembre de fecha 4 de septiembre de 2024.                                                                                                                                                                                                                                                                                                                                                                                                                                                                            Acta mes de octubre de fecha 1 de octubre de 2024.                                                                                                                                                                                                                                                                                                                                                                                                                                                                           Acta mes de noviembre de fecha 7 de noviembre de 2024.                                                                                                                                                                                                                                                                                                                                                                                                                                                                          Acta mes de diciembre de fecha 17 de diciembre de 2024, Actualmente a 31 de diciembre de 2024 contamos con 11 proceso disciplinarios activos a 31 de diciembre de 2024, se incluye cuadro del total de los procesos y la etapa en que se encuentran.</t>
  </si>
  <si>
    <t>Se elaboró auto que declaró la extinción de la acción disciplinaria por prescripción y ordenó la terminación del proceso y archivo definitivo de la indagación previa dentro de los expedientes No. 006- 2022, 001- 2023, 002- 2023 y 003- 2023 y se informó a la Procuraduría General de la Nación y a la Personería de Bogotá.</t>
  </si>
  <si>
    <t>Auto de fecha 18 de septiembre de 2024 dentro del expediente No. 006- 2022.                                                                                                                                                                                                Auto de fecha 8 de octubre de 2024 dentro del expediente No. 001- 2023.                                                                                                                                                                                                                   Auto de fecha 17 de octubre de 2024 dentro del expediente No. 002- 2023.                                                                                                                                                                                                               Auto de fecha 23 de octubre de 2024 dentro del expediente No. 003- 2023.                                                                                                                                                                                                          NOTA: Los autos se incluyeron en el link enviado por la Oficina de Control Disciplinario Interno.</t>
  </si>
  <si>
    <t>Guía para la gestión de Estudios y Diseño (En proceso de formalización en el sistema de Gestión)
Guía para la gestión de Ejecución de Obra  (En proceso de formalización en el sistema de Gestión)</t>
  </si>
  <si>
    <t>Matriz Riegos de los proyectos en ejecución la cual se encuentra en cada uno de los proyectos (secop II).</t>
  </si>
  <si>
    <t xml:space="preserve">Se dio continuidad con la implementación de la  metodología de seguimiento a proyectos mediante semáforo de desviaciones y riesgos con probabilidad de materialización de los proyectos que se encuentran en ejecución por parte de la Subgerencia de Ejecución de Proyectos y se realiza seguimiento semanal a cada uno de ellos, tomando las acciones inherentes al respecto, dando cumplimiento al 100% de la acción de tratamiento establecida para este riesgo. </t>
  </si>
  <si>
    <t>Matriz de seguimiento a proyectos en ejecución con riesgos inherentes actualizado periódicamente.
Se anexa enlace de Matriz de seguimiento a proyectos en ejecución con riesgos inherentes actualizado periódicamente.
https://drive.google.com/drive/folders/1WJ1pj3qVo9xJg8J0j7ML2-DNhaJ3Zr-b</t>
  </si>
  <si>
    <t xml:space="preserve">Se realizan comités de seguimiento a proyectos de forma semanal para identificar la desviación de proyectos, riesgos y acciones a tomar para reducir la desviación registrada. </t>
  </si>
  <si>
    <t>Actas de comité y presentaciones semanales con porcentaje de desviaciones y avances respectivos. 
Se anexa enlace de Matriz de seguimiento a proyectos en ejecución con riesgos inherentes actualizado periódicamente.
https://drive.google.com/drive/folders/1WJ1pj3qVo9xJg8J0j7ML2-DNhaJ3Zr-b</t>
  </si>
  <si>
    <t xml:space="preserve">Memorandos I2024002784 - I2024000262 Disponibles en el sistema de Gestión Documental TAMPUS. </t>
  </si>
  <si>
    <t>PD-75 Modelaciones Financiera</t>
  </si>
  <si>
    <t>El abogado de la DTPGU verifico que en la solicitud de los contratos de prestación de servicios que hacen parte integral del contrato, se incluya en las obligaciones generales de guardar la estricta reserva de toda la información y documentos que tenga acceso, con el fin de dar un manejo adecuado de la información por parte de los contratistas.</t>
  </si>
  <si>
    <t>1. Solicitud de contratación de Prestación de Servicios Personales, con obligación de : Guardar estricta reserva sobre toda la información y documentos que tenga acceso, maneje en desarrollo de su actividad o que llegue a conocer en desarrollo del contrato y que
tenga carácter de pública. En consecuencia, se obliga a no divulgar por ningún medio dicha información o documentos a terceros, sin la previa autorización escrita de la EMPRESA
2. Contratos de Prestación de Servicios con cláusula de manejar de información</t>
  </si>
  <si>
    <t xml:space="preserve">El abogado de la DTPGU realizó la capacitación de directrices y adecuado tratamiento de datos e información confidencial de manera virtual la cual se llevó a cabo el 30 de abril de 2024 con la participación del equipo DTPGU.
Durante el primer semestre del 2025, se hará nuevamente otra capacitación de manejo adecuado de la información por parte del abogado de la DTPGU dirigida a los contratistas del área </t>
  </si>
  <si>
    <t>1. Presentación capacitación manejo y confidencialidad del tratamiento de datos e información confidencial y lista de asistencia.</t>
  </si>
  <si>
    <t>En el marco de las metas establecidas para la DTPGU para el periodo de 2024 fue priorizada la formulación de las siguientes actuaciones: AE (Zibo, Calle 72, Chapinero, reencuentro y Montevideo) y avanzar en la formulación de la AE de Rionegro prevista radicar en el primer semestre de la   vigencia 2025 
El Líder Operativo verificó que al inicio de  la formulación de la actuación estratégica, el líder del proyecto haya generado el cronograma con las etapas y estudios requeridos previstas para la formulación y articulación necesarias y que haya solicitado a las entidades competentes en su primera fase, la emisión de los estudios y/o conceptos requeridos.
Por otra parte y en línea directa con el cumplimiento de los metas de la DTPGU y los cronogramas, se hace seguimiento al cumplimiento de los hitos y metas establecidos para la DTPGU mediante reporte del tablero de proyectos, documento FUSS, Plan de acción, indicadores de gestión.</t>
  </si>
  <si>
    <t xml:space="preserve">1. Cronogramas de proyectos de formulación de instrumentos (actuaciones estratégicas)
2. Seguimientos de proyectos de formulación de instrumentos  (actuaciones estratégicas), en los cuales se haga seguimiento a la solicitud de conceptos y estudios
3. Documento de seguimiento FUSS
4. Documento de Seguimiento de Plan de acción 
5. Documento de seguimiento de Indicadores de gestión </t>
  </si>
  <si>
    <t>1. Cronogramas de proyectos de formulación de instrumentos (actuaciones estratégicas)
2. Seguimientos de proyectos de formulación de instrumentos  (actuaciones estratégicas), en los cuales se haga seguimiento a la solicitud de conceptos y estudios</t>
  </si>
  <si>
    <t xml:space="preserve">Las recomendaciones de contratación se encuentran en las actas de comité de contratación alojadas en el expediente TAMPUS 400.3.Dirección de Contratación.
 </t>
  </si>
  <si>
    <t>Actas de comité de contratación dispuestas en Tampus
https://gestiondocumental.etb.net.co/Instancias/ERU_Prod/AZDigitalV6.0/ControlAdmin/index.php?DiId=52511</t>
  </si>
  <si>
    <t>A 31 de diciembre todas las gestiones en materia contractual se radican con la lista de  chequeo correspondiente:
•	FT-229 Lista de Chequeo Prestación de Servicios Personales - Persona Natural V4
•	FT-23 Lista de chequeo requisitos básicos de contratación V10
Lo cual se puede evidenciar en los expedientes contractuales creados en la plataforma TAMPUS SECOP.</t>
  </si>
  <si>
    <t>•	FT-229 Lista de Chequeo Prestación de Servicios Personales - Persona Natural V4
•	FT-23 Lista de chequeo requisitos básicos de contratación V10
Lo cual se puede evidenciar en los expedientes contractuales creados en la plataforma TAMPUS SECOP.</t>
  </si>
  <si>
    <t>Los procesos de selección que se publican en Secop cuentan el estudio previo correspondiente, el cual atiende a las necesidades de la Empresa y las condiciones legales necesarias</t>
  </si>
  <si>
    <t xml:space="preserve">Listado de procesos adelantados a la fecha </t>
  </si>
  <si>
    <t>N/A</t>
  </si>
  <si>
    <t>A 31 de diciembre todas las gestiones en materia contractual se radican con la lista de  chequeo correspondiente:
•	FT-229 Lista de Chequeo Prestación de Servicios Personales - Persona Natural V4
•	FT-23 Lista de chequeo requisitos básicos de contratación V10
Lo cual se puede evidenciar en los expedientes contractuales creados en la plataforma TAMPUS. Y SECOP</t>
  </si>
  <si>
    <t>El Tesorero General una vez verificado los vistos buenos presupuestal y financiero en los meses de Septiembre a diciembre de 2024 realiza la aprobación del pago. En este período evaluado no se presentaron novedades con los soportes de pago por lo cual se procede con la aprobación en el portal bancario generando la finalización del pago.</t>
  </si>
  <si>
    <t>1. Correo de visto bueno presupuestal meses septiembre, octubre, noviembre, diciembre.
2. Correo de visto bueno del profesional de Dirección Financiera meses septiembre, octubre, noviembre, diciembre.
3. Ejemplo de certificado de cumplimiento verificado conforme a los controles en el período de este seguimiento (septiembre, octubre, noviembre, diciembre.de 2024)</t>
  </si>
  <si>
    <t xml:space="preserve">Desde el proceso Financiero en el período evaluado se realizó la identificación de los documentos  actualizar para lineamientos de Tesorería ajustados a la mueva estructura y a los controles sistematizados en el aplicativo JSP7. </t>
  </si>
  <si>
    <t>1. Guía ABACO
2. Protocolo Seguridad de Tesorería 2024</t>
  </si>
  <si>
    <t>El profesional de tesorería recepciona el radicado de la cuenta por cobrar y verifica en el certificado de cumplimiento el valor y el período a cobrar.</t>
  </si>
  <si>
    <t xml:space="preserve">
1. Ejemplo de certificado de cumplimiento verificado conforme a los controles en el período de este seguimiento.</t>
  </si>
  <si>
    <t>El profesional de tesorería realiza el cargue del archivo plano en el Banco , posterior envía el correo al profesional de la Dirección Financiera para su verificación.</t>
  </si>
  <si>
    <t xml:space="preserve">El profesional del área contable consolida los estados financieros de  los meses septiembre a noviembre  y continua en el proceso en diciembre por cierres contables, esos reflejan la razonabilidad a través de estados financieros intermedios que fueron validados y firmados por la revisoría fiscal, el Contador y el Gerente y publicados en la página web de la empresa. En el marco de esa revisión se tienen conciliaciones para todas las categorías contables y con las áreas internas y externas con un proceso debidamente documentado en las políticas contables de la empresa. </t>
  </si>
  <si>
    <t xml:space="preserve">1. Url de las publicaciones de los estados financieros mensuales en la pagina web.
2.Conciliaciones cuentas por cobrar y cuentas por pagar en el período evaluado.
3. Amortizaciones período evaluado.
4.Conciliaciones bancarias.
5. Conciliaciones procesos Judiciales
</t>
  </si>
  <si>
    <t xml:space="preserve">El área contable validó en el período evaluado el catalogo de cuentas requerido por la Contabilidad Pública inactivando las cuentas contables que no estaban aprobadas en este catalogo y de esta forma se asegura el cumplimiento normativo aplicable en materia de catalogo de cuentas y NIIF actualizadas para REONOBO. </t>
  </si>
  <si>
    <t>El profesional  encargado de realizar la presentación ante la DIAN y la SDH de las declaraciones tributarias realizó el ejercicio del calculo de la declaración conforme a la norma tributaria y presentando en los meses de Septiembre a diciembre</t>
  </si>
  <si>
    <t>Los profesionales de tesorería y contabilidad previo al cierre de las cuentas por pagar en los meses septiembre a diciembre de 2024 realizan la conciliación de las cuentas por pagar para cada mes y reportan a la tesorera y a la Contadora para su aprobación.</t>
  </si>
  <si>
    <t>1. Correo de conciliaciones de cuentas por pagar en los meses Septiembre a Diciembre de  2024.
2. Conciliaciones en los meses mayo a agosto firmadas por Contadora y Tesorera</t>
  </si>
  <si>
    <t>Los profesionales de tesorería y contabilidad validan previamente que los valores de la orden de pago correspondan  con el reporte mensual de las cuentas por pagar de Septiembre a Diciembre de  2024. Las validaciones se relacionan en una matriz de control de pagos validado por el profesional en Contabilidad y el profesional en Tesorería.</t>
  </si>
  <si>
    <t>1.Balance meses Septiembre a diciembre  para la cuenta 2. Cuentas por pagar.
2. Información exógena meses Septiembre a diciembre 2024</t>
  </si>
  <si>
    <t>Se realiza socialización del cronograma de actividades del Plan estratégico de Talento Humano, correspondientes al mes de agosto por correo electrónico. a los lideres operativos.</t>
  </si>
  <si>
    <t>Las actividades del Plan estratégico de Talento Humano se programan por medio del la agenda del correo de Talento Humano a todos los colaboradores de la empresa o publico objetivo</t>
  </si>
  <si>
    <t>1. Se realizó la ejecución de las actividades programadas durante este periodo.
2. Se realizó la formulación de los planes de mejoramiento acorde a los resultados de la visita de seguimiento de la SDA.
3, Formulación del PIGA y PACA vigencia 2024 - 2027</t>
  </si>
  <si>
    <t xml:space="preserve">Planes de mejoramiento, los cuales ya se encuentran incorporados en el Plan de Mejoramiento por procesos de la Entidad.
Documentos PIGA y  PACA </t>
  </si>
  <si>
    <t xml:space="preserve">Carpeta de las piezas gráficas, correo enviados y listados de asistencia </t>
  </si>
  <si>
    <t>1. Se realizo ajustes al documento general del PACA debido a que se debían ajustar los valores que se reportaban para el primer semestre 2024 
2. Se realizo el reporte de seguimiento del primer semestre de la vigencia 2024, está información fue cargada a la herramienta STORM USER
3. Se realizo el reporte de evaluación del primer semestre de la vigencia 2024, está información fue cargada a la herramienta STORM USER</t>
  </si>
  <si>
    <t>Certificación de cargue a la herramienta STORM (formulación)
Certificación de cargue a la herramienta STORM (seguimiento)
Certificación de cargue a la herramienta STORM (evaluación)</t>
  </si>
  <si>
    <t>1. Se organizo una reunión con el área de urbana, para revisar la información a reportar con respecto al cumplimiento de la meta o acción ambiental y así garantizar el cumplimiento de la misma
2. Se organizaron reuniones con el profesional de la SDA, para revisar la información a reportar</t>
  </si>
  <si>
    <t>Registro de evento realizado - Reunión con urbana para revisar la información a reportar
Registro de evento realizado - Reunión con SDA y planeación para revisar la formulación PACA 2025-2028
Registro de evento realizado - Reunión con SDA para revisar el reporte de la información</t>
  </si>
  <si>
    <t>El profesional responsable del inventario realiza la actualización de los inventarios cada vez que se produzca el ingreso o salida de un colaborador, se reporten cambios por el responsable de los activos, jefe o supervisor de las dependencias y cuando haya cambios de los equipos de cómputo validados e informados previamente por el proceso de Gestión de TIC.
Así mismo, el profesional responsable del inventario ejecuta las actividades descritas en el procedimiento PD-59 Administración de Inventarios, por lo menos una (1) vez al año con el propósito de identificar, verificar, analizar y actualizar el inventario de los bienes de propiedad o administrados por la Empresa. 
En caso de presentarse novedades, se procede a ejecutar los procedimientos: PD-21 Baja de bienes servibles no utilizables y bienes inservibles y PD-22 Pérdida de Bienes.</t>
  </si>
  <si>
    <t xml:space="preserve">Reporte de actualización de los inventarios de los meses de septiembre a diciembre.
En el mes de septiembre, octubre, noviembre y diciembre se envió un correo masivo sobre el manejo de los bienes y su traslado.
</t>
  </si>
  <si>
    <t xml:space="preserve">
-El proceso cuenta con los correos en donde se solicita la revisión de los inventarios actualizados.
-Se anexa correo masivo de socialización</t>
  </si>
  <si>
    <t>- Se realizaron comités internos de seguimiento y de autoevaluación para  el seguimiento a los procesos y procedimientos de contratación.</t>
  </si>
  <si>
    <t>- Se adjunta actas de comités internos de seguimiento del proceso y del comité de auto evaluación del mes de Septiembre  de 2024</t>
  </si>
  <si>
    <t>*Tablero de control procesos contractuales de la Dirección Admin y Tics adelantados desde el área técnica.</t>
  </si>
  <si>
    <t xml:space="preserve">* La subgerencia de Gestión Corporativa - Dirección Administrativa y de TIC, a través del proceso de Talento Humano realizó diferentes actividades durante los meses de octubre y noviembre, con el propósito de afianzar los valores y la cultura de integridad de los colaboradores de la Empresa, la invitación se realizó a través del correo corporativo. </t>
  </si>
  <si>
    <t>* Correo socializado a todos los colaboradores de la Empresa en los meses de octubre y noviembre de 2024.</t>
  </si>
  <si>
    <t>Se realiza el seguimiento a la correcta aplicación del Manual de Gestión Documental MN-10, numeral 4,5 Préstamo y Consulta, realizando la respuestas sobre acceso a la documentación en los tiempos y medios establecidos.</t>
  </si>
  <si>
    <r>
      <rPr>
        <b/>
        <sz val="10"/>
        <color theme="1"/>
        <rFont val="Arial Narrow"/>
        <family val="2"/>
      </rPr>
      <t>1.</t>
    </r>
    <r>
      <rPr>
        <sz val="10"/>
        <color theme="1"/>
        <rFont val="Arial Narrow"/>
        <family val="2"/>
      </rPr>
      <t xml:space="preserve"> </t>
    </r>
    <r>
      <rPr>
        <b/>
        <sz val="10"/>
        <color theme="1"/>
        <rFont val="Arial Narrow"/>
        <family val="2"/>
      </rPr>
      <t>FT-111</t>
    </r>
    <r>
      <rPr>
        <sz val="10"/>
        <color theme="1"/>
        <rFont val="Arial Narrow"/>
        <family val="2"/>
      </rPr>
      <t xml:space="preserve"> Registro Préstamo de Documentos septiembre de 2024
2. FT-111 Registro Préstamo de Documentos diciembre de 2024</t>
    </r>
  </si>
  <si>
    <t xml:space="preserve">Se realiza seguimiento sobre el vencimiento de tiempos de préstamos bien para su renovación o solicitud de devolución. </t>
  </si>
  <si>
    <r>
      <rPr>
        <b/>
        <sz val="10"/>
        <color theme="1"/>
        <rFont val="Arial Narrow"/>
        <family val="2"/>
      </rPr>
      <t xml:space="preserve">1. </t>
    </r>
    <r>
      <rPr>
        <sz val="10"/>
        <color theme="1"/>
        <rFont val="Arial Narrow"/>
        <family val="2"/>
      </rPr>
      <t>Correos seguimiento devoluciones y/o Renovaciones septiembre, octubre y diciembre de 2024</t>
    </r>
  </si>
  <si>
    <t xml:space="preserve">Se realiza la implementación del Plan de Conservación Documental que incluye 6 estrategias. Se realizan brigadas de aseo mensual en Archivo Central, medición de condiciones ambientales, seguimiento al Plan de Emergencias y verificación de condiciones de almacenamiento (infraestructura y unidades de conservación). </t>
  </si>
  <si>
    <r>
      <rPr>
        <b/>
        <sz val="10"/>
        <color theme="1"/>
        <rFont val="Arial Narrow"/>
        <family val="2"/>
      </rPr>
      <t>FT-09</t>
    </r>
    <r>
      <rPr>
        <sz val="10"/>
        <color theme="1"/>
        <rFont val="Arial Narrow"/>
        <family val="2"/>
      </rPr>
      <t xml:space="preserve"> Monitoreo_condiciones_ambientales.
</t>
    </r>
    <r>
      <rPr>
        <b/>
        <sz val="10"/>
        <color theme="1"/>
        <rFont val="Arial Narrow"/>
        <family val="2"/>
      </rPr>
      <t xml:space="preserve">FT-182 </t>
    </r>
    <r>
      <rPr>
        <sz val="10"/>
        <color theme="1"/>
        <rFont val="Arial Narrow"/>
        <family val="2"/>
      </rPr>
      <t xml:space="preserve">Planilla_de_seguimiento_mantenimiento _inmuebles archivo.
</t>
    </r>
    <r>
      <rPr>
        <b/>
        <sz val="10"/>
        <color theme="1"/>
        <rFont val="Arial Narrow"/>
        <family val="2"/>
      </rPr>
      <t>FT-234</t>
    </r>
    <r>
      <rPr>
        <sz val="10"/>
        <color theme="1"/>
        <rFont val="Arial Narrow"/>
        <family val="2"/>
      </rPr>
      <t xml:space="preserve"> Informe_SIC_Brigada_de_Aseo.
</t>
    </r>
    <r>
      <rPr>
        <b/>
        <sz val="10"/>
        <color theme="1"/>
        <rFont val="Arial Narrow"/>
        <family val="2"/>
      </rPr>
      <t xml:space="preserve">FT-234 </t>
    </r>
    <r>
      <rPr>
        <sz val="10"/>
        <color theme="1"/>
        <rFont val="Arial Narrow"/>
        <family val="2"/>
      </rPr>
      <t xml:space="preserve">Informe_condiciones_ambientales
</t>
    </r>
    <r>
      <rPr>
        <b/>
        <sz val="10"/>
        <color theme="1"/>
        <rFont val="Arial Narrow"/>
        <family val="2"/>
      </rPr>
      <t>FT-234</t>
    </r>
    <r>
      <rPr>
        <sz val="10"/>
        <color theme="1"/>
        <rFont val="Arial Narrow"/>
        <family val="2"/>
      </rPr>
      <t xml:space="preserve"> Informe_seguimiento_Plan_de_emergencias</t>
    </r>
  </si>
  <si>
    <t>1. INFORME TÉCNICO SANEAMIENTO AMBIENTAL INTEGRAL 
RENOBO CONTRATO 462-2024
PROTOCOLO ALISTAMIENTO, RECIBO, TRASLADO Y CUSTODIA DE 
DOCUMENTACIÓN Contrato 459 de 2024.</t>
  </si>
  <si>
    <t>Se realiza seguimiento al estado de las bandejas de los usuarios del SGDEA - Tampus, informando las novedades a los correspondientes jefes de dependencia.
Se solicita la creación de expedientes en los meses septiembre a diciembre
Se actualiza el inventario documental en los meses septiembre a diciembre</t>
  </si>
  <si>
    <t>Se realizan mesas de trabajo virtual las cuales tienen como fin dar lineamientos o retroalimentación para aquellos usuarios que tienen documentos represados en su bandeja los cuales deben ser trasladados para realiza el correspondiente archivamiento.</t>
  </si>
  <si>
    <t>Rad. I20244002778 seguimiento bandejas.pdf</t>
  </si>
  <si>
    <t xml:space="preserve">Se realiza la recepción y clasificación de la documentación entregada por la Ventanilla Única de Correspondencia y demás dependencias, realizando la firma del formato FT -33  para su posterior inserción en los expedientes que se encuentran bajo custodia y administración del CAD. </t>
  </si>
  <si>
    <r>
      <rPr>
        <b/>
        <sz val="10"/>
        <color theme="1"/>
        <rFont val="Arial Narrow"/>
        <family val="2"/>
      </rPr>
      <t xml:space="preserve">FT - 33 </t>
    </r>
    <r>
      <rPr>
        <sz val="10"/>
        <color theme="1"/>
        <rFont val="Arial Narrow"/>
        <family val="2"/>
      </rPr>
      <t xml:space="preserve">Formato Único de Inventario Documental - (Traslados). </t>
    </r>
  </si>
  <si>
    <t xml:space="preserve">Se realiza la inserción de los documentos recibidos a los correspondientes expedientes   </t>
  </si>
  <si>
    <t xml:space="preserve">*Hoja de control evidenciando la inserción documental </t>
  </si>
  <si>
    <t>Los colaboradores del proceso recibieron y gestionaron las solicitudes de creación de expedientes electrónicos que cumplieran con las características establecidas en Manual de Gestión Documental MN-10</t>
  </si>
  <si>
    <t>*Correo electrónicos solicitud creación de expedientes.</t>
  </si>
  <si>
    <t xml:space="preserve">Se crearon los expedientes electrónicos en el SGDEA- TAMPUS, de acuerdo con las solicitudes recibidas mediante correo electrónico. </t>
  </si>
  <si>
    <t>*Pantallazos Expedientes Electrónicos  SGDEA</t>
  </si>
  <si>
    <t>1. Archivo ejemplo de un  Backup del sistema GLPI e intranet en el período.</t>
  </si>
  <si>
    <t>1.Reporte disponibilidad de la infraestructura septiembre diciembre de 2024.</t>
  </si>
  <si>
    <t>1. Gestión del contrato de mantenimiento de equipos</t>
  </si>
  <si>
    <t>1. Contrato 438/2023 para mantenimiento preventivo y correctivo de equipos
2. Reporte de las ordenes de servicio  ejecutadas en el período.</t>
  </si>
  <si>
    <t>Relación de diligenciamiento de formatos de acceso lógico procesados</t>
  </si>
  <si>
    <t>Registro de usuarios acceso lógico septiembre a diciembre de 2024</t>
  </si>
  <si>
    <t>Matriz entrega de usuarios nuevos acceso lógico creados septiembre a diciembre de 2024</t>
  </si>
  <si>
    <t xml:space="preserve">1. Seguimiento septiembre a diciembre al contrato que soporta los servicios de TI,
</t>
  </si>
  <si>
    <t>Informes de seguimiento septiembre a diciembre  a contratos servicios TI contrato 409/2024</t>
  </si>
  <si>
    <t>El profesional delegado como supervisor del contrato 410/2023 verifica que el proveedor del servicio asegure la disponibilidad de los servicios del proveedor ETB.</t>
  </si>
  <si>
    <t>El profesional delegado como supervisor del contrato 4382023 verifica el cumplimiento a los mantenimientos preventivos.</t>
  </si>
  <si>
    <t>La herramienta en línea Entuity inspecciona en tiempo real la infraestructura de TI y reporta a los correos del grupo TIC cualquier inconveniente.</t>
  </si>
  <si>
    <t>Informes Entuity meses Septiembre a diciembre de 2024</t>
  </si>
  <si>
    <t xml:space="preserve">1. Para mantener el control del servicio se realiza una verificación de los Acuerdos de Nivel del Servicio contratados.
2 Se tramitan los casos presentados por medio de correo electrónico a través de la mesa de ayuda de ETB 
</t>
  </si>
  <si>
    <t>1. Informes proveedor de servicios TI</t>
  </si>
  <si>
    <t>Por lo anterior, se puede concluir que ha sido efectivo el control, pues una vez aplicado, no se ha materializado el riesgo.</t>
  </si>
  <si>
    <t xml:space="preserve">
Se puede concluir que han sido efectivo el control y las acciones de tratamiento del Riesgo, ya que una vez aplicados, no se evidencio la materialización del Riesgo en el periodo evaluado</t>
  </si>
  <si>
    <t xml:space="preserve">
Se puede concluir que han sido efectivo el control , ya que una vez aplicado por el proceso responsable, no se evidencio la materialización del Riesgo en el periodo evaluado.</t>
  </si>
  <si>
    <t>Posterior a la aprobación de la Planeación Estratégica de la empresa, en el marco del nuevo Plan Distrital de Desarrollo "Bogotá Camina Segura 2024 – 2027", no se ha requerido la verificación y aprobación de nuevos planes, programas o proyectos de inversión por parte del Comité Institucional de Gestión y Desempeño, por lo cual no fue necesaria la aplicación de este control.
De otra parte, en el periodo de evaluación se realizaron 6 Comités de Proyectos donde se realizó seguimiento a proyectos en desarrollo e incluidos en el portafolio de proyectos. En estos espacios se realizó una toma de decisiones informada apoyando la gestión de riesgos en el marco del desarrollo de los proyectos evaluados. A pesar de que se revisaron proyectos de ambas subgerencias, se realizó control de desviaciones y se dictaron observaciones en los casos que aplicó.
Los temas tratados en los comités mencionados fueron los siguientes:
*Estado del Proyectos BDC Etapa 1 - y análisis de viabilidad para realizar la supervisión técnica temporal.
*Seguimiento a los proyectos en Fase Ejecución
* Presentación de Hoja de Ruta para el Cierre del Proyecto Siberia
* Estado del Plan de Gestión de Suelo - Avance en Gestión Predial de Áreas de Oportunidad.
* Exposición de hoja de ruta para el Desistimiento del PPRU Centro San Bernardo
* Inclusión en el portafolio de proyectos de Buenos Aires, A.E Zibo - AOP1</t>
  </si>
  <si>
    <t>Para el periodo evaluado se realizó mensualmente el seguimiento al Plan de Acción Institucional, y una vez recibida la información reportada por los líderes de los procesos, se verificó con el fin de garantizar su alineación con los objetivos, coherencia y que esté acorde con la programación establecida, y cuando hubo lugar a ello, se realizó acompañamiento en el reporte para contar con la información veraz y oportuna, lo cual quedó registrado directamente en la herramienta JSP7. De igual manera, y de manera mensual se informa a la alta dirección el estado de avance de las metas del Plan de Acción y del Plan Estratégico Institucional a través de visores de Power BI, para su análisis y respectiva toma de decisiones.
Como resultado del seguimiento, y en el marco del Comité Institucional de Gestión y Desempeño, se realizaron ajustes al plan generando así las versiones 2 y 3 del 16 de septiembre y 5 de noviembre de 2024, las cuales se publicaron en la página web de la empresa, junto con su seguimiento.</t>
  </si>
  <si>
    <r>
      <t xml:space="preserve">Para el cuatrimestre, se realizaron las siguientes validaciones:
- </t>
    </r>
    <r>
      <rPr>
        <b/>
        <sz val="10"/>
        <color theme="1"/>
        <rFont val="Arial Narrow"/>
        <family val="2"/>
      </rPr>
      <t>Componente interno</t>
    </r>
    <r>
      <rPr>
        <sz val="10"/>
        <color theme="1"/>
        <rFont val="Arial Narrow"/>
        <family val="2"/>
      </rPr>
      <t xml:space="preserve">: se produjeron 167 campañas que se han compartido por canales internos y han requerido verificación por las diferentes áreas que son generadoras de la información.
- </t>
    </r>
    <r>
      <rPr>
        <b/>
        <sz val="10"/>
        <color theme="1"/>
        <rFont val="Arial Narrow"/>
        <family val="2"/>
      </rPr>
      <t>En el componente audiovisual interno</t>
    </r>
    <r>
      <rPr>
        <sz val="10"/>
        <color theme="1"/>
        <rFont val="Arial Narrow"/>
        <family val="2"/>
      </rPr>
      <t xml:space="preserve"> se produjeron 26 videos internos que se han compartido y han requerido verificación por las diferentes áreas que son generadoras de la información.
- </t>
    </r>
    <r>
      <rPr>
        <b/>
        <sz val="10"/>
        <color theme="1"/>
        <rFont val="Arial Narrow"/>
        <family val="2"/>
      </rPr>
      <t>En el componente externo</t>
    </r>
    <r>
      <rPr>
        <sz val="10"/>
        <color theme="1"/>
        <rFont val="Arial Narrow"/>
        <family val="2"/>
      </rPr>
      <t xml:space="preserve"> se produjeron 17 comunicados que se han compartido y han requerido verificación por las diferentes áreas que son generadoras de la información.
-</t>
    </r>
    <r>
      <rPr>
        <b/>
        <sz val="10"/>
        <color theme="1"/>
        <rFont val="Arial Narrow"/>
        <family val="2"/>
      </rPr>
      <t xml:space="preserve"> Durante la vigencia se ha realizado el diseño de 12 piezas gráficas para comunicación externa
</t>
    </r>
    <r>
      <rPr>
        <sz val="10"/>
        <color theme="1"/>
        <rFont val="Arial Narrow"/>
        <family val="2"/>
      </rPr>
      <t xml:space="preserve">
- </t>
    </r>
    <r>
      <rPr>
        <b/>
        <sz val="10"/>
        <color theme="1"/>
        <rFont val="Arial Narrow"/>
        <family val="2"/>
      </rPr>
      <t>Producción audiovisual para comunicación externa</t>
    </r>
    <r>
      <rPr>
        <sz val="10"/>
        <color theme="1"/>
        <rFont val="Arial Narrow"/>
        <family val="2"/>
      </rPr>
      <t>: Durante la vigencia se han realizado 37 videos para comunicación externa.</t>
    </r>
  </si>
  <si>
    <t xml:space="preserve">Para el periodo evaluado, se realizó la actualización de 90 documentos en promedio, entre manuales, procedimientos, guías y formatos, de los cuales se realizó la evaluación de la necesidad de actualización del conocimiento explícito, y como resultado de ello y atendiendo los lineamientos de la Guía metodológica para construcción de Mapas de Conocimiento en las entidades distritales en su versión N°2 de octubre del 2023 se realizó un rediseño a la herramienta de Mapa de conocimiento en la empresa, en la cual se presenta el conocimiento estratégico de la empresa.
De otra parte, durante el mes de octubre la Oficina Asesora de Planeación realizó mesas de trabajo con los Lideres Operativos de los procesos misionales: Gestión Comercial, Gestión Predial, Gestión de la Participación Ciudadana y Asuntos Sociales, Gestión Urbana, Estructuración de Proyectos y Ejecución de Proyectos, para socializar la actualización del Mapa de Conocimiento, así como poder recolectar información de conocimiento explicito y tácito de cada proceso y como resultado se generó una actualización del Mapa de Conocimiento en la intranet. </t>
  </si>
  <si>
    <t xml:space="preserve">
Se puede concluir que han sido efectivas las acciones de tratamiento del Riesgo, ya que una vez aplicadas, no se evidencio la materialización del Riesgo en el periodo evaluado</t>
  </si>
  <si>
    <t>Detective</t>
  </si>
  <si>
    <t xml:space="preserve">Se adelanto la estructuración de las siguientes guías:  
Guía para la Gestión de Estudios y Diseño, la cual establece y define los lineamientos y criterios para la planificación, desarrollo, implementación y control de los estudios y diseños de los proyectos.
Guía para la Gestión de Ejecución de Obra la cual define los lineamientos y criterios para la planificación, implementación, verificación y control de los proyectos. 
De igual forma estas herramientas documentales se seguirán fortaleciendo continuamente. </t>
  </si>
  <si>
    <t xml:space="preserve">Durante el último cuatrimestre se remitió al área de gestión contractual el memorando para cierre de proyectos urbanísticos que estaban en proceso de entrega en el marco del cumplimiento de lo establecido en el procedimiento PD-90. Los proyectos remitidos corresponde a la Etapa VIIIB y Etapa VIIC.
Por otro lado, durante el último cuatrimestre de 2024 no se realizaron entregas de áreas de cesiones públicas, por lo que no se diligenció el formato FT-193. </t>
  </si>
  <si>
    <t xml:space="preserve">Seguimiento y actualización a matriz de riesgos de los proyectos de obra y de estudios y diseños previo a la contratación. </t>
  </si>
  <si>
    <t>Seguimiento y actualización a matriz de riesgos de los proyectos de obra y de estudios y diseños en ejecución. 
Reporte materialización de Riesgos en el link destinado para este fin.</t>
  </si>
  <si>
    <t xml:space="preserve">Se realizan comités de seguimiento a proyectos de forma semanal para identificar la desviación de proyectos, riesgos y acciones a tomar para reducir la desviación registrada y en los casos que se ha requerido se ha solicitado el acompañamiento de la Subgerencia Jurídica y la Dirección de Contratación. </t>
  </si>
  <si>
    <t xml:space="preserve">De acuerdo con la acción de tratamiento definida, las propuestas radicadas incluyen en su presentación la línea de negocio o el servicio que se prestará   (ver archivo con la líneas de negocio aprobadas : pdf . presentación de las líneas de negocio Caracterización de Productos _ Servicios de RenoBo) ,así :
* IDRD CEFES: En la comunicación S2024003956 se menciona "se remite la oferta de prestación de servicios enfocados en la gestión Inmobiliaria". Así mismo, en el contenido de la propuesta radicada (numeral 4). se señala la línea estratégica asociada :  " Gestor Inmobiliario".
*UAESP ECOPUNTOS : Tanto la propuesta, como la comunicación de radicación mencionan la línea de negocio, la cual corresponde a uno de los servicios del portafolio : "Gerencia Integral" así:  Propuesta para: Prestar el servicio de Gerencia Integral para desarrollar el proyecto denominado “ECOPUNTOS FIJOS”  (...)
UAESP - CEMENTERIO : En el asunto de la propuesta se indica : Propuesta para la prestación del servicio de gerencia integral para la ejecución del proyecto de intervención temporal en el Cementerio Central y predios colindantes, en Bogotá D.C., que corresponde a uno de los servicios del portafolio aprobado, así mismo la comunicación de radicación menciona el servicio que se prestará.
SEC DE SEGURIDAD_ CENTRO DE DETENCION: En el numeral 5 de la propuesta presentada se indica el servicio a prestar : La EMPRESA ofrece sus servicios para gerenciar integralmente el proyecto que contribuya a la descongestión carcelaria y des hacinamiento a través del Centro de Detención Transitoria. 
SECRETARIA DE SEGURIDAD - CARCEL II: En el numeral 4. la presentación de la propuesta se incluye el servicio a prestar así: La Empresa de Renovación y Desarrollo Urbano de Bogotá D.C ofre sus servicios para realizar el proceso de contratación de Estudios y Diseños e Interventoría para la futura construcción de un equipamiento que contribuya  a la descongestión carcelaria a través de la Segunda Cárcel Distrital (...) , este servicio se encuentra contemplado en el portafolio, dentro de la Gerencia Integral de Proyectos (ver archivo de líneas de negocio) .
*MINCULTURA:  La propuesta radicada indica : Propuesta para la prestación del servicio de gerencia integral para la ejecución del proyecto de intervención en los edificios Santiago Samper y Enfermedades Tropicales del Complejo Hospitalario San Juan de Dios (...),   que corresponde a uno de los servicios del portafolio.
ALCALDÍA DE SUBA : El asunto de la propuesta presentada refiere : Propuesta para la prestación del servicio de gerencia integral para el proceso que contribuya en la consolidación de nuevos espacios para la sede administrativa de la Alcaldía Menor de la Localidad de Suba y el Fondo de Desarrollo de Suba.; servicio que corresponde a uno de los servicios del portafolio.
</t>
  </si>
  <si>
    <r>
      <rPr>
        <b/>
        <sz val="10"/>
        <color theme="1"/>
        <rFont val="Arial Narrow"/>
        <family val="2"/>
      </rPr>
      <t>Se adjunta carpeta  : Riesgo 1_procesos comercialización</t>
    </r>
    <r>
      <rPr>
        <sz val="10"/>
        <color theme="1"/>
        <rFont val="Arial Narrow"/>
        <family val="2"/>
      </rPr>
      <t xml:space="preserve"> contiene subcarpeta</t>
    </r>
    <r>
      <rPr>
        <b/>
        <sz val="10"/>
        <color theme="1"/>
        <rFont val="Arial Narrow"/>
        <family val="2"/>
      </rPr>
      <t xml:space="preserve"> Proceso Arrendamiento Calle 72 </t>
    </r>
    <r>
      <rPr>
        <sz val="10"/>
        <color theme="1"/>
        <rFont val="Arial Narrow"/>
        <family val="2"/>
      </rPr>
      <t>con los archivos en pdf:
 * Anexo Técnico , * Documento de Estudios Previos, * Estudio de Mercado , * Matriz de Riesgos * Análisis del Sector * Aviso de Invitación Pública, * publicación en SECOP II y Términos de Referencia.</t>
    </r>
  </si>
  <si>
    <t>El 24 de octubre se llevó a cabo reunión con la Dirección de Contratación, para revisar las modalidades aplicables para la venta y arrendamiento de acuerdo con el  Manual de Contratación Vigente,  con la asistencia de la Directora y profesionales de la Dirección de Contratación y profesionales de la Dirección Técnica Comercial, con el fin de tener claridad sobre las modalidades y las gestiones para su trámite.</t>
  </si>
  <si>
    <r>
      <rPr>
        <sz val="10"/>
        <color theme="1"/>
        <rFont val="Arial Narrow"/>
        <family val="2"/>
      </rPr>
      <t xml:space="preserve">Se adjunta carpeta en la carpeta zip : </t>
    </r>
    <r>
      <rPr>
        <b/>
        <sz val="10"/>
        <color theme="1"/>
        <rFont val="Arial Narrow"/>
        <family val="2"/>
      </rPr>
      <t>Riesgo 1_procesos comercialización :</t>
    </r>
    <r>
      <rPr>
        <sz val="10"/>
        <color theme="1"/>
        <rFont val="Arial Narrow"/>
        <family val="2"/>
      </rPr>
      <t xml:space="preserve">
Archivo PDF: Agenda Revisión Modalidades Contratación 24_10_2024</t>
    </r>
  </si>
  <si>
    <t xml:space="preserve">En el periodo comprendido entre los meses de septiembre a diciembre a la empresa no le ha sido notificado ningún proceso judicial en su contra, sin embargo si instauró demandas judiciales en contra de terceros, dicho procesos fueron asignados a los abogados que hacen parte del equipo de defensa judicial </t>
  </si>
  <si>
    <t>La Jefe de la Oficina Jurídica revisa a diario la matriz de seguimiento de los procesos judiciales, de igual manera en los comités de autoevaluación y seguimiento se le hace un  seguimiento a los procesos judiciales y se exponen los casos más relevantes para la empresa, así como lo logros obtenidos por el equipo de defensa judicial. Aunado a lo anterior el equipo de defensa judicial se reúne con el equipo de contabilidad y se revisa uno a uno los procesos judiciales registrados en el SIPROJ.</t>
  </si>
  <si>
    <t xml:space="preserve"> Acta de seguimiento y autoevaluación  de la Oficina Jurídica y actas verificación conciliación contable procesos judiciales SIPROJ</t>
  </si>
  <si>
    <t xml:space="preserve">
1. Correo de visto bueno del profesional de Dirección Financiera meses septiembre a diciembre de 2024.
</t>
  </si>
  <si>
    <t>1. GLPI requerimiento concluido para actualización del aplicativo JSP7: inactivar las cuentas contables que se identificaron durante el período evaluado.
2. Agenda y Acta de Comité Institucional de gestión y Desempeño 6 de diciembre de 2024, aprobación  actualización de las políticas contables armonizadas con los nuevos lineamientos de la Contraloría General de la Nación en las resoluciones 332 de2022 y 286 de 2023.</t>
  </si>
  <si>
    <t>El contratista profesional tributarita encargado de revisar todas las causaciones contables verifica la adecuada liquidación de las retenciones a que haya lugar para que posteriormente la empresa consultora externa verifique la correcta retención y que en la tercera validación de control que realiza la revisoría fiscal se ratifiquen valores aplicados.</t>
  </si>
  <si>
    <t>El profesional  encargado de revisa  las causaciones contables en el período evaluado verificando la adecuada liquidación de las retenciones a que haya lugar, las cuales fueron validadas por el revisor fiscal emitiendo una hoja de ruta para los meses septiembre a diciembre de 2024</t>
  </si>
  <si>
    <t>1. Hojas de ruta firmadas por el auditor de la revisoría fiscal sobre la revisión generada a las retenciones efectuadas en el los meses septiembre a diciembre de 2024</t>
  </si>
  <si>
    <t>1. Declaraciones de retención en la fuente y retención de ICA avaladas por la Revisoría Fiscal y presentadas ante la DIAN y SDH en los meses Septiembre a Diciembre de 2024</t>
  </si>
  <si>
    <t>1. Durante el tercer cuatrimestre  se realizaron divulgaciones, campañas  y talleres enfocados en el cumplimiento al Plan de Acción, actividades desarrolladas:
* Movilidad Sostenible.
* Capacitación residuos.
* Taller compras públicas sostenibles.
* Capacitación ruta del agua.
* Capacitación huertas urbanas.
* Consejos para ahorrar energía en Navidad.</t>
  </si>
  <si>
    <t>- Se envió correo con los inventarios solicitando la revisión y firma de los mismos
- Se envió correo masivo.</t>
  </si>
  <si>
    <t xml:space="preserve">De acuerdo con las instrucciones de la Subgerencia ia de Gestión Corporativa - Dir Admva y de Tics, se realizaron las respectivas reuniones de seguimiento  a los planes de adquisiciones y de contratación en los respectivos meses.
Seguimiento administrativo, técnico y financiero mensualmente,   frente a las obligaciones contractuales, verificando el cumplimiento y  el recibo a satisfacción de los bienes y servicios contratados
* Septiembre 2024
-Se realizó Modificación No. 2 al contrato 331-2024 Arrendamiento Famoc Depanel
- Se consulta TVEC Colombia Compra Eficiente para solicitar Prórroga y Adición O.C. 126360 Cto. 125-2024 UT – Ladoinsa 2022.
- Elaboración documentos técnicos para realizar la modificación No. 1: Adición y prórroga del Contrato 125-2024, a partir del 1 de noviembre 2024 hasta 30 de marzo de 2025, es decir por el término de cinco (5) meses.
-Se verifica el anexo técnico de suministro de elementos de oficina y consumibles de impresión, el cual se encuentra en revisión de abogada de Dirección Administrativa.
- En Conjunto con el Intermediario de Seguros – Correcol, se está recopilando la información para adelantar el proceso de contratación del Programa General de Seguros, cuya vigencia de las pólizas vencen el 21 de diciembre de 2024.
-Se solicitó al Intermediario de Seguros Correcol el trámite de modificación y expedición de la póliza colectiva de vehículos, con el radicado S2024003753 de fecha 20 de septiembre de 2024.
-Se radicaron los documentos ante el intermediario de Seguros Jargu S.A., para la cotización de la modificación de la póliza de Vida Grupo.
* Octubre 2024
- Se realizó la modificación No. 1 (adición y prórroga) a la orden de compra O.C. 126360 Cto. 125-2024 UT – Ladoinsa 2022 por el término de 4 meses, es decir, del 1 de noviembre 2024 hasta 28 de febrero de 2025.
-Se ajustaron las cantidades de la ficha técnica de elementos y útiles de oficina e insumos para impresión, con el fin de hacer uso eficiente de los recursos.
-Se revisó anexo técnico de papelería según requerimiento de la Dirección de Contratación.
-Se realizó puesta en marcha del plan piloto para el uso los dispensadores de agua en la sede Edificio Porto 100, pisos 3 y 7. En concordancia a lo antes mencionado, se está apoyando el trámite contractual que atienda esta necesidad en la Empresa.
-Se recibió la póliza prorrogada hasta el 22 de diciembre de 2024.
-Se entregó la información requerida por el intermediario de seguros, la cual está siendo analizada para documentación técnica del proceso y posterior radicación en la Dirección de Contratación.
* Noviembre 2024
- Revisión de los valores cotizados de elementos y útiles de oficina e insumos para impresión, se verificó que estuvieran acordes a lo solicitado según los requerimientos de la Empresa y se aprueba para continuar con el proceso.
-Se proyectó anexo técnico para la contratación del programa de seguros generales de la empresa. 
*Diciembre 2024
-Se firmó contrato con la firma que prestará el servicio del alquiler de los equipos dispensadores de agua, quedando programado dar inicio en la última semana de diciembre de 2024.
- Avance Proceso Contractual Programa de Seguros: Se realizaron las siguientes actividades:
 *Radicación del proceso.
 *Publicación en la plataforma Secop
*Se modificaron los contratos de seguros: 334-22 Vida grupo, 429-23 UT *La Previsora – Suramericana, y la póliza Colectiva de Vehículos, por el término de un (1) mes.
</t>
  </si>
  <si>
    <t xml:space="preserve">Septiembre 2024:
- Acta de reunión Sept-24 seguimiento Contratos de Servicios Logísticos.
-Modificación No. 2. Cto. 331-2023 Famoc Depanel
-Modificación Seguro Colectivo de vehículos
Octubre 2024
- Acta de Reunión Octubre-24  Seguimiento Contratos Servicios Logísticos
- Adición y prorroga Cto. 125-2024 UT-Ladoinsa 
- Anexo técnico Papelería
Noviembre 2024
- Acta de Reunión Noviembre 24  Seguimiento Contratos Servicios Logísticos.
- Estudio de Mercado Papelería.
- Anexo Técnico Proceso de Contratación Programa de Seguros de la empresa.
Diciembre 2024
- Acta Inicio Cto. 490-2024 QUALITY WATER SERVICE COLOMBIA SAS
-Modificación Cto. 334-2022
-Modificación Cto. 429-2023 UT-La Previsora - Suramericana
</t>
  </si>
  <si>
    <t>* Desde la Dirección Administrativa y de TIC se remiten los anexos técnicos a la  Dirección de contratación, relacionados con los bienes y servicios, los cuales se encuentran programados en el plan de contratación y en el plan de adquisiciones.</t>
  </si>
  <si>
    <t>Ejecución contrato 462 de 2024_ saneamiento RenoBo diciembre de 2024
Ejecución contrato 459 de 2024_ PROTOCOLO ALISTAMIENTO, RECIBO, TRASLADO Y CUSTODIA DE 
DOCUMENTACIÓN</t>
  </si>
  <si>
    <t>Comunicación estado bandejas SGDEA - Tampus 
Solicitud creación de expedientes
Inventario único documental</t>
  </si>
  <si>
    <t>El profesional responsable del proceso de Gestión de TIC verifica una vez al mes que la copia automática del sistema JSP7 Gobierno, TAMPUS, GLPI, Intranet y de la información contenida en los servidores de la Empresa con una periodicidad de cada 12 horas, quede almacenada en los repositorios correspondientes, con el propósito de contar con información actualizada en caso de que se presente una falla. En caso de encontrar que no se realizó de manera automática, se solicita al proveedor justificación por escrito la razón por la cual no se realizó ese Backus y paralelamente se ejecute la instrucción de lanzar un backup manual de forma inmediata sin interrumpir la programación de los backups automatizados.</t>
  </si>
  <si>
    <t xml:space="preserve">1. Se realizan copias de respaldo a la infraestructura tecnológica y a los sistemas de información, verificando que el sistema JSP7 se ha mantenido en disponibilidad y estable como se muestra en los informes de infraestructura de nube.
2. En los informes de supervisión se verifica que dispone en el equipo TI de un profesional encargado de realizar los backup correspondientes a los sistemas intranet y GLPI. 
</t>
  </si>
  <si>
    <t>1. Durante el periodo evaluado se cumplen las actividades del o PD-51 Copias de respaldo V3. las cuales aseguraron los Backus se realicen de la forma adecuada.</t>
  </si>
  <si>
    <t>1. Seguimiento a tablero de control de la infraestructura de comunicaciones contratada a través del contrato 410/2023</t>
  </si>
  <si>
    <t>Registro de solicitudes de acceso lógico por parte de los supervisores de contratos en el sistema JSP7</t>
  </si>
  <si>
    <t xml:space="preserve">1  El profesional encargado de las actualizaciones las ejecutó a 4 servidores Windows.
</t>
  </si>
  <si>
    <t>1.Imagen soporte de las actualizaciones de los servidores Windows  en el periodo.</t>
  </si>
  <si>
    <t>Informes de disponibilidad del servicio de conectividad contrato 410/2023 meses septiembre a diciembre de 2024</t>
  </si>
  <si>
    <t>Reporte ordenes de servicio de mantenimiento preventivo realizados de septiembre a diciembre de 2024</t>
  </si>
  <si>
    <t xml:space="preserve">Durante los meses de septiembre, octubre, se recibió informe de calidad de la respuestas, esta pendiente el del mes de noviembre y diciembre. el porcentaje de cumplimiento del mes de septiembre fue del 100% y se envió memorando a la dependencia conforme al reporte de octubre, y a la Alcaldía Mayor con el plan de Mejoramiento, sus acciones fueron cumplidas. </t>
  </si>
  <si>
    <t>Como se aclaro mediante memorando interno la acción fue cumplida en el tercer trimestre de 2024 en el mes de julio, se documento en el protocolo GI-04 Protocolo de Atención al ciudadano pág. 28,  la descripción del control .</t>
  </si>
  <si>
    <t>La  Jefe de la Oficina de Control Interno y el Auditor Líder,  revisan el Plan de Trabajo de la auditoría y determinan el cumplimiento de las diferentes fechas del  cronograma establecido, una vez terminada cada etapa de la auditoria. Lo anterior, en concordancia con las NIAS sobre Desempeño: 2010: Planificación y 2020: Comunicación y Aprobación. En caso de identificar alguna desviación en el cronograma, se procede a identificar la causa especifica de la misma y se replantea el cronograma, remitiéndolo posteriormente al proceso auditado, por correo electrónico, previa autorización en el marco del comité CICCI cuando haya lugar a ello (cambios que superen un mes calendario)</t>
  </si>
  <si>
    <t xml:space="preserve">El 2 de septiembre de 2024 se realizó reunión entre la Jefe de disciplinarios y la profesional del área donde se verificaron los expedientes disciplinarios No. 008 de 2019 y 012- 2019, se revisaron los hechos y las pruebas remitidas en la indagación previa y se tomo la decisión entre las funcionarias de terminar y archivar los procesos No. 008-2019 y 012-2019.                                                                                                                                                                                                                                                                                                                                                                                                                                                                                                                                                                                                                                                                                                                                                             El 4 de septiembre de 2024 se realizó reunión entre la Jefe de disciplinarios y el profesional del área donde se verificaron los expedientes disciplinarios No. 003- 2020, 006- 2022, 001- 2023, 002- 2023- 003- 2023 y 007- 2022, se revisaron los hechos y las pruebas remitidas en la indagación previa y en la investigación disciplinaria y se tomo la decisión entre los funcionarios de terminar y archivar los procesos No. 003- 2020, 006- 2022, 001- 2023, 002- 2023, 003- 2023 y 007- 2022.                                                                                                       El 3 de octubre de 2024 se realizó la reunión entre la Jefe de disciplinarios y los profesionales del área donde se verificaron la pruebas allegadas dentro de las etapas de indagación previa e investigación disciplinaria dentro de los expedientes No. 013-2019 , 001- 2021 y 008- 2022, también se revisaron los hechos y las pruebas allegadas y se tomó la decisión entre los funcionarios de terminar y archivar dentro de los expedientes disciplinarios No. 013-2019, 001- 2021 y 008- 2022.                                                                                                                                                                                                                                                                                                                                                                                                                                                                                                                                             El 5 de noviembre de 2024 se realizó la reunión entre la Jefe de disciplinarios y los profesionales del área donde se verificó los hechos y las pruebas allegadas en la indagación previa e investigación disciplinaria dentro de los expedientes disciplinarios No. 003- 2021, 004- 2021, 006- 2023 y 007- 2023 y se tomo la decisión entre los funcionarios de proyectar auto de terminación y archivo dentro de los expedientes disciplinarios No. 003-2021, 004-2021, 006- 2023 y 007- 2023.                                                                                                                                    El 3 de diciembre de 2024 se realizó la reunión entre la jefe de disciplinarios y los profesionales del área donde se verificó los hechos y las pruebas allegadas en la indagación previa dentro del expediente disciplinario No. 008- 2023 y se tomo la decisión entre los funcionarios de proyectar auto de terminación y archivo dentro del expediente disciplinario No. 008-2023.                                                                                                                                                                                                                                                                                                                                                                                                                                                                                                                                                                                                                                                                                                                                                                            </t>
  </si>
  <si>
    <t>En cada etapa de la instrucción el profesional sustanciador verifica los términos establecidos en la ley, y lo consigna en el archivo de seguimiento disponible en Drive compartido por la Oficina. Si al verificar la queja, informe o denuncia hay dudas sobre la prescripción, esta se determinará con base en las pruebas allegadas al expediente en la etapa de indagación previa. A partir de lo anterior,  se proyectan las decisiones, las cuales son entregadas al Jefe de la Oficina de Control Disciplinario Interno, quien verifica los términos, pruebas y la decisión a tomar.</t>
  </si>
  <si>
    <t xml:space="preserve">El 4 de septiembre de 2024 se realizó reunión entre la Jefe de disciplinarios y los profesionales del área, donde se verificaron los términos de prescripción de los expedientes disciplinarios No. 006- 2022, 001- 2023, 002- 2023 y 003- 2023, dentro de los hechos y las pruebas se encontró que  se materializó el riesgo por prescripción, por lo tanto, se tomo la decisión de elaborar el auto que declara la extinción de la acción disciplinaria por prescripción y ordena la terminación de los procesos y los archivos definitivos de las indagaciones previas, de esta decisión se le comunicará a la Procuraduría General de la Nación y a la Personería de Bogotá. Acta mes de septiembre de 2024.                                                                                                                                                                                                                                                                                                                                                                                                                                                                                                         El 1 de octubre de 2024 se realizó la reunión entre la Jefe de disciplinarios y los profesionales del área, en la cual se verificaron los términos de prescripción de los procesos disciplinarios No. 013- 2019, 001- 2021, 008- 2022, en los cuales se revisaron los hechos y las pruebas y se tomó la decisión de elaborar por parte de los profesionales los autos conforme a derecho y posterior revisión y firma de la jefe. Acta mes de octubre- 2024.                                                                                                                                                                                                                                                                                                                                                                                                                   El 7 de noviembre de 2024 se realizó la reunión entre la Jefe de disciplinarios y los profesionales del área, donde se verificaron los términos de prescripción dentro de los expedientes disciplinario No. 003- 2021, 004- 2021, 006-2023 y 007- 2023, en los cuales se revisaron los hechos y las pruebas y se tomó la decisión de elaborar por parte de los profesionales los autos conforme a derecho y posterior revisión y firma de la jefe. Acta mes de noviembre de 2024.                                                                                                                                                                                                                                                                                                                                                                                                                                                          El 17 de diciembre de 2024 se realizó la reunión entre la Jefe de disciplinarios y los profesional del área donde se verificaron los términos de prescripción del proceso disciplinario No. 008- 2023, en el cual se revisaron los hechos y las pruebas y se tomó la decisión de elaborar por parte del profesional el auto conforme a derecho y posterior revisión y firma de la jefe. Acta mes de diciembre de 2024. </t>
  </si>
  <si>
    <t xml:space="preserve">Teniendo en cuenta el plan que se tiene en la Oficina de Control Disciplinarios para revisar los términos de prescripción en reunión de fecha 4 de septiembre de 2024 se verificó el Expediente No. 006- 2022, que inicia con un informe de la Personería de Bogotá, de este informe se desprendieron los Expedientes No. 001- 2023, 002- 2023 y 003- 2023, sin embargo, el traslado del informe por competencia por parte de la Personería de Bogotá fue después de 4 años, es decir, los hechos fueron establecidos para los años 2017 y 2018, y fueron puestos en conocimiento en el año 5 (vigencia 2017) y en el año 4 (vigencia 2018). </t>
  </si>
  <si>
    <t>1. Informe del sistema JSP7 ERP CLOUD para los meses septiembre, octubre, noviembre , diciembre.
2.Imagen soporte de que los Informes nube y Backup están  día a 31 de diciembre de 2024 en cumplimiento al procedimiento PD-51 Copias de respaldo V3.</t>
  </si>
  <si>
    <t>Avance Promedio</t>
  </si>
  <si>
    <t>Seguimiento elaborado por:</t>
  </si>
  <si>
    <t>Lily Johanna Moreno Gonzalez</t>
  </si>
  <si>
    <t>Revisado y aprobado por:</t>
  </si>
  <si>
    <t>Jefe OCI</t>
  </si>
  <si>
    <t>El proceso cuenta con el enlace del semáforo de desviaciones y riesgos con probabilidad de materialización de los proyectos que se encuentran en ejecución. 
https://docs.google.com/spreadsheets/d/1PMzflj_1M4c1R84wH7ii14THNJ7p-bUfiVZtSz1kvOg/edit?usp=drivesdk</t>
  </si>
  <si>
    <r>
      <rPr>
        <b/>
        <sz val="10"/>
        <color theme="1"/>
        <rFont val="Arial Narrow"/>
        <family val="2"/>
      </rPr>
      <t>Carpeta : Riesgo 2 _ Ofertas- con 7 subcarpetas</t>
    </r>
    <r>
      <rPr>
        <sz val="10"/>
        <color theme="1"/>
        <rFont val="Arial Narrow"/>
        <family val="2"/>
      </rPr>
      <t xml:space="preserve"> :
</t>
    </r>
    <r>
      <rPr>
        <b/>
        <sz val="10"/>
        <color theme="1"/>
        <rFont val="Arial Narrow"/>
        <family val="2"/>
      </rPr>
      <t>IDRD - CEFE 2024</t>
    </r>
    <r>
      <rPr>
        <sz val="10"/>
        <color theme="1"/>
        <rFont val="Arial Narrow"/>
        <family val="2"/>
      </rPr>
      <t xml:space="preserve">: contiene 18 archivos incluye la propuesta su radicado y el contrato suscrito
</t>
    </r>
    <r>
      <rPr>
        <b/>
        <sz val="10"/>
        <color theme="1"/>
        <rFont val="Arial Narrow"/>
        <family val="2"/>
      </rPr>
      <t>UAESP_ECOPUNTOS 2024</t>
    </r>
    <r>
      <rPr>
        <sz val="10"/>
        <color theme="1"/>
        <rFont val="Arial Narrow"/>
        <family val="2"/>
      </rPr>
      <t xml:space="preserve">: contiene 29 archivos incluye oferta, su radicado y el contrato suscrito. 
</t>
    </r>
    <r>
      <rPr>
        <b/>
        <sz val="10"/>
        <color theme="1"/>
        <rFont val="Arial Narrow"/>
        <family val="2"/>
      </rPr>
      <t>UAESP - CEMENTERIO :</t>
    </r>
    <r>
      <rPr>
        <sz val="10"/>
        <color theme="1"/>
        <rFont val="Arial Narrow"/>
        <family val="2"/>
      </rPr>
      <t xml:space="preserve">  contiene 5 archivos, incluye  propuesta su radicado y contrato suscrito.
</t>
    </r>
    <r>
      <rPr>
        <b/>
        <sz val="10"/>
        <color theme="1"/>
        <rFont val="Arial Narrow"/>
        <family val="2"/>
      </rPr>
      <t xml:space="preserve">SEC DE SEGURIDAD_ CENTRO DE DETENCION: </t>
    </r>
    <r>
      <rPr>
        <sz val="10"/>
        <color theme="1"/>
        <rFont val="Arial Narrow"/>
        <family val="2"/>
      </rPr>
      <t>contiene 8 archivos dentro de los que se encuentra la oferta, su radicado y el contrato suscrito.</t>
    </r>
    <r>
      <rPr>
        <b/>
        <sz val="10"/>
        <color theme="1"/>
        <rFont val="Arial Narrow"/>
        <family val="2"/>
      </rPr>
      <t xml:space="preserve"> 
SECRETARIA DE SEGURIDAD - CARCEL II: </t>
    </r>
    <r>
      <rPr>
        <sz val="10"/>
        <color theme="1"/>
        <rFont val="Arial Narrow"/>
        <family val="2"/>
      </rPr>
      <t xml:space="preserve"> contiene 4 archivos incluye  propuesta su radicado y contrato suscrito.
</t>
    </r>
    <r>
      <rPr>
        <b/>
        <sz val="10"/>
        <color theme="1"/>
        <rFont val="Arial Narrow"/>
        <family val="2"/>
      </rPr>
      <t>MINCULTURA</t>
    </r>
    <r>
      <rPr>
        <sz val="10"/>
        <color theme="1"/>
        <rFont val="Arial Narrow"/>
        <family val="2"/>
      </rPr>
      <t xml:space="preserve">: contiene 4  archivos con las ofertas remitidas, sus respectivos radicados y el contrato suscrito.
</t>
    </r>
    <r>
      <rPr>
        <b/>
        <sz val="10"/>
        <color theme="1"/>
        <rFont val="Arial Narrow"/>
        <family val="2"/>
      </rPr>
      <t xml:space="preserve">ALCALDÍA DE SUBA : </t>
    </r>
    <r>
      <rPr>
        <sz val="10"/>
        <color theme="1"/>
        <rFont val="Arial Narrow"/>
        <family val="2"/>
      </rPr>
      <t xml:space="preserve">carpeta ALCALDIA DE SUBA dos archivos :propuesta y radicado.
</t>
    </r>
    <r>
      <rPr>
        <b/>
        <sz val="10"/>
        <color theme="1"/>
        <rFont val="Arial Narrow"/>
        <family val="2"/>
      </rPr>
      <t xml:space="preserve">
</t>
    </r>
    <r>
      <rPr>
        <sz val="10"/>
        <color theme="1"/>
        <rFont val="Arial Narrow"/>
        <family val="2"/>
      </rPr>
      <t xml:space="preserve">
</t>
    </r>
  </si>
  <si>
    <r>
      <t xml:space="preserve">En el periodo septiembre - diciembre se realizaron gestiones para la elaboración y presentación de ofertas de servicios, las cuales cumplen con el control definido, ya que en ellas se incluye la facultad y capacidad de la Empresa para atenden el servicio ofrecido, adicionalmente se encuentran en el marco de las líneas estratégicas de negocio aprobadas ( ver presentación en pdf : Caracterización de Productos _ Servicios de RenoBo ). 
</t>
    </r>
    <r>
      <rPr>
        <b/>
        <sz val="10"/>
        <color theme="1"/>
        <rFont val="Arial Narrow"/>
        <family val="2"/>
      </rPr>
      <t xml:space="preserve">
* IDRD- CEFES:</t>
    </r>
    <r>
      <rPr>
        <sz val="10"/>
        <color theme="1"/>
        <rFont val="Arial Narrow"/>
        <family val="2"/>
      </rPr>
      <t xml:space="preserve">  Desde septiembre  el equipo de la Dirección Técnica Comercial analizó la oportunidad de negocio y trabajó una oferta de servicios enfocada en la línea de Gestor inmobiliario, con el siguiente objeto: " Formular un modelo de operación para los Centros de Felicidad que se encuentran en operación a cargo del IDRD que mejore su autosostenibilidad y propicie su reactivación económica, dentro del desarrollo urbano de la ciudad.", la cual fue radicada el 4 de octubre de 2024 con el número S2024003956 (Ver radicado y Oferta). En los numerales 1, 2 y 4 de la oferta se señala la capacidad y experiencia de la Empresa para la prestación del servicio. Esta oferta fue aceptada por el IDRD y se suscribió contrato con el número: IDRD-DG-CD-4141-2024, suscrito en SECOP. (ver contrato publicado).
</t>
    </r>
    <r>
      <rPr>
        <b/>
        <sz val="10"/>
        <color theme="1"/>
        <rFont val="Arial Narrow"/>
        <family val="2"/>
      </rPr>
      <t>* UAESP - ECOPUNTOS</t>
    </r>
    <r>
      <rPr>
        <sz val="10"/>
        <color theme="1"/>
        <rFont val="Arial Narrow"/>
        <family val="2"/>
      </rPr>
      <t xml:space="preserve">:  Se trabajó la versión final de una oferta que tiene por objeto: "Prestar el servicio de gerencia integral y administración de recursos para la ejecución del proyecto “ECOPUNTOS FIJOS”, que busca habilitar espacios en la ciudad para la recepción temporal de Residuos de Construcción y Demolición – RCD, voluminosos provenientes de pequeños generadores y residuos posconsumo provenientes de generador domiciliario en predios viabilizados por la UAESP en Bogotá D.C.”, en los numerales 1 y 2 de la oferta se  indica porque la Empresa puede realizar el servicio ofrecido.  La propuesta se radicó el 4 de diciembre de 2024 con número S2024004816. (ver propuesta y radicado); la aceptación de la misma por parte de la UAESP derivó en la suscripción del contrato UAESP 580-2024 
</t>
    </r>
    <r>
      <rPr>
        <b/>
        <sz val="10"/>
        <color theme="1"/>
        <rFont val="Arial Narrow"/>
        <family val="2"/>
      </rPr>
      <t>* UAESP - CEMENTERIO</t>
    </r>
    <r>
      <rPr>
        <sz val="10"/>
        <color theme="1"/>
        <rFont val="Arial Narrow"/>
        <family val="2"/>
      </rPr>
      <t xml:space="preserve">:  El 19 de diciembre con radicado: S2024005018, se remitió a la UAESP, la propuesta elaborada para la prestación del servicio de gerencia integral para la ejecución del proyecto de intervención temporal en el Cementerio Central y predios colindantes, en Bogotá D.C. En los numerales I al VII la propuesta presenta la experiencia y capacidad de la Empresa para la prestación del servicio ofertado. La oferta fue aceptada y derivó en la suscripción del Contrato UAESP 581-2024. 
</t>
    </r>
    <r>
      <rPr>
        <b/>
        <sz val="10"/>
        <color theme="1"/>
        <rFont val="Arial Narrow"/>
        <family val="2"/>
      </rPr>
      <t>* SECRETARIA DE SEGURIDAD - CENTRO DE DETENCIÓN TRANSITORIA</t>
    </r>
    <r>
      <rPr>
        <sz val="10"/>
        <color theme="1"/>
        <rFont val="Arial Narrow"/>
        <family val="2"/>
      </rPr>
      <t xml:space="preserve">:  En noviembre con la participación de las áreas de RenoBo y la aprobación de la Gerencia General (ver correo) se trabajó la oferta en la que "La EMPRESA ofrece sus servicios para gerenciar integralmente el proyecto que contribuya a la descongestión carcelaria y des hacinamiento a través del Centro de Detención Transitoria.". La propuesta en el numeral 2 incluye las funciones que permiten llevar a cabo el servicio ofrecido. El 29 de noviembre fue radicada en la Secretaría de Seguridad con el número S2024004748. La oferta fue aceptada y derivó en la suscripción del Contrato SCJ-1990-2024.
</t>
    </r>
    <r>
      <rPr>
        <b/>
        <sz val="10"/>
        <color theme="1"/>
        <rFont val="Arial Narrow"/>
        <family val="2"/>
      </rPr>
      <t>* SECRETARIA DE SEGURIDAD- CARCEL II:</t>
    </r>
    <r>
      <rPr>
        <sz val="10"/>
        <color theme="1"/>
        <rFont val="Arial Narrow"/>
        <family val="2"/>
      </rPr>
      <t xml:space="preserve"> En diciembre se elaboró la propuesta en la que la Empresa ofrece sus servicios para realizar el proceso de contratación de Estudios y Diseños e Interventoría, para la futura construcción de un equipamiento que contribuya a la descongestión carcelaria a través de la Segunda Cárcel Distrital, en atención a lo dispuesto en el Programa 4. Servicios centrados en la justicia, del Plan de Desarrollo Distrital “Bogotá Camina Segura”, la cual  en el numeral 3 indica la idoneidad de la Empresa para desarrollar el servicio ofrecido. La oferta fue aceptada y derivó en la suscripción del Contrato SCJ-1991-2024.
</t>
    </r>
    <r>
      <rPr>
        <b/>
        <sz val="10"/>
        <color theme="1"/>
        <rFont val="Arial Narrow"/>
        <family val="2"/>
      </rPr>
      <t xml:space="preserve">* MINCULTURA: </t>
    </r>
    <r>
      <rPr>
        <sz val="10"/>
        <color theme="1"/>
        <rFont val="Arial Narrow"/>
        <family val="2"/>
      </rPr>
      <t xml:space="preserve">Se trabajo la elaboración de una oferta, cuya versión inicial fue radicada el 25 de noviembre Radicado: S2024004646, la versión inicial se modificó por una propuesta para la prestación del servicio de gerencia integral para la ejecución del proyecto de intervención en los edificios Santiago Samper y Enfermedades Tropicales del Complejo Hospitalario San Juan de Dios, en Bogotá D.C.  La versión ajustada se remitió con Radicado S2024004922 del 11 de diciembre de 2024, en esta propuesta se detallan los factores claves que respaldan la idoneidad de la Empresa, el fundamento normativo y la capacidad de gestión. (numerales II a IV). La propuesta fue aceptada y se suscribió el Contrato 4328-2024 de MINCULTURA.
</t>
    </r>
    <r>
      <rPr>
        <b/>
        <sz val="10"/>
        <color theme="1"/>
        <rFont val="Arial Narrow"/>
        <family val="2"/>
      </rPr>
      <t>* ALCALDÍA DE SUBA:</t>
    </r>
    <r>
      <rPr>
        <sz val="10"/>
        <color theme="1"/>
        <rFont val="Arial Narrow"/>
        <family val="2"/>
      </rPr>
      <t xml:space="preserve">  Se elaboró propuesta para prestar el servicio de Gerencia Integral de obra y administración de recursos para la consolidación de nuevos espacios para la sede administrativa de la Alcaldía Menor de la Localidad de Suba, que fue remitida con radicado S2024005066 el 23 de diciembre. en el numeral 1. de la propuesta se indica la idoneidad de la Empresa para  llevar a cabo el servicio ofrecido.</t>
    </r>
  </si>
  <si>
    <r>
      <t xml:space="preserve">En el mes de noviembre de 2024 se publicó el proceso para "Entregar en arrendamiento el área de terreno que compone el predio denominado La Estación identificado con Folio de Matrícula 50C-00483943 y CHIP AAA0086PHFT ubicado en el barrio San Felipe, localidad de Barrios Unidos en Bogotá D.C.; en la página WEB de la Empresa el Banner Principal con el título : Proceso para la revitalización del Parque La Estación y en SECOP II bajo el número RENOBO-IP-07-2024 " </t>
    </r>
    <r>
      <rPr>
        <b/>
        <i/>
        <sz val="10"/>
        <color rgb="FF0070C0"/>
        <rFont val="Arial Narrow"/>
        <family val="2"/>
      </rPr>
      <t>https://community.secop.gov.co/Public/Tendering/OpportunityDetail/Index?noticeUID=CO1.NTC.7090595&amp;isFromPublicArea=True&amp;isModal=False</t>
    </r>
    <r>
      <rPr>
        <sz val="10"/>
        <color theme="1"/>
        <rFont val="Arial Narrow"/>
        <family val="2"/>
      </rPr>
      <t xml:space="preserve">
Para este proceso se aplicaron los parámetros establecidos en el Manual de Contratación vigente, en el Documento de Estudios Previos numeral 3,2 se justifica la modalidad de contratación "Invitación Pública"
Los documentos publicados en SECOP cuentan con las firmas respectivas firmas y Vistos Buenos :
* Anexo Técnico , * Documento de Estudios Previos, * Estudio de Mercado , * Matriz de Riesgos</t>
    </r>
  </si>
  <si>
    <t xml:space="preserve">Correo electrónico a lideres operativos. </t>
  </si>
  <si>
    <t>Evidencia de correos electrónicos (Invitaciones-divulgación) a Empleados públicos desde el correo de Talento Humano.
Evidencia de agendamiento por calendario desde el correo de Talento Humano.
Evidencia Listado de Participación - Registros de Asistencia.</t>
  </si>
  <si>
    <t>Actividad realizada en el primer cuatrimestre de 2024</t>
  </si>
  <si>
    <t>Contratista OCI</t>
  </si>
  <si>
    <t>Janeth Villalba Mahecha</t>
  </si>
  <si>
    <r>
      <rPr>
        <b/>
        <sz val="10"/>
        <color theme="1"/>
        <rFont val="Arial Narrow"/>
        <family val="2"/>
      </rPr>
      <t>Se adjunta carpeta  : Riesgo 1_procesos comercialización</t>
    </r>
    <r>
      <rPr>
        <sz val="10"/>
        <color theme="1"/>
        <rFont val="Arial Narrow"/>
        <family val="2"/>
      </rPr>
      <t xml:space="preserve"> contiene subcarpeta</t>
    </r>
    <r>
      <rPr>
        <b/>
        <sz val="10"/>
        <color theme="1"/>
        <rFont val="Arial Narrow"/>
        <family val="2"/>
      </rPr>
      <t xml:space="preserve"> Proceso Arrendamiento Calle 72 </t>
    </r>
    <r>
      <rPr>
        <sz val="10"/>
        <color theme="1"/>
        <rFont val="Arial Narrow"/>
        <family val="2"/>
      </rPr>
      <t>con los archivos en pdf:
 * Anexo Técnico , * Documento de Estudios Previos, * Estudio de Mercado , * Matriz de Riesgos * Análisis del Sector * Aviso de Invitación Pública, * publicación en SECOP II y Términos de Referencia.</t>
    </r>
  </si>
  <si>
    <r>
      <t xml:space="preserve">Se adjunta carpeta en la carpeta zip : </t>
    </r>
    <r>
      <rPr>
        <b/>
        <sz val="10"/>
        <color theme="1"/>
        <rFont val="Arial Narrow"/>
        <family val="2"/>
      </rPr>
      <t>Riesgo 1_procesos comercialización :</t>
    </r>
    <r>
      <rPr>
        <sz val="10"/>
        <color theme="1"/>
        <rFont val="Arial Narrow"/>
        <family val="2"/>
      </rPr>
      <t xml:space="preserve">
Archivo PDF: Agenda Revisión Modalidades Contratación 24_10_2024</t>
    </r>
  </si>
  <si>
    <r>
      <t xml:space="preserve">En el periodo septiembre - diciembre se realizaron gestiones para la elaboración y presentación de ofertas de servicios, las cuales cumplen con el control definido, ya que en ellas se incluye la facultad y capacidad de la Empresa para atenden el servicio ofrecido, adicionalmente se encuentran en el marco de las líneas estratégicas de negocio aprobadas ( ver presentación en pdf : Caracterización de Productos _ Servicios de RenoBo ). 
</t>
    </r>
    <r>
      <rPr>
        <b/>
        <sz val="10"/>
        <color theme="1"/>
        <rFont val="Arial Narrow"/>
        <family val="2"/>
      </rPr>
      <t xml:space="preserve">
* IDRD- CEFES:</t>
    </r>
    <r>
      <rPr>
        <sz val="10"/>
        <color theme="1"/>
        <rFont val="Arial Narrow"/>
        <family val="2"/>
      </rPr>
      <t xml:space="preserve">  Desde septiembre  el equipo de la Dirección Técnica Comercial analizó la oportunidad de negocio y trabajó una oferta de servicios enfocada en la línea de Gestor inmobiliario, con el siguiente objeto: " Formular un modelo de operación para los Centros de Felicidad que se encuentran en operación a cargo del IDRD que mejore su autosostenibilidad y propicie su reactivación económica, dentro del desarrollo urbano de la ciudad.", la cual fue radicada el 4 de octubre de 2024 con el número S2024003956 (Ver radicado y Oferta). En los numerales 1, 2 y 4 de la oferta se señala la capacidad y experiencia de la Empresa para la prestación del servicio. Esta oferta fue aceptada por el IDRD y se suscribió contrato con el número: IDRD-DG-CD-4141-2024, suscrito en SECOP. (ver contrato publicado).
</t>
    </r>
    <r>
      <rPr>
        <b/>
        <sz val="10"/>
        <color theme="1"/>
        <rFont val="Arial Narrow"/>
        <family val="2"/>
      </rPr>
      <t>* UAESP - ECOPUNTOS</t>
    </r>
    <r>
      <rPr>
        <sz val="10"/>
        <color theme="1"/>
        <rFont val="Arial Narrow"/>
        <family val="2"/>
      </rPr>
      <t xml:space="preserve">:  Se trabajó la versión final de una oferta que tiene por objeto: "Prestar el servicio de gerencia integral y administración de recursos para la ejecución del proyecto “ECOPUNTOS FIJOS”, que busca habilitar espacios en la ciudad para la recepción temporal de Residuos de Construcción y Demolición – RCD, voluminosos provenientes de pequeños generadores y residuos posconsumo provenientes de generador domiciliario en predios viabilizados por la UAESP en Bogotá D.C.”, en los numerales 1 y 2 de la oferta se  indica porque la Empresa puede realizar el servicio ofrecido.  La propuesta se radicó el 4 de diciembre de 2024 con número S2024004816. (ver propuesta y radicado); la aceptación de la misma por parte de la UAESP derivó en la suscripción del contrato UAESP 580-2024 
</t>
    </r>
    <r>
      <rPr>
        <b/>
        <sz val="10"/>
        <color theme="1"/>
        <rFont val="Arial Narrow"/>
        <family val="2"/>
      </rPr>
      <t>* UAESP - CEMENTERIO</t>
    </r>
    <r>
      <rPr>
        <sz val="10"/>
        <color theme="1"/>
        <rFont val="Arial Narrow"/>
        <family val="2"/>
      </rPr>
      <t xml:space="preserve">:  El 19 de diciembre con radicado: S2024005018, se remitió a la UAESP, la propuesta elaborada para la prestación del servicio de gerencia integral para la ejecución del proyecto de intervención temporal en el Cementerio Central y predios colindantes, en Bogotá D.C. En los numerales I al VII la propuesta presenta la experiencia y capacidad de la Empresa para la prestación del servicio ofertado. La oferta fue aceptada y derivó en la suscripción del Contrato UAESP 581-2024. 
</t>
    </r>
    <r>
      <rPr>
        <b/>
        <sz val="10"/>
        <color theme="1"/>
        <rFont val="Arial Narrow"/>
        <family val="2"/>
      </rPr>
      <t>* SECRETARIA DE SEGURIDAD - CENTRO DE DETENCIÓN TRANSITORIA</t>
    </r>
    <r>
      <rPr>
        <sz val="10"/>
        <color theme="1"/>
        <rFont val="Arial Narrow"/>
        <family val="2"/>
      </rPr>
      <t xml:space="preserve">:  En noviembre con la participación de las áreas de RenoBo y la aprobación de la Gerencia General (ver correo) se trabajó la oferta en la que "La EMPRESA ofrece sus servicios para gerenciar integralmente el proyecto que contribuya a la descongestión carcelaria y des hacinamiento a través del Centro de Detención Transitoria.". La propuesta en el numeral 2 incluye las funciones que permiten llevar a cabo el servicio ofrecido. El 29 de noviembre fue radicada en la Secretaría de Seguridad con el número S2024004748. La oferta fue aceptada y derivó en la suscripción del Contrato SCJ-1990-2024.
</t>
    </r>
    <r>
      <rPr>
        <b/>
        <sz val="10"/>
        <color theme="1"/>
        <rFont val="Arial Narrow"/>
        <family val="2"/>
      </rPr>
      <t>* SECRETARIA DE SEGURIDAD- CARCEL II:</t>
    </r>
    <r>
      <rPr>
        <sz val="10"/>
        <color theme="1"/>
        <rFont val="Arial Narrow"/>
        <family val="2"/>
      </rPr>
      <t xml:space="preserve"> En diciembre se elaboró la propuesta en la que la Empresa ofrece sus servicios para realizar el proceso de contratación de Estudios y Diseños e Interventoría, para la futura construcción de un equipamiento que contribuya a la descongestión carcelaria a través de la Segunda Cárcel Distrital, en atención a lo dispuesto en el Programa 4. Servicios centrados en la justicia, del Plan de Desarrollo Distrital “Bogotá Camina Segura”, la cual  en el numeral 3 indica la idoneidad de la Empresa para desarrollar el servicio ofrecido. La oferta fue aceptada y derivó en la suscripción del Contrato SCJ-1991-2024.
</t>
    </r>
    <r>
      <rPr>
        <b/>
        <sz val="10"/>
        <color theme="1"/>
        <rFont val="Arial Narrow"/>
        <family val="2"/>
      </rPr>
      <t xml:space="preserve">* MINCULTURA: </t>
    </r>
    <r>
      <rPr>
        <sz val="10"/>
        <color theme="1"/>
        <rFont val="Arial Narrow"/>
        <family val="2"/>
      </rPr>
      <t xml:space="preserve">Se trabajo la elaboración de una oferta, cuya versión inicial fue radicada el 25 de noviembre Radicado: S2024004646, la versión inicial se modificó por una propuesta para la prestación del servicio de gerencia integral para la ejecución del proyecto de intervención en los edificios Santiago Samper y Enfermedades Tropicales del Complejo Hospitalario San Juan de Dios, en Bogotá D.C.  La versión ajustada se remitió con Radicado S2024004922 del 11 de diciembre de 2024, en esta propuesta se detallan los factores claves que respaldan la idoneidad de la Empresa, el fundamento normativo y la capacidad de gestión. (numerales II a IV). La propuesta fue aceptada y se suscribió el Contrato 4328-2024 de MINCULTURA.
</t>
    </r>
    <r>
      <rPr>
        <b/>
        <sz val="10"/>
        <color theme="1"/>
        <rFont val="Arial Narrow"/>
        <family val="2"/>
      </rPr>
      <t>* ALCALDÍA DE SUBA:</t>
    </r>
    <r>
      <rPr>
        <sz val="10"/>
        <color theme="1"/>
        <rFont val="Arial Narrow"/>
        <family val="2"/>
      </rPr>
      <t xml:space="preserve">  Se elaboró propuesta para prestar el servicio de Gerencia Integral de obra y administración de recursos para la consolidación de nuevos espacios para la sede administrativa de la Alcaldía Menor de la Localidad de Suba, que fue remitida con radicado S2024005066 el 23 de diciembre. en el numeral 1. de la propuesta se indica la idoneidad de la Empresa para  llevar a cabo el servicio ofrecido.
</t>
    </r>
    <r>
      <rPr>
        <i/>
        <sz val="10"/>
        <color theme="1"/>
        <rFont val="Arial Narrow"/>
        <family val="2"/>
      </rPr>
      <t xml:space="preserve">
</t>
    </r>
    <r>
      <rPr>
        <sz val="10"/>
        <color theme="1"/>
        <rFont val="Arial Narrow"/>
        <family val="2"/>
      </rPr>
      <t xml:space="preserve"> </t>
    </r>
  </si>
  <si>
    <r>
      <t>De acuerdo con la acción de tratamiento definida, las propuestas radicadas incluyen en su presentación la línea de negocio o el servicio que se prestará   (ver archivo con la líneas de negocio aprobadas : pdf . presentación de las líneas de negocio Caracterización de Productos _ Servicios de RenoBo) ,así :
*</t>
    </r>
    <r>
      <rPr>
        <b/>
        <sz val="10"/>
        <color theme="1"/>
        <rFont val="Arial Narrow"/>
        <family val="2"/>
      </rPr>
      <t xml:space="preserve"> IDRD CEFES</t>
    </r>
    <r>
      <rPr>
        <sz val="10"/>
        <color theme="1"/>
        <rFont val="Arial Narrow"/>
        <family val="2"/>
      </rPr>
      <t xml:space="preserve">: En la comunicación S2024003956 se menciona </t>
    </r>
    <r>
      <rPr>
        <i/>
        <sz val="10"/>
        <color theme="1"/>
        <rFont val="Arial Narrow"/>
        <family val="2"/>
      </rPr>
      <t>"se remite la oferta de prestación de servicios enfocados en la gestión Inmobiliaria"</t>
    </r>
    <r>
      <rPr>
        <sz val="10"/>
        <color theme="1"/>
        <rFont val="Arial Narrow"/>
        <family val="2"/>
      </rPr>
      <t>. Así mismo, en el contenido de la propuesta radicada (numeral 4). se señala la línea estratégica asociada :  " Gestor Inmobiliario".
*</t>
    </r>
    <r>
      <rPr>
        <b/>
        <sz val="10"/>
        <color theme="1"/>
        <rFont val="Arial Narrow"/>
        <family val="2"/>
      </rPr>
      <t xml:space="preserve">UAESP ECOPUNTOS : </t>
    </r>
    <r>
      <rPr>
        <sz val="10"/>
        <color theme="1"/>
        <rFont val="Arial Narrow"/>
        <family val="2"/>
      </rPr>
      <t>Tanto la propuesta, como la comunicación de radicación mencionan la línea de negocio, la cual corresponde a uno de los servicios del portafolio</t>
    </r>
    <r>
      <rPr>
        <b/>
        <sz val="10"/>
        <color theme="1"/>
        <rFont val="Arial Narrow"/>
        <family val="2"/>
      </rPr>
      <t xml:space="preserve"> : </t>
    </r>
    <r>
      <rPr>
        <sz val="10"/>
        <color theme="1"/>
        <rFont val="Arial Narrow"/>
        <family val="2"/>
      </rPr>
      <t>"Gerencia Integral" así:  P</t>
    </r>
    <r>
      <rPr>
        <i/>
        <sz val="10"/>
        <color theme="1"/>
        <rFont val="Arial Narrow"/>
        <family val="2"/>
      </rPr>
      <t>ropuesta para: Prestar el servicio de Gerencia Integral para desarrollar el proyecto denominado “ECOPUNTOS FIJOS”  (...)</t>
    </r>
    <r>
      <rPr>
        <sz val="10"/>
        <color theme="1"/>
        <rFont val="Arial Narrow"/>
        <family val="2"/>
      </rPr>
      <t xml:space="preserve">
</t>
    </r>
    <r>
      <rPr>
        <b/>
        <sz val="10"/>
        <color theme="1"/>
        <rFont val="Arial Narrow"/>
        <family val="2"/>
      </rPr>
      <t xml:space="preserve">UAESP - CEMENTERIO : </t>
    </r>
    <r>
      <rPr>
        <sz val="10"/>
        <color theme="1"/>
        <rFont val="Arial Narrow"/>
        <family val="2"/>
      </rPr>
      <t xml:space="preserve">En el asunto de la propuesta se indica : </t>
    </r>
    <r>
      <rPr>
        <i/>
        <sz val="10"/>
        <color theme="1"/>
        <rFont val="Arial Narrow"/>
        <family val="2"/>
      </rPr>
      <t>Propuesta para la prestación del servicio de gerencia integral para la ejecución del proyecto de intervención temporal en el Cementerio Central y predios colindantes, en Bogotá D.C</t>
    </r>
    <r>
      <rPr>
        <sz val="10"/>
        <color theme="1"/>
        <rFont val="Arial Narrow"/>
        <family val="2"/>
      </rPr>
      <t xml:space="preserve">., que corresponde a uno de los servicios del portafolio aprobado, así mismo la comunicación de radicación menciona el servicio que se prestará.
</t>
    </r>
    <r>
      <rPr>
        <b/>
        <sz val="10"/>
        <color theme="1"/>
        <rFont val="Arial Narrow"/>
        <family val="2"/>
      </rPr>
      <t>SEC DE SEGURIDAD_ CENTRO DE DETENCION: E</t>
    </r>
    <r>
      <rPr>
        <sz val="10"/>
        <color theme="1"/>
        <rFont val="Arial Narrow"/>
        <family val="2"/>
      </rPr>
      <t xml:space="preserve">n el numeral 5 de la propuesta presentada se indica el servicio a prestar : </t>
    </r>
    <r>
      <rPr>
        <i/>
        <sz val="10"/>
        <color theme="1"/>
        <rFont val="Arial Narrow"/>
        <family val="2"/>
      </rPr>
      <t xml:space="preserve">La EMPRESA ofrece sus servicios para gerenciar integralmente el proyecto que contribuya a la descongestión carcelaria y des hacinamiento a través del Centro de Detención Transitoria. 
</t>
    </r>
    <r>
      <rPr>
        <b/>
        <sz val="10"/>
        <color theme="1"/>
        <rFont val="Arial Narrow"/>
        <family val="2"/>
      </rPr>
      <t>SECRETARIA DE SEGURIDAD - CARCEL II: E</t>
    </r>
    <r>
      <rPr>
        <sz val="10"/>
        <color theme="1"/>
        <rFont val="Arial Narrow"/>
        <family val="2"/>
      </rPr>
      <t xml:space="preserve">n el numeral 4. la presentación de la propuesta se incluye el servicio a prestar así: </t>
    </r>
    <r>
      <rPr>
        <i/>
        <sz val="10"/>
        <color theme="1"/>
        <rFont val="Arial Narrow"/>
        <family val="2"/>
      </rPr>
      <t xml:space="preserve">La Empresa de Renovación y Desarrollo Urbano de Bogotá D.C ofre sus servicios para realizar el proceso de contratación de Estudios y Diseños e Interventoría para la futura construcción de un equipamiento que contribuya  a la descongestión carcelaria a través de la Segunda Cárcel Distrital (...) , </t>
    </r>
    <r>
      <rPr>
        <sz val="10"/>
        <color theme="1"/>
        <rFont val="Arial Narrow"/>
        <family val="2"/>
      </rPr>
      <t>este servicio se encuentra contemplado en el portafolio, dentro de la Gerencia Integral de Proyectos (ver archivo de líneas de negocio) .
*</t>
    </r>
    <r>
      <rPr>
        <b/>
        <sz val="10"/>
        <color theme="1"/>
        <rFont val="Arial Narrow"/>
        <family val="2"/>
      </rPr>
      <t xml:space="preserve">MINCULTURA:  </t>
    </r>
    <r>
      <rPr>
        <sz val="10"/>
        <color theme="1"/>
        <rFont val="Arial Narrow"/>
        <family val="2"/>
      </rPr>
      <t xml:space="preserve">La propuesta radicada indica : </t>
    </r>
    <r>
      <rPr>
        <i/>
        <sz val="10"/>
        <color theme="1"/>
        <rFont val="Arial Narrow"/>
        <family val="2"/>
      </rPr>
      <t>Propuesta para la prestación del servicio de gerencia integral para la ejecución del proyecto de intervención en los edificios Santiago Samper y Enfermedades Tropicales del Complejo Hospitalario San Juan de Dio</t>
    </r>
    <r>
      <rPr>
        <sz val="10"/>
        <color theme="1"/>
        <rFont val="Arial Narrow"/>
        <family val="2"/>
      </rPr>
      <t xml:space="preserve">s (...),   que corresponde a uno de los servicios del portafolio.
</t>
    </r>
    <r>
      <rPr>
        <b/>
        <sz val="10"/>
        <color theme="1"/>
        <rFont val="Arial Narrow"/>
        <family val="2"/>
      </rPr>
      <t xml:space="preserve">ALCALDÍA DE SUBA : </t>
    </r>
    <r>
      <rPr>
        <sz val="10"/>
        <color theme="1"/>
        <rFont val="Arial Narrow"/>
        <family val="2"/>
      </rPr>
      <t xml:space="preserve">El asunto de la propuesta presentada refiere : </t>
    </r>
    <r>
      <rPr>
        <i/>
        <sz val="10"/>
        <color theme="1"/>
        <rFont val="Arial Narrow"/>
        <family val="2"/>
      </rPr>
      <t xml:space="preserve">Propuesta para la prestación del servicio de gerencia integral para el proceso que contribuya en la consolidación de nuevos espacios para la sede administrativa de la Alcaldía Menor de la Localidad de Suba y el Fondo de Desarrollo de Suba.; </t>
    </r>
    <r>
      <rPr>
        <sz val="10"/>
        <color theme="1"/>
        <rFont val="Arial Narrow"/>
        <family val="2"/>
      </rPr>
      <t xml:space="preserve">servicio que corresponde a uno de los servicios del portafolio.
</t>
    </r>
  </si>
  <si>
    <t xml:space="preserve">El profesional ambiental realiza verificación semestral al cumplimiento de la ejecución física y presupuestal de las metas y/o acciones ambientales priorizadas en el PACA Institucional, con el fin de evidenciar avances y logros de las mismas en la vigencia. Los resultados del seguimiento se analizan y las desviaciones que se presenten con respecto a la ejecución se les genera reformulación o ajustes al plan de acción, dichos ajustes  quedan como evidencia en un documento que se registra en a la herramienta Storm User de la Secretaria de Ambiente. </t>
  </si>
  <si>
    <t>Formulación de lineamientos para los manuales de los Comités de Compras y Contrataciones de los proyectos.</t>
  </si>
  <si>
    <t xml:space="preserve">
Se puede concluir que han sido efectivo el control y las acciones de tratamiento del Riesgo, ya que una vez aplicados, no se evidencio la materialización del Riesgo en el periodo evaluado
El porcentaje asignado a la acción de tratamiento es del 75% debido a que no se han incluido los siguientes documentos en el SIG
Guía para la gestión de Estudios y Diseño (En proceso de formalización en el sistema de Gestión)
Guía para la gestión de Ejecución de Obra  (En proceso de formalización en el sistema de Gestión)</t>
  </si>
  <si>
    <t xml:space="preserve">
Se puede concluir que han sido efectivo el control y las acciones de tratamiento del Riesgo, ya que una vez aplicados, no se evidencio la materialización del Riesgo en el periodo evaluado
El porcentaje asignado a la acción de tratamiento es del 75% debido a que no se han incluido los siguientes documentos en el SIG
1. Guía ABACO
2. Protocolo Seguridad de Tesorería 2024</t>
  </si>
  <si>
    <t xml:space="preserve">
No se evidencian actividades para el cumplimiento de los controles en el segundo semestre de 2024. Adicionalmente no se presentaron soportes para validar las acciones de tratamiento reportadas para el ultimo cuatrimestre, solo se adjunta soporte de reunión realizada el 19-09-2024 por lo que se da avance del 75% .</t>
  </si>
  <si>
    <t>Riesgo Materializado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</si>
</sst>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d/m/yyyy"/>
  </numFmts>
  <fonts count="64"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color theme="1"/>
      <name val="Arial Narrow"/>
      <family val="2"/>
    </font>
    <font>
      <sz val="10"/>
      <color rgb="FFFF0000"/>
      <name val="Arial Narrow"/>
      <family val="2"/>
    </font>
    <font>
      <b/>
      <sz val="10"/>
      <color rgb="FFFF0000"/>
      <name val="Arial Narrow"/>
      <family val="2"/>
    </font>
    <font>
      <u/>
      <sz val="11"/>
      <color theme="10"/>
      <name val="Calibri"/>
      <family val="2"/>
      <scheme val="minor"/>
    </font>
    <font>
      <sz val="10"/>
      <color theme="1"/>
      <name val="Arial Narrow"/>
      <family val="2"/>
    </font>
    <font>
      <b/>
      <i/>
      <sz val="10"/>
      <color rgb="FF0070C0"/>
      <name val="Arial Narrow"/>
      <family val="2"/>
    </font>
    <font>
      <i/>
      <sz val="10"/>
      <color theme="1"/>
      <name val="Arial Narrow"/>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9900"/>
        <bgColor indexed="64"/>
      </patternFill>
    </fill>
    <fill>
      <patternFill patternType="solid">
        <fgColor theme="9" tint="-0.249977111117893"/>
        <bgColor indexed="64"/>
      </patternFill>
    </fill>
    <fill>
      <patternFill patternType="solid">
        <fgColor theme="0" tint="-0.14999847407452621"/>
        <bgColor indexed="64"/>
      </patternFill>
    </fill>
  </fills>
  <borders count="77">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bottom/>
      <diagonal/>
    </border>
    <border>
      <left/>
      <right style="medium">
        <color theme="0"/>
      </right>
      <top/>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style="medium">
        <color indexed="64"/>
      </left>
      <right/>
      <top/>
      <bottom style="medium">
        <color theme="1"/>
      </bottom>
      <diagonal/>
    </border>
    <border>
      <left/>
      <right style="medium">
        <color theme="1"/>
      </right>
      <top/>
      <bottom style="medium">
        <color theme="1"/>
      </bottom>
      <diagonal/>
    </border>
    <border>
      <left style="dotted">
        <color rgb="FFE36C09"/>
      </left>
      <right style="dotted">
        <color rgb="FFE36C09"/>
      </right>
      <top style="dotted">
        <color rgb="FFE36C09"/>
      </top>
      <bottom style="dotted">
        <color rgb="FFE36C09"/>
      </bottom>
      <diagonal/>
    </border>
    <border>
      <left style="dashed">
        <color rgb="FFE46C0A"/>
      </left>
      <right style="dashed">
        <color rgb="FFE46C0A"/>
      </right>
      <top style="dashed">
        <color rgb="FFE46C0A"/>
      </top>
      <bottom style="dashed">
        <color rgb="FFE46C0A"/>
      </bottom>
      <diagonal/>
    </border>
    <border>
      <left style="hair">
        <color theme="9" tint="-0.24994659260841701"/>
      </left>
      <right style="hair">
        <color theme="9" tint="-0.24994659260841701"/>
      </right>
      <top style="hair">
        <color theme="9" tint="-0.24994659260841701"/>
      </top>
      <bottom style="hair">
        <color theme="9" tint="-0.24994659260841701"/>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9" fontId="14" fillId="0" borderId="0" applyFont="0" applyFill="0" applyBorder="0" applyAlignment="0" applyProtection="0"/>
    <xf numFmtId="0" fontId="46" fillId="0" borderId="0"/>
    <xf numFmtId="0" fontId="47" fillId="0" borderId="0"/>
    <xf numFmtId="0" fontId="5" fillId="0" borderId="0"/>
    <xf numFmtId="0" fontId="60" fillId="0" borderId="0" applyNumberFormat="0" applyFill="0" applyBorder="0" applyAlignment="0" applyProtection="0"/>
  </cellStyleXfs>
  <cellXfs count="559">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1" fillId="3" borderId="0" xfId="0" applyFont="1" applyFill="1" applyAlignment="1">
      <alignment vertical="center"/>
    </xf>
    <xf numFmtId="0" fontId="1" fillId="3" borderId="0" xfId="0" applyFont="1" applyFill="1" applyAlignment="1">
      <alignment horizontal="center" vertical="center"/>
    </xf>
    <xf numFmtId="0" fontId="27" fillId="0" borderId="0" xfId="0" applyFont="1" applyAlignment="1">
      <alignment vertical="center"/>
    </xf>
    <xf numFmtId="0" fontId="28" fillId="0" borderId="0" xfId="0" applyFont="1"/>
    <xf numFmtId="0" fontId="26" fillId="0" borderId="0" xfId="0" applyFont="1"/>
    <xf numFmtId="0" fontId="0" fillId="0" borderId="0" xfId="0" pivotButton="1"/>
    <xf numFmtId="0" fontId="12" fillId="0" borderId="0" xfId="0" applyFont="1" applyAlignment="1">
      <alignment horizontal="justify" vertical="center" wrapText="1" readingOrder="1"/>
    </xf>
    <xf numFmtId="0" fontId="29" fillId="0" borderId="0" xfId="0" applyFont="1"/>
    <xf numFmtId="0" fontId="31" fillId="6" borderId="0" xfId="0" applyFont="1" applyFill="1" applyAlignment="1">
      <alignment horizontal="center" vertical="center" wrapText="1" readingOrder="1"/>
    </xf>
    <xf numFmtId="0" fontId="32" fillId="0" borderId="11" xfId="0" applyFont="1" applyBorder="1" applyAlignment="1">
      <alignment horizontal="justify" vertical="center" wrapText="1" readingOrder="1"/>
    </xf>
    <xf numFmtId="0" fontId="32" fillId="0" borderId="1" xfId="0" applyFont="1" applyBorder="1" applyAlignment="1">
      <alignment horizontal="justify" vertical="center" wrapText="1" readingOrder="1"/>
    </xf>
    <xf numFmtId="0" fontId="32" fillId="5" borderId="11" xfId="0" applyFont="1" applyFill="1" applyBorder="1" applyAlignment="1">
      <alignment horizontal="center" vertical="center" wrapText="1" readingOrder="1"/>
    </xf>
    <xf numFmtId="0" fontId="32" fillId="7" borderId="1" xfId="0" applyFont="1" applyFill="1" applyBorder="1" applyAlignment="1">
      <alignment horizontal="center" vertical="center" wrapText="1" readingOrder="1"/>
    </xf>
    <xf numFmtId="0" fontId="32" fillId="4" borderId="1" xfId="0" applyFont="1" applyFill="1" applyBorder="1" applyAlignment="1">
      <alignment horizontal="center" vertical="center" wrapText="1" readingOrder="1"/>
    </xf>
    <xf numFmtId="0" fontId="32" fillId="8" borderId="1" xfId="0" applyFont="1" applyFill="1" applyBorder="1" applyAlignment="1">
      <alignment horizontal="center" vertical="center" wrapText="1" readingOrder="1"/>
    </xf>
    <xf numFmtId="0" fontId="33" fillId="9" borderId="1" xfId="0" applyFont="1" applyFill="1" applyBorder="1" applyAlignment="1">
      <alignment horizontal="center" vertical="center" wrapText="1" readingOrder="1"/>
    </xf>
    <xf numFmtId="0" fontId="32" fillId="0" borderId="11" xfId="0" applyFont="1" applyBorder="1" applyAlignment="1">
      <alignment horizontal="center" vertical="center" wrapText="1" readingOrder="1"/>
    </xf>
    <xf numFmtId="0" fontId="32" fillId="0" borderId="1" xfId="0" applyFont="1" applyBorder="1" applyAlignment="1">
      <alignment horizontal="center" vertical="center" wrapText="1" readingOrder="1"/>
    </xf>
    <xf numFmtId="0" fontId="0" fillId="3" borderId="0" xfId="0" applyFill="1"/>
    <xf numFmtId="0" fontId="48" fillId="3" borderId="43" xfId="2" applyFont="1" applyFill="1" applyBorder="1"/>
    <xf numFmtId="0" fontId="48" fillId="3" borderId="44" xfId="2" applyFont="1" applyFill="1" applyBorder="1"/>
    <xf numFmtId="0" fontId="48" fillId="3" borderId="45" xfId="2" applyFont="1" applyFill="1" applyBorder="1"/>
    <xf numFmtId="0" fontId="16" fillId="3" borderId="0" xfId="0" applyFont="1" applyFill="1" applyAlignment="1">
      <alignment vertical="center"/>
    </xf>
    <xf numFmtId="0" fontId="5" fillId="3" borderId="0" xfId="0" applyFont="1" applyFill="1"/>
    <xf numFmtId="0" fontId="35" fillId="3" borderId="0" xfId="0" applyFont="1" applyFill="1"/>
    <xf numFmtId="0" fontId="36" fillId="3" borderId="26" xfId="0" applyFont="1" applyFill="1" applyBorder="1" applyAlignment="1">
      <alignment horizontal="center" vertical="center" wrapText="1" readingOrder="1"/>
    </xf>
    <xf numFmtId="0" fontId="37" fillId="3" borderId="26" xfId="0" applyFont="1" applyFill="1" applyBorder="1" applyAlignment="1">
      <alignment horizontal="justify" vertical="center" wrapText="1" readingOrder="1"/>
    </xf>
    <xf numFmtId="9" fontId="36" fillId="3" borderId="35" xfId="0" applyNumberFormat="1" applyFont="1" applyFill="1" applyBorder="1" applyAlignment="1">
      <alignment horizontal="center" vertical="center" wrapText="1" readingOrder="1"/>
    </xf>
    <xf numFmtId="0" fontId="36" fillId="3" borderId="25" xfId="0" applyFont="1" applyFill="1" applyBorder="1" applyAlignment="1">
      <alignment horizontal="center" vertical="center" wrapText="1" readingOrder="1"/>
    </xf>
    <xf numFmtId="0" fontId="37" fillId="3" borderId="25" xfId="0" applyFont="1" applyFill="1" applyBorder="1" applyAlignment="1">
      <alignment horizontal="justify" vertical="center" wrapText="1" readingOrder="1"/>
    </xf>
    <xf numFmtId="9" fontId="36" fillId="3" borderId="30" xfId="0" applyNumberFormat="1" applyFont="1" applyFill="1" applyBorder="1" applyAlignment="1">
      <alignment horizontal="center" vertical="center" wrapText="1" readingOrder="1"/>
    </xf>
    <xf numFmtId="0" fontId="37" fillId="3" borderId="30" xfId="0" applyFont="1" applyFill="1" applyBorder="1" applyAlignment="1">
      <alignment horizontal="center" vertical="center" wrapText="1" readingOrder="1"/>
    </xf>
    <xf numFmtId="0" fontId="36" fillId="3" borderId="32" xfId="0" applyFont="1" applyFill="1" applyBorder="1" applyAlignment="1">
      <alignment horizontal="center" vertical="center" wrapText="1" readingOrder="1"/>
    </xf>
    <xf numFmtId="0" fontId="37" fillId="3" borderId="32" xfId="0" applyFont="1" applyFill="1" applyBorder="1" applyAlignment="1">
      <alignment horizontal="justify" vertical="center" wrapText="1" readingOrder="1"/>
    </xf>
    <xf numFmtId="0" fontId="37" fillId="3" borderId="33" xfId="0" applyFont="1" applyFill="1" applyBorder="1" applyAlignment="1">
      <alignment horizontal="center" vertical="center" wrapText="1" readingOrder="1"/>
    </xf>
    <xf numFmtId="0" fontId="45" fillId="3" borderId="0" xfId="0" applyFont="1" applyFill="1"/>
    <xf numFmtId="0" fontId="36" fillId="15" borderId="37" xfId="0" applyFont="1" applyFill="1" applyBorder="1" applyAlignment="1">
      <alignment horizontal="center" vertical="center" wrapText="1" readingOrder="1"/>
    </xf>
    <xf numFmtId="0" fontId="36" fillId="15" borderId="38" xfId="0" applyFont="1" applyFill="1" applyBorder="1" applyAlignment="1">
      <alignment horizontal="center" vertical="center" wrapText="1" readingOrder="1"/>
    </xf>
    <xf numFmtId="0" fontId="13" fillId="3" borderId="0" xfId="0" applyFont="1" applyFill="1"/>
    <xf numFmtId="0" fontId="30"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8" fillId="3" borderId="14" xfId="2" applyFont="1" applyFill="1" applyBorder="1"/>
    <xf numFmtId="0" fontId="53" fillId="3" borderId="0" xfId="0" applyFont="1" applyFill="1" applyAlignment="1">
      <alignment horizontal="left" vertical="center" wrapText="1"/>
    </xf>
    <xf numFmtId="0" fontId="54" fillId="3" borderId="0" xfId="0" applyFont="1" applyFill="1" applyAlignment="1">
      <alignment horizontal="left" vertical="top" wrapText="1"/>
    </xf>
    <xf numFmtId="0" fontId="48" fillId="3" borderId="0" xfId="2" applyFont="1" applyFill="1"/>
    <xf numFmtId="0" fontId="48" fillId="3" borderId="15" xfId="2" applyFont="1" applyFill="1" applyBorder="1"/>
    <xf numFmtId="0" fontId="48" fillId="3" borderId="16" xfId="2" applyFont="1" applyFill="1" applyBorder="1"/>
    <xf numFmtId="0" fontId="48" fillId="3" borderId="18" xfId="2" applyFont="1" applyFill="1" applyBorder="1"/>
    <xf numFmtId="0" fontId="48" fillId="3" borderId="17" xfId="2" applyFont="1" applyFill="1" applyBorder="1"/>
    <xf numFmtId="0" fontId="52" fillId="3" borderId="0" xfId="2" applyFont="1" applyFill="1" applyAlignment="1">
      <alignment horizontal="left" vertical="center" wrapText="1"/>
    </xf>
    <xf numFmtId="0" fontId="48" fillId="3" borderId="0" xfId="2" applyFont="1" applyFill="1" applyAlignment="1">
      <alignment horizontal="left" vertical="center" wrapText="1"/>
    </xf>
    <xf numFmtId="0" fontId="48" fillId="3" borderId="0" xfId="2" quotePrefix="1" applyFont="1" applyFill="1" applyAlignment="1">
      <alignment horizontal="left" vertical="center" wrapText="1"/>
    </xf>
    <xf numFmtId="0" fontId="50" fillId="3" borderId="14" xfId="2" quotePrefix="1" applyFont="1" applyFill="1" applyBorder="1" applyAlignment="1">
      <alignment horizontal="left" vertical="top" wrapText="1"/>
    </xf>
    <xf numFmtId="0" fontId="51" fillId="3" borderId="0" xfId="2" quotePrefix="1" applyFont="1" applyFill="1" applyAlignment="1">
      <alignment horizontal="left" vertical="top" wrapText="1"/>
    </xf>
    <xf numFmtId="0" fontId="51" fillId="3" borderId="15" xfId="2" quotePrefix="1" applyFont="1" applyFill="1" applyBorder="1" applyAlignment="1">
      <alignment horizontal="left" vertical="top" wrapText="1"/>
    </xf>
    <xf numFmtId="0" fontId="1" fillId="0" borderId="6" xfId="0" applyFont="1" applyBorder="1" applyAlignment="1">
      <alignment horizontal="center" vertical="center"/>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 fillId="3" borderId="0" xfId="0" applyFont="1" applyFill="1" applyAlignment="1">
      <alignment horizontal="center" vertical="center" wrapText="1"/>
    </xf>
    <xf numFmtId="0" fontId="1" fillId="3" borderId="0" xfId="0" applyFont="1" applyFill="1" applyAlignment="1">
      <alignment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6" fillId="0" borderId="2" xfId="0" applyFont="1" applyBorder="1" applyAlignment="1" applyProtection="1">
      <alignment horizontal="center" vertical="center"/>
      <protection locked="0"/>
    </xf>
    <xf numFmtId="0" fontId="6" fillId="0" borderId="2" xfId="0" applyFont="1" applyBorder="1" applyAlignment="1">
      <alignment horizontal="center" vertical="center"/>
    </xf>
    <xf numFmtId="164" fontId="6" fillId="0" borderId="2" xfId="1" applyNumberFormat="1" applyFont="1" applyFill="1" applyBorder="1" applyAlignment="1">
      <alignment horizontal="center" vertical="center"/>
    </xf>
    <xf numFmtId="164" fontId="6" fillId="3" borderId="2" xfId="1" applyNumberFormat="1" applyFont="1" applyFill="1" applyBorder="1" applyAlignment="1">
      <alignment horizontal="center" vertical="center"/>
    </xf>
    <xf numFmtId="164" fontId="48" fillId="0" borderId="2" xfId="1" applyNumberFormat="1" applyFont="1" applyFill="1" applyBorder="1" applyAlignment="1">
      <alignment horizontal="center" vertical="center"/>
    </xf>
    <xf numFmtId="0" fontId="6" fillId="0" borderId="0" xfId="0" applyFont="1" applyAlignment="1">
      <alignment vertical="center"/>
    </xf>
    <xf numFmtId="0" fontId="6" fillId="3" borderId="2" xfId="0" applyFont="1" applyFill="1" applyBorder="1" applyAlignment="1" applyProtection="1">
      <alignment horizontal="center" vertical="center"/>
      <protection locked="0"/>
    </xf>
    <xf numFmtId="14" fontId="6" fillId="3" borderId="2" xfId="0" applyNumberFormat="1" applyFont="1" applyFill="1" applyBorder="1" applyAlignment="1" applyProtection="1">
      <alignment horizontal="center" vertical="center" wrapText="1"/>
      <protection locked="0"/>
    </xf>
    <xf numFmtId="0" fontId="57" fillId="3" borderId="2" xfId="0" applyFont="1" applyFill="1" applyBorder="1" applyAlignment="1" applyProtection="1">
      <alignment horizontal="center" vertical="center" textRotation="90" wrapText="1"/>
      <protection hidden="1"/>
    </xf>
    <xf numFmtId="9" fontId="6" fillId="3" borderId="4" xfId="0" applyNumberFormat="1" applyFont="1" applyFill="1" applyBorder="1" applyAlignment="1" applyProtection="1">
      <alignment horizontal="center" vertical="center"/>
      <protection hidden="1"/>
    </xf>
    <xf numFmtId="0" fontId="57" fillId="3" borderId="2" xfId="0" applyFont="1" applyFill="1" applyBorder="1" applyAlignment="1" applyProtection="1">
      <alignment horizontal="center" vertical="center" textRotation="90"/>
      <protection hidden="1"/>
    </xf>
    <xf numFmtId="0" fontId="6" fillId="3" borderId="4" xfId="0" applyFont="1" applyFill="1" applyBorder="1" applyAlignment="1" applyProtection="1">
      <alignment horizontal="center" vertical="center" textRotation="90"/>
      <protection locked="0"/>
    </xf>
    <xf numFmtId="0" fontId="6" fillId="3" borderId="2" xfId="0" applyFont="1" applyFill="1" applyBorder="1" applyAlignment="1" applyProtection="1">
      <alignment horizontal="justify" vertical="center" wrapText="1"/>
      <protection locked="0"/>
    </xf>
    <xf numFmtId="0" fontId="6" fillId="3" borderId="2" xfId="0" applyFont="1" applyFill="1" applyBorder="1" applyAlignment="1" applyProtection="1">
      <alignment horizontal="center" vertical="center"/>
      <protection hidden="1"/>
    </xf>
    <xf numFmtId="0" fontId="6" fillId="3" borderId="2" xfId="0" applyFont="1" applyFill="1" applyBorder="1" applyAlignment="1">
      <alignment horizontal="center" vertical="center"/>
    </xf>
    <xf numFmtId="0" fontId="6" fillId="3" borderId="2" xfId="0" applyFont="1" applyFill="1" applyBorder="1" applyAlignment="1" applyProtection="1">
      <alignment horizontal="center" vertical="center" textRotation="90"/>
      <protection locked="0"/>
    </xf>
    <xf numFmtId="9" fontId="6" fillId="3" borderId="2" xfId="0" applyNumberFormat="1" applyFont="1" applyFill="1" applyBorder="1" applyAlignment="1" applyProtection="1">
      <alignment horizontal="center" vertical="center"/>
      <protection hidden="1"/>
    </xf>
    <xf numFmtId="0" fontId="48" fillId="0" borderId="2" xfId="0" applyFont="1" applyBorder="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58" fillId="0" borderId="0" xfId="0" applyFont="1" applyAlignment="1">
      <alignment vertical="center"/>
    </xf>
    <xf numFmtId="0" fontId="48" fillId="0" borderId="0" xfId="0" applyFont="1" applyAlignment="1">
      <alignment vertical="center"/>
    </xf>
    <xf numFmtId="0" fontId="6" fillId="3" borderId="0" xfId="0" applyFont="1" applyFill="1" applyAlignment="1">
      <alignment horizontal="center" vertical="center"/>
    </xf>
    <xf numFmtId="0" fontId="19" fillId="12" borderId="12" xfId="0" applyFont="1" applyFill="1" applyBorder="1" applyAlignment="1" applyProtection="1">
      <alignment horizontal="center" vertical="center" wrapText="1" readingOrder="1"/>
      <protection hidden="1"/>
    </xf>
    <xf numFmtId="0" fontId="19" fillId="12" borderId="19" xfId="0" applyFont="1" applyFill="1" applyBorder="1" applyAlignment="1" applyProtection="1">
      <alignment horizontal="center" vertical="center" wrapText="1" readingOrder="1"/>
      <protection hidden="1"/>
    </xf>
    <xf numFmtId="0" fontId="19" fillId="12" borderId="13"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vertical="center" wrapText="1" readingOrder="1"/>
      <protection hidden="1"/>
    </xf>
    <xf numFmtId="0" fontId="19" fillId="12" borderId="15" xfId="0" applyFont="1" applyFill="1" applyBorder="1" applyAlignment="1" applyProtection="1">
      <alignment horizontal="center" vertical="center" wrapText="1" readingOrder="1"/>
      <protection hidden="1"/>
    </xf>
    <xf numFmtId="0" fontId="19" fillId="13" borderId="12" xfId="0" applyFont="1" applyFill="1" applyBorder="1" applyAlignment="1" applyProtection="1">
      <alignment horizontal="center" vertical="center" wrapText="1" readingOrder="1"/>
      <protection hidden="1"/>
    </xf>
    <xf numFmtId="0" fontId="19" fillId="13" borderId="19" xfId="0" applyFont="1" applyFill="1" applyBorder="1" applyAlignment="1" applyProtection="1">
      <alignment horizontal="center" vertical="center" wrapText="1" readingOrder="1"/>
      <protection hidden="1"/>
    </xf>
    <xf numFmtId="0" fontId="19" fillId="13" borderId="13" xfId="0" applyFont="1" applyFill="1" applyBorder="1" applyAlignment="1" applyProtection="1">
      <alignment horizontal="center" vertical="center" wrapText="1" readingOrder="1"/>
      <protection hidden="1"/>
    </xf>
    <xf numFmtId="0" fontId="19" fillId="13" borderId="14" xfId="0" applyFont="1" applyFill="1" applyBorder="1" applyAlignment="1" applyProtection="1">
      <alignment horizontal="center" vertical="center" wrapText="1" readingOrder="1"/>
      <protection hidden="1"/>
    </xf>
    <xf numFmtId="0" fontId="19" fillId="13" borderId="15" xfId="0" applyFont="1" applyFill="1" applyBorder="1" applyAlignment="1" applyProtection="1">
      <alignment horizontal="center" vertical="center" wrapText="1" readingOrder="1"/>
      <protection hidden="1"/>
    </xf>
    <xf numFmtId="0" fontId="19" fillId="13" borderId="16" xfId="0" applyFont="1" applyFill="1" applyBorder="1" applyAlignment="1" applyProtection="1">
      <alignment horizontal="center" vertical="center" wrapText="1" readingOrder="1"/>
      <protection hidden="1"/>
    </xf>
    <xf numFmtId="0" fontId="19" fillId="13" borderId="18" xfId="0" applyFont="1" applyFill="1" applyBorder="1" applyAlignment="1" applyProtection="1">
      <alignment horizontal="center" vertical="center" wrapText="1" readingOrder="1"/>
      <protection hidden="1"/>
    </xf>
    <xf numFmtId="0" fontId="19" fillId="13" borderId="17" xfId="0" applyFont="1" applyFill="1" applyBorder="1" applyAlignment="1" applyProtection="1">
      <alignment horizontal="center" vertical="center" wrapText="1" readingOrder="1"/>
      <protection hidden="1"/>
    </xf>
    <xf numFmtId="0" fontId="19" fillId="5" borderId="12" xfId="0" applyFont="1" applyFill="1" applyBorder="1" applyAlignment="1" applyProtection="1">
      <alignment horizontal="center" vertical="center" wrapText="1" readingOrder="1"/>
      <protection hidden="1"/>
    </xf>
    <xf numFmtId="0" fontId="19" fillId="5" borderId="19" xfId="0" applyFont="1" applyFill="1" applyBorder="1" applyAlignment="1" applyProtection="1">
      <alignment horizontal="center" vertical="center" wrapText="1" readingOrder="1"/>
      <protection hidden="1"/>
    </xf>
    <xf numFmtId="0" fontId="19" fillId="5" borderId="13" xfId="0" applyFont="1" applyFill="1" applyBorder="1" applyAlignment="1" applyProtection="1">
      <alignment horizontal="center" vertical="center" wrapText="1" readingOrder="1"/>
      <protection hidden="1"/>
    </xf>
    <xf numFmtId="0" fontId="19" fillId="5" borderId="14" xfId="0" applyFont="1" applyFill="1" applyBorder="1" applyAlignment="1" applyProtection="1">
      <alignment horizontal="center" vertical="center" wrapText="1" readingOrder="1"/>
      <protection hidden="1"/>
    </xf>
    <xf numFmtId="0" fontId="19" fillId="5" borderId="15" xfId="0" applyFont="1" applyFill="1" applyBorder="1" applyAlignment="1" applyProtection="1">
      <alignment horizontal="center" vertical="center" wrapText="1" readingOrder="1"/>
      <protection hidden="1"/>
    </xf>
    <xf numFmtId="0" fontId="19" fillId="5" borderId="16" xfId="0" applyFont="1" applyFill="1" applyBorder="1" applyAlignment="1" applyProtection="1">
      <alignment horizontal="center" vertical="center" wrapText="1" readingOrder="1"/>
      <protection hidden="1"/>
    </xf>
    <xf numFmtId="0" fontId="19" fillId="5" borderId="18" xfId="0" applyFont="1" applyFill="1" applyBorder="1" applyAlignment="1" applyProtection="1">
      <alignment horizontal="center" vertical="center" wrapText="1" readingOrder="1"/>
      <protection hidden="1"/>
    </xf>
    <xf numFmtId="0" fontId="19" fillId="5" borderId="17" xfId="0" applyFont="1" applyFill="1" applyBorder="1" applyAlignment="1" applyProtection="1">
      <alignment horizontal="center" vertical="center" wrapText="1" readingOrder="1"/>
      <protection hidden="1"/>
    </xf>
    <xf numFmtId="0" fontId="19" fillId="12" borderId="16" xfId="0" applyFont="1" applyFill="1" applyBorder="1" applyAlignment="1" applyProtection="1">
      <alignment horizontal="center" vertical="center" wrapText="1" readingOrder="1"/>
      <protection hidden="1"/>
    </xf>
    <xf numFmtId="0" fontId="19" fillId="12" borderId="18" xfId="0" applyFont="1" applyFill="1" applyBorder="1" applyAlignment="1" applyProtection="1">
      <alignment horizontal="center" vertical="center" wrapText="1" readingOrder="1"/>
      <protection hidden="1"/>
    </xf>
    <xf numFmtId="0" fontId="19" fillId="12" borderId="17" xfId="0" applyFont="1" applyFill="1" applyBorder="1" applyAlignment="1" applyProtection="1">
      <alignment horizontal="center" vertical="center" wrapText="1" readingOrder="1"/>
      <protection hidden="1"/>
    </xf>
    <xf numFmtId="9" fontId="6" fillId="0" borderId="4" xfId="0" applyNumberFormat="1" applyFont="1" applyBorder="1" applyAlignment="1" applyProtection="1">
      <alignment horizontal="center" vertical="center" wrapText="1"/>
      <protection hidden="1"/>
    </xf>
    <xf numFmtId="9" fontId="6" fillId="0" borderId="8" xfId="0" applyNumberFormat="1" applyFont="1" applyBorder="1" applyAlignment="1" applyProtection="1">
      <alignment horizontal="center" vertical="center" wrapText="1"/>
      <protection hidden="1"/>
    </xf>
    <xf numFmtId="9" fontId="48" fillId="0" borderId="4" xfId="0" applyNumberFormat="1" applyFont="1" applyBorder="1" applyAlignment="1" applyProtection="1">
      <alignment horizontal="center" vertical="center" wrapText="1"/>
      <protection hidden="1"/>
    </xf>
    <xf numFmtId="9" fontId="48" fillId="0" borderId="8" xfId="0" applyNumberFormat="1" applyFont="1" applyBorder="1" applyAlignment="1" applyProtection="1">
      <alignment horizontal="center" vertical="center" wrapText="1"/>
      <protection hidden="1"/>
    </xf>
    <xf numFmtId="9" fontId="6" fillId="3" borderId="4" xfId="0" applyNumberFormat="1" applyFont="1" applyFill="1" applyBorder="1" applyAlignment="1" applyProtection="1">
      <alignment horizontal="center" vertical="center" wrapText="1"/>
      <protection hidden="1"/>
    </xf>
    <xf numFmtId="9" fontId="6" fillId="3" borderId="8" xfId="0" applyNumberFormat="1" applyFont="1" applyFill="1" applyBorder="1" applyAlignment="1" applyProtection="1">
      <alignment horizontal="center" vertical="center" wrapText="1"/>
      <protection hidden="1"/>
    </xf>
    <xf numFmtId="0" fontId="19" fillId="11" borderId="0" xfId="0" applyFont="1" applyFill="1" applyAlignment="1" applyProtection="1">
      <alignment horizontal="center" vertical="center" wrapText="1" readingOrder="1"/>
      <protection hidden="1"/>
    </xf>
    <xf numFmtId="0" fontId="19" fillId="12" borderId="0" xfId="0" applyFont="1" applyFill="1" applyAlignment="1" applyProtection="1">
      <alignment horizontal="center" vertical="center" wrapText="1" readingOrder="1"/>
      <protection hidden="1"/>
    </xf>
    <xf numFmtId="0" fontId="19" fillId="13" borderId="0" xfId="0" applyFont="1" applyFill="1" applyAlignment="1" applyProtection="1">
      <alignment horizontal="center" vertical="center" wrapText="1" readingOrder="1"/>
      <protection hidden="1"/>
    </xf>
    <xf numFmtId="0" fontId="19" fillId="5" borderId="0" xfId="0" applyFont="1" applyFill="1" applyAlignment="1" applyProtection="1">
      <alignment horizontal="center" vertical="center" wrapText="1" readingOrder="1"/>
      <protection hidden="1"/>
    </xf>
    <xf numFmtId="0" fontId="19" fillId="17" borderId="12" xfId="0" applyFont="1" applyFill="1" applyBorder="1" applyAlignment="1" applyProtection="1">
      <alignment horizontal="center" vertical="center" wrapText="1" readingOrder="1"/>
      <protection hidden="1"/>
    </xf>
    <xf numFmtId="0" fontId="19" fillId="17" borderId="19" xfId="0" applyFont="1" applyFill="1" applyBorder="1" applyAlignment="1" applyProtection="1">
      <alignment horizontal="center" vertical="center" wrapText="1" readingOrder="1"/>
      <protection hidden="1"/>
    </xf>
    <xf numFmtId="0" fontId="19" fillId="17" borderId="13" xfId="0" applyFont="1" applyFill="1" applyBorder="1" applyAlignment="1" applyProtection="1">
      <alignment horizontal="center" vertical="center" wrapText="1" readingOrder="1"/>
      <protection hidden="1"/>
    </xf>
    <xf numFmtId="0" fontId="19" fillId="17" borderId="14" xfId="0" applyFont="1" applyFill="1" applyBorder="1" applyAlignment="1" applyProtection="1">
      <alignment horizontal="center" vertical="center" wrapText="1" readingOrder="1"/>
      <protection hidden="1"/>
    </xf>
    <xf numFmtId="0" fontId="19" fillId="17" borderId="0" xfId="0" applyFont="1" applyFill="1" applyAlignment="1" applyProtection="1">
      <alignment horizontal="center" vertical="center" wrapText="1" readingOrder="1"/>
      <protection hidden="1"/>
    </xf>
    <xf numFmtId="0" fontId="19" fillId="17" borderId="15" xfId="0" applyFont="1" applyFill="1" applyBorder="1" applyAlignment="1" applyProtection="1">
      <alignment horizontal="center" vertical="center" wrapText="1" readingOrder="1"/>
      <protection hidden="1"/>
    </xf>
    <xf numFmtId="0" fontId="19" fillId="17" borderId="16" xfId="0" applyFont="1" applyFill="1" applyBorder="1" applyAlignment="1" applyProtection="1">
      <alignment horizontal="center" vertical="center" wrapText="1" readingOrder="1"/>
      <protection hidden="1"/>
    </xf>
    <xf numFmtId="0" fontId="19" fillId="17" borderId="18" xfId="0" applyFont="1" applyFill="1" applyBorder="1" applyAlignment="1" applyProtection="1">
      <alignment horizontal="center" vertical="center" wrapText="1" readingOrder="1"/>
      <protection hidden="1"/>
    </xf>
    <xf numFmtId="0" fontId="19" fillId="17" borderId="17" xfId="0" applyFont="1" applyFill="1" applyBorder="1" applyAlignment="1" applyProtection="1">
      <alignment horizontal="center" vertical="center" wrapText="1" readingOrder="1"/>
      <protection hidden="1"/>
    </xf>
    <xf numFmtId="0" fontId="4" fillId="18" borderId="0" xfId="0" applyFont="1" applyFill="1" applyAlignment="1">
      <alignment horizontal="center" vertical="center" wrapText="1"/>
    </xf>
    <xf numFmtId="0" fontId="4" fillId="18" borderId="0" xfId="0" applyFont="1" applyFill="1" applyAlignment="1">
      <alignment horizontal="center" vertical="center"/>
    </xf>
    <xf numFmtId="0" fontId="4" fillId="2" borderId="2" xfId="0" applyFont="1" applyFill="1" applyBorder="1" applyAlignment="1">
      <alignment horizontal="center" vertical="center" wrapText="1"/>
    </xf>
    <xf numFmtId="14" fontId="6" fillId="0" borderId="2" xfId="0" applyNumberFormat="1" applyFont="1" applyFill="1" applyBorder="1" applyAlignment="1" applyProtection="1">
      <alignment horizontal="justify" vertical="center" wrapText="1"/>
      <protection locked="0"/>
    </xf>
    <xf numFmtId="9" fontId="6" fillId="0" borderId="2" xfId="0" applyNumberFormat="1" applyFont="1" applyFill="1" applyBorder="1" applyAlignment="1" applyProtection="1">
      <alignment horizontal="center" vertical="center" wrapText="1"/>
      <protection locked="0"/>
    </xf>
    <xf numFmtId="14" fontId="6" fillId="0" borderId="2" xfId="0" applyNumberFormat="1"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wrapText="1"/>
      <protection locked="0"/>
    </xf>
    <xf numFmtId="0" fontId="6" fillId="0" borderId="73" xfId="0" applyFont="1" applyFill="1" applyBorder="1" applyAlignment="1">
      <alignment horizontal="left" vertical="center" wrapText="1"/>
    </xf>
    <xf numFmtId="9" fontId="6" fillId="0" borderId="73" xfId="0" applyNumberFormat="1" applyFont="1" applyFill="1" applyBorder="1" applyAlignment="1">
      <alignment horizontal="center" vertical="center" wrapText="1"/>
    </xf>
    <xf numFmtId="9" fontId="6" fillId="0" borderId="73" xfId="1" applyFont="1" applyFill="1" applyBorder="1" applyAlignment="1">
      <alignment horizontal="center" vertical="center" wrapText="1"/>
    </xf>
    <xf numFmtId="0" fontId="61" fillId="0" borderId="73" xfId="0" applyFont="1" applyFill="1" applyBorder="1" applyAlignment="1">
      <alignment horizontal="left" vertical="center" wrapText="1"/>
    </xf>
    <xf numFmtId="14" fontId="6" fillId="0" borderId="2" xfId="0" applyNumberFormat="1" applyFont="1" applyFill="1" applyBorder="1" applyAlignment="1" applyProtection="1">
      <alignment horizontal="left" vertical="center" wrapText="1"/>
      <protection locked="0"/>
    </xf>
    <xf numFmtId="0" fontId="6" fillId="0" borderId="0" xfId="0" applyFont="1" applyFill="1" applyAlignment="1">
      <alignment horizontal="center" vertical="center"/>
    </xf>
    <xf numFmtId="0" fontId="6" fillId="0" borderId="0" xfId="0" applyFont="1" applyFill="1" applyAlignment="1">
      <alignment vertical="center"/>
    </xf>
    <xf numFmtId="9" fontId="6" fillId="0" borderId="4" xfId="0" applyNumberFormat="1" applyFont="1" applyFill="1" applyBorder="1" applyAlignment="1" applyProtection="1">
      <alignment horizontal="center" vertical="center" wrapText="1"/>
      <protection locked="0"/>
    </xf>
    <xf numFmtId="9" fontId="6" fillId="0" borderId="2" xfId="0" applyNumberFormat="1" applyFont="1" applyFill="1" applyBorder="1" applyAlignment="1" applyProtection="1">
      <alignment horizontal="center" vertical="center"/>
      <protection locked="0"/>
    </xf>
    <xf numFmtId="165" fontId="6" fillId="0" borderId="73" xfId="0" applyNumberFormat="1" applyFont="1" applyFill="1" applyBorder="1" applyAlignment="1">
      <alignment horizontal="center" vertical="center" wrapText="1"/>
    </xf>
    <xf numFmtId="9" fontId="48" fillId="0" borderId="2" xfId="0" applyNumberFormat="1" applyFont="1" applyFill="1" applyBorder="1" applyAlignment="1" applyProtection="1">
      <alignment horizontal="center" vertical="center" wrapText="1"/>
      <protection locked="0"/>
    </xf>
    <xf numFmtId="14" fontId="48" fillId="0" borderId="2" xfId="0" applyNumberFormat="1" applyFont="1" applyFill="1" applyBorder="1" applyAlignment="1" applyProtection="1">
      <alignment horizontal="center" vertical="center" wrapText="1"/>
      <protection locked="0"/>
    </xf>
    <xf numFmtId="0" fontId="48" fillId="0" borderId="2" xfId="0" applyFont="1" applyFill="1" applyBorder="1" applyAlignment="1" applyProtection="1">
      <alignment horizontal="center" vertical="center"/>
      <protection locked="0"/>
    </xf>
    <xf numFmtId="14" fontId="6" fillId="0" borderId="2" xfId="0" applyNumberFormat="1" applyFont="1" applyFill="1" applyBorder="1" applyAlignment="1" applyProtection="1">
      <alignment horizontal="center" vertical="top" wrapText="1"/>
      <protection locked="0"/>
    </xf>
    <xf numFmtId="0" fontId="6" fillId="0" borderId="2"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protection locked="0"/>
    </xf>
    <xf numFmtId="9" fontId="6" fillId="0" borderId="2" xfId="0" applyNumberFormat="1" applyFont="1" applyFill="1" applyBorder="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14" fontId="6" fillId="0" borderId="4" xfId="0" quotePrefix="1" applyNumberFormat="1" applyFont="1" applyFill="1" applyBorder="1" applyAlignment="1" applyProtection="1">
      <alignment horizontal="left" vertical="center" wrapText="1"/>
      <protection locked="0"/>
    </xf>
    <xf numFmtId="14" fontId="48" fillId="0" borderId="2" xfId="0" applyNumberFormat="1" applyFont="1" applyFill="1" applyBorder="1" applyAlignment="1" applyProtection="1">
      <alignment horizontal="left" vertical="center" wrapText="1"/>
      <protection locked="0"/>
    </xf>
    <xf numFmtId="0" fontId="6" fillId="0" borderId="0" xfId="0" applyFont="1" applyFill="1" applyAlignment="1">
      <alignment horizontal="left" vertical="center" wrapText="1"/>
    </xf>
    <xf numFmtId="0" fontId="48" fillId="0" borderId="74" xfId="0" applyFont="1" applyFill="1" applyBorder="1" applyAlignment="1" applyProtection="1">
      <alignment horizontal="left" vertical="center" wrapText="1"/>
      <protection locked="0"/>
    </xf>
    <xf numFmtId="0" fontId="6" fillId="0" borderId="0" xfId="0" quotePrefix="1" applyFont="1" applyFill="1" applyAlignment="1">
      <alignment horizontal="left" vertical="center"/>
    </xf>
    <xf numFmtId="14" fontId="6" fillId="0" borderId="2" xfId="0" quotePrefix="1" applyNumberFormat="1" applyFont="1" applyFill="1" applyBorder="1" applyAlignment="1" applyProtection="1">
      <alignment horizontal="left" vertical="center" wrapText="1"/>
      <protection locked="0"/>
    </xf>
    <xf numFmtId="0" fontId="6" fillId="0" borderId="74" xfId="0" applyFont="1" applyFill="1" applyBorder="1" applyAlignment="1" applyProtection="1">
      <alignment horizontal="left" vertical="center" wrapText="1"/>
      <protection locked="0"/>
    </xf>
    <xf numFmtId="0" fontId="6" fillId="0" borderId="0" xfId="0" applyFont="1" applyFill="1" applyAlignment="1">
      <alignment horizontal="left" vertical="center"/>
    </xf>
    <xf numFmtId="14" fontId="60" fillId="0" borderId="2" xfId="5" applyNumberFormat="1" applyFill="1" applyBorder="1" applyAlignment="1" applyProtection="1">
      <alignment horizontal="left" vertical="center" wrapText="1"/>
      <protection locked="0"/>
    </xf>
    <xf numFmtId="9" fontId="60" fillId="0" borderId="2" xfId="5" applyNumberFormat="1" applyFill="1" applyBorder="1" applyAlignment="1" applyProtection="1">
      <alignment horizontal="left" vertical="center" wrapText="1"/>
      <protection locked="0"/>
    </xf>
    <xf numFmtId="0" fontId="6" fillId="0" borderId="2" xfId="0" applyFont="1" applyFill="1" applyBorder="1" applyAlignment="1" applyProtection="1">
      <alignment horizontal="left" wrapText="1"/>
      <protection locked="0"/>
    </xf>
    <xf numFmtId="0" fontId="6" fillId="0" borderId="2" xfId="0" quotePrefix="1" applyFont="1" applyFill="1" applyBorder="1" applyAlignment="1" applyProtection="1">
      <alignment horizontal="left" vertical="center" wrapText="1"/>
      <protection locked="0"/>
    </xf>
    <xf numFmtId="9" fontId="6" fillId="0" borderId="73" xfId="0" applyNumberFormat="1" applyFont="1" applyFill="1" applyBorder="1" applyAlignment="1">
      <alignment horizontal="left" vertical="center" wrapText="1"/>
    </xf>
    <xf numFmtId="9" fontId="23" fillId="0" borderId="2" xfId="0" applyNumberFormat="1" applyFont="1" applyFill="1" applyBorder="1" applyAlignment="1" applyProtection="1">
      <alignment horizontal="center" vertical="center" wrapText="1"/>
      <protection locked="0"/>
    </xf>
    <xf numFmtId="0" fontId="23" fillId="0" borderId="2" xfId="0" quotePrefix="1" applyFont="1" applyFill="1" applyBorder="1" applyAlignment="1" applyProtection="1">
      <alignment horizontal="center" vertical="center" wrapText="1"/>
      <protection locked="0"/>
    </xf>
    <xf numFmtId="0" fontId="6" fillId="0" borderId="2" xfId="0" applyFont="1" applyFill="1" applyBorder="1" applyAlignment="1" applyProtection="1">
      <alignment horizontal="justify" vertical="center" wrapText="1"/>
      <protection locked="0"/>
    </xf>
    <xf numFmtId="0" fontId="6" fillId="0" borderId="2" xfId="0" applyFont="1" applyFill="1" applyBorder="1" applyAlignment="1" applyProtection="1">
      <alignment horizontal="center" vertical="center"/>
      <protection hidden="1"/>
    </xf>
    <xf numFmtId="0" fontId="6" fillId="0" borderId="2" xfId="0" applyFont="1" applyFill="1" applyBorder="1" applyAlignment="1" applyProtection="1">
      <alignment horizontal="center" vertical="center" textRotation="90"/>
      <protection locked="0"/>
    </xf>
    <xf numFmtId="9" fontId="6" fillId="0" borderId="2" xfId="0" applyNumberFormat="1" applyFont="1" applyFill="1" applyBorder="1" applyAlignment="1" applyProtection="1">
      <alignment horizontal="center" vertical="center"/>
      <protection hidden="1"/>
    </xf>
    <xf numFmtId="0" fontId="57" fillId="0" borderId="2" xfId="0" applyFont="1" applyFill="1" applyBorder="1" applyAlignment="1" applyProtection="1">
      <alignment horizontal="center" vertical="center" textRotation="90" wrapText="1"/>
      <protection hidden="1"/>
    </xf>
    <xf numFmtId="9" fontId="6" fillId="0" borderId="4" xfId="0" applyNumberFormat="1" applyFont="1" applyFill="1" applyBorder="1" applyAlignment="1" applyProtection="1">
      <alignment horizontal="center" vertical="center"/>
      <protection hidden="1"/>
    </xf>
    <xf numFmtId="0" fontId="57" fillId="0" borderId="2" xfId="0" applyFont="1" applyFill="1" applyBorder="1" applyAlignment="1" applyProtection="1">
      <alignment horizontal="center" vertical="center" textRotation="90"/>
      <protection hidden="1"/>
    </xf>
    <xf numFmtId="0" fontId="6" fillId="0" borderId="4" xfId="0" applyFont="1" applyFill="1" applyBorder="1" applyAlignment="1" applyProtection="1">
      <alignment horizontal="center" vertical="center" textRotation="90"/>
      <protection locked="0"/>
    </xf>
    <xf numFmtId="0" fontId="48" fillId="0" borderId="2" xfId="0" applyFont="1" applyFill="1" applyBorder="1" applyAlignment="1" applyProtection="1">
      <alignment horizontal="justify" vertical="center" wrapText="1"/>
      <protection locked="0"/>
    </xf>
    <xf numFmtId="0" fontId="6" fillId="0" borderId="2" xfId="0" applyFont="1" applyFill="1" applyBorder="1" applyAlignment="1" applyProtection="1">
      <alignment horizontal="justify" vertical="center"/>
      <protection locked="0"/>
    </xf>
    <xf numFmtId="0" fontId="48" fillId="0" borderId="2" xfId="0" applyFont="1" applyFill="1" applyBorder="1" applyAlignment="1" applyProtection="1">
      <alignment horizontal="center" vertical="center"/>
      <protection hidden="1"/>
    </xf>
    <xf numFmtId="0" fontId="48" fillId="0" borderId="2" xfId="0" applyFont="1" applyFill="1" applyBorder="1" applyAlignment="1" applyProtection="1">
      <alignment horizontal="center" vertical="center" textRotation="90"/>
      <protection locked="0"/>
    </xf>
    <xf numFmtId="9" fontId="48" fillId="0" borderId="2" xfId="0" applyNumberFormat="1" applyFont="1" applyFill="1" applyBorder="1" applyAlignment="1" applyProtection="1">
      <alignment horizontal="center" vertical="center"/>
      <protection hidden="1"/>
    </xf>
    <xf numFmtId="0" fontId="52" fillId="0" borderId="2" xfId="0" applyFont="1" applyFill="1" applyBorder="1" applyAlignment="1" applyProtection="1">
      <alignment horizontal="center" vertical="center" textRotation="90" wrapText="1"/>
      <protection hidden="1"/>
    </xf>
    <xf numFmtId="9" fontId="48" fillId="0" borderId="4" xfId="0" applyNumberFormat="1" applyFont="1" applyFill="1" applyBorder="1" applyAlignment="1" applyProtection="1">
      <alignment horizontal="center" vertical="center"/>
      <protection hidden="1"/>
    </xf>
    <xf numFmtId="0" fontId="52" fillId="0" borderId="2" xfId="0" applyFont="1" applyFill="1" applyBorder="1" applyAlignment="1" applyProtection="1">
      <alignment horizontal="center" vertical="center" textRotation="90"/>
      <protection hidden="1"/>
    </xf>
    <xf numFmtId="0" fontId="48" fillId="0" borderId="4" xfId="0" applyFont="1" applyFill="1" applyBorder="1" applyAlignment="1" applyProtection="1">
      <alignment horizontal="center" vertical="center" textRotation="90"/>
      <protection locked="0"/>
    </xf>
    <xf numFmtId="0" fontId="6" fillId="0" borderId="73" xfId="0" applyFont="1" applyFill="1" applyBorder="1" applyAlignment="1">
      <alignment horizontal="justify" vertical="center" wrapText="1"/>
    </xf>
    <xf numFmtId="0" fontId="6" fillId="0" borderId="73" xfId="0" applyFont="1" applyFill="1" applyBorder="1" applyAlignment="1">
      <alignment horizontal="center" vertical="center"/>
    </xf>
    <xf numFmtId="0" fontId="6" fillId="0" borderId="76" xfId="0" applyFont="1" applyFill="1" applyBorder="1" applyAlignment="1">
      <alignment vertical="center" wrapText="1"/>
    </xf>
    <xf numFmtId="0" fontId="6" fillId="0" borderId="76" xfId="0" applyFont="1" applyFill="1" applyBorder="1" applyAlignment="1">
      <alignment vertical="center"/>
    </xf>
    <xf numFmtId="0" fontId="6" fillId="0" borderId="2" xfId="0" quotePrefix="1" applyFont="1" applyFill="1" applyBorder="1" applyAlignment="1" applyProtection="1">
      <alignment horizontal="justify" vertical="center" wrapText="1"/>
      <protection locked="0"/>
    </xf>
    <xf numFmtId="0" fontId="6" fillId="0" borderId="6" xfId="0" applyFont="1" applyFill="1" applyBorder="1" applyAlignment="1" applyProtection="1">
      <alignment horizontal="justify" vertical="center" wrapText="1"/>
      <protection locked="0"/>
    </xf>
    <xf numFmtId="0" fontId="58" fillId="0" borderId="2" xfId="0" applyFont="1" applyFill="1" applyBorder="1" applyAlignment="1" applyProtection="1">
      <alignment horizontal="justify" vertical="center" wrapText="1"/>
      <protection locked="0"/>
    </xf>
    <xf numFmtId="0" fontId="58" fillId="0" borderId="2" xfId="0" applyFont="1" applyFill="1" applyBorder="1" applyAlignment="1" applyProtection="1">
      <alignment horizontal="center" vertical="center"/>
      <protection hidden="1"/>
    </xf>
    <xf numFmtId="0" fontId="58" fillId="0" borderId="2" xfId="0" applyFont="1" applyFill="1" applyBorder="1" applyAlignment="1" applyProtection="1">
      <alignment horizontal="center" vertical="center" textRotation="90"/>
      <protection locked="0"/>
    </xf>
    <xf numFmtId="9" fontId="58" fillId="0" borderId="2" xfId="0" applyNumberFormat="1" applyFont="1" applyFill="1" applyBorder="1" applyAlignment="1" applyProtection="1">
      <alignment horizontal="center" vertical="center"/>
      <protection hidden="1"/>
    </xf>
    <xf numFmtId="164" fontId="58" fillId="0" borderId="2" xfId="1" applyNumberFormat="1" applyFont="1" applyFill="1" applyBorder="1" applyAlignment="1">
      <alignment horizontal="center" vertical="center"/>
    </xf>
    <xf numFmtId="0" fontId="59" fillId="0" borderId="2" xfId="0" applyFont="1" applyFill="1" applyBorder="1" applyAlignment="1" applyProtection="1">
      <alignment horizontal="center" vertical="center" textRotation="90" wrapText="1"/>
      <protection hidden="1"/>
    </xf>
    <xf numFmtId="9" fontId="58" fillId="0" borderId="4" xfId="0" applyNumberFormat="1" applyFont="1" applyFill="1" applyBorder="1" applyAlignment="1" applyProtection="1">
      <alignment horizontal="center" vertical="center"/>
      <protection hidden="1"/>
    </xf>
    <xf numFmtId="0" fontId="59" fillId="0" borderId="2" xfId="0" applyFont="1" applyFill="1" applyBorder="1" applyAlignment="1" applyProtection="1">
      <alignment horizontal="center" vertical="center" textRotation="90"/>
      <protection hidden="1"/>
    </xf>
    <xf numFmtId="0" fontId="58" fillId="0" borderId="4" xfId="0" applyFont="1" applyFill="1" applyBorder="1" applyAlignment="1" applyProtection="1">
      <alignment horizontal="center" vertical="center" textRotation="90"/>
      <protection locked="0"/>
    </xf>
    <xf numFmtId="0" fontId="58" fillId="0" borderId="2" xfId="0" applyFont="1" applyFill="1" applyBorder="1" applyAlignment="1" applyProtection="1">
      <alignment horizontal="center" vertical="center"/>
      <protection locked="0"/>
    </xf>
    <xf numFmtId="14" fontId="58" fillId="0" borderId="2" xfId="0" applyNumberFormat="1" applyFont="1" applyFill="1" applyBorder="1" applyAlignment="1" applyProtection="1">
      <alignment horizontal="center" vertical="center" wrapText="1"/>
      <protection locked="0"/>
    </xf>
    <xf numFmtId="0" fontId="48" fillId="0" borderId="2" xfId="0" applyFont="1" applyFill="1" applyBorder="1" applyAlignment="1" applyProtection="1">
      <alignment horizontal="center" vertical="center" wrapText="1"/>
      <protection locked="0"/>
    </xf>
    <xf numFmtId="0" fontId="6" fillId="0" borderId="0" xfId="0" applyFont="1" applyFill="1" applyAlignment="1">
      <alignment horizontal="justify" vertical="center"/>
    </xf>
    <xf numFmtId="0" fontId="58" fillId="0" borderId="2" xfId="0" applyFont="1" applyFill="1" applyBorder="1" applyAlignment="1" applyProtection="1">
      <alignment horizontal="center" vertical="center" wrapText="1"/>
      <protection locked="0"/>
    </xf>
    <xf numFmtId="0" fontId="3" fillId="0" borderId="74" xfId="0" applyFont="1" applyFill="1" applyBorder="1" applyAlignment="1" applyProtection="1">
      <alignment horizontal="justify" vertical="center" wrapText="1"/>
      <protection locked="0"/>
    </xf>
    <xf numFmtId="0" fontId="3" fillId="0" borderId="74" xfId="0" applyFont="1" applyFill="1" applyBorder="1" applyAlignment="1" applyProtection="1">
      <alignment horizontal="center" vertical="center"/>
      <protection locked="0"/>
    </xf>
    <xf numFmtId="0" fontId="48" fillId="0" borderId="74" xfId="0" applyFont="1" applyFill="1" applyBorder="1" applyAlignment="1" applyProtection="1">
      <alignment horizontal="justify" vertical="center" wrapText="1"/>
      <protection locked="0"/>
    </xf>
    <xf numFmtId="14" fontId="3" fillId="0" borderId="74" xfId="0" applyNumberFormat="1" applyFont="1" applyFill="1" applyBorder="1" applyAlignment="1" applyProtection="1">
      <alignment horizontal="center" vertical="center" wrapText="1"/>
      <protection locked="0"/>
    </xf>
    <xf numFmtId="14" fontId="6" fillId="0" borderId="2" xfId="0" applyNumberFormat="1" applyFont="1" applyFill="1" applyBorder="1" applyAlignment="1" applyProtection="1">
      <alignment horizontal="center" vertical="center"/>
      <protection locked="0"/>
    </xf>
    <xf numFmtId="0" fontId="1" fillId="0" borderId="75" xfId="0" applyFont="1" applyFill="1" applyBorder="1" applyAlignment="1">
      <alignment horizontal="justify" vertical="center" wrapText="1"/>
    </xf>
    <xf numFmtId="0" fontId="54" fillId="3" borderId="56" xfId="2" applyFont="1" applyFill="1" applyBorder="1" applyAlignment="1">
      <alignment horizontal="justify" vertical="center" wrapText="1"/>
    </xf>
    <xf numFmtId="0" fontId="54" fillId="3" borderId="57" xfId="2" applyFont="1" applyFill="1" applyBorder="1" applyAlignment="1">
      <alignment horizontal="justify" vertical="center" wrapText="1"/>
    </xf>
    <xf numFmtId="0" fontId="53" fillId="3" borderId="63" xfId="0" applyFont="1" applyFill="1" applyBorder="1" applyAlignment="1">
      <alignment horizontal="left" vertical="center" wrapText="1"/>
    </xf>
    <xf numFmtId="0" fontId="53" fillId="3" borderId="64" xfId="0" applyFont="1" applyFill="1" applyBorder="1" applyAlignment="1">
      <alignment horizontal="left" vertical="center" wrapText="1"/>
    </xf>
    <xf numFmtId="0" fontId="53" fillId="3" borderId="50" xfId="3" applyFont="1" applyFill="1" applyBorder="1" applyAlignment="1">
      <alignment horizontal="left" vertical="top" wrapText="1" readingOrder="1"/>
    </xf>
    <xf numFmtId="0" fontId="53" fillId="3" borderId="51" xfId="3" applyFont="1" applyFill="1" applyBorder="1" applyAlignment="1">
      <alignment horizontal="left" vertical="top" wrapText="1" readingOrder="1"/>
    </xf>
    <xf numFmtId="0" fontId="54" fillId="3" borderId="52" xfId="2" applyFont="1" applyFill="1" applyBorder="1" applyAlignment="1">
      <alignment horizontal="justify" vertical="center" wrapText="1"/>
    </xf>
    <xf numFmtId="0" fontId="54" fillId="3" borderId="53" xfId="2" applyFont="1" applyFill="1" applyBorder="1" applyAlignment="1">
      <alignment horizontal="justify" vertical="center" wrapText="1"/>
    </xf>
    <xf numFmtId="0" fontId="53" fillId="3" borderId="54" xfId="0" applyFont="1" applyFill="1" applyBorder="1" applyAlignment="1">
      <alignment horizontal="left" vertical="center" wrapText="1"/>
    </xf>
    <xf numFmtId="0" fontId="53" fillId="3" borderId="55" xfId="0" applyFont="1" applyFill="1" applyBorder="1" applyAlignment="1">
      <alignment horizontal="left" vertical="center" wrapText="1"/>
    </xf>
    <xf numFmtId="0" fontId="48" fillId="3" borderId="14" xfId="2" applyFont="1" applyFill="1" applyBorder="1" applyAlignment="1">
      <alignment horizontal="left" vertical="top" wrapText="1"/>
    </xf>
    <xf numFmtId="0" fontId="48" fillId="3" borderId="0" xfId="2" applyFont="1" applyFill="1" applyAlignment="1">
      <alignment horizontal="left" vertical="top" wrapText="1"/>
    </xf>
    <xf numFmtId="0" fontId="48" fillId="3" borderId="15" xfId="2" applyFont="1" applyFill="1" applyBorder="1" applyAlignment="1">
      <alignment horizontal="left" vertical="top" wrapText="1"/>
    </xf>
    <xf numFmtId="0" fontId="53" fillId="3" borderId="65" xfId="0" applyFont="1" applyFill="1" applyBorder="1" applyAlignment="1">
      <alignment horizontal="left" vertical="center" wrapText="1"/>
    </xf>
    <xf numFmtId="0" fontId="53" fillId="3" borderId="66" xfId="0" applyFont="1" applyFill="1" applyBorder="1" applyAlignment="1">
      <alignment horizontal="left" vertical="center" wrapText="1"/>
    </xf>
    <xf numFmtId="0" fontId="54" fillId="3" borderId="58" xfId="0" applyFont="1" applyFill="1" applyBorder="1" applyAlignment="1">
      <alignment horizontal="justify" vertical="center" wrapText="1"/>
    </xf>
    <xf numFmtId="0" fontId="54" fillId="3" borderId="59" xfId="0" applyFont="1" applyFill="1" applyBorder="1" applyAlignment="1">
      <alignment horizontal="justify" vertical="center" wrapText="1"/>
    </xf>
    <xf numFmtId="0" fontId="49" fillId="14" borderId="40" xfId="2" applyFont="1" applyFill="1" applyBorder="1" applyAlignment="1">
      <alignment horizontal="center" vertical="center" wrapText="1"/>
    </xf>
    <xf numFmtId="0" fontId="49" fillId="14" borderId="41" xfId="2" applyFont="1" applyFill="1" applyBorder="1" applyAlignment="1">
      <alignment horizontal="center" vertical="center" wrapText="1"/>
    </xf>
    <xf numFmtId="0" fontId="49" fillId="14" borderId="42" xfId="2" applyFont="1" applyFill="1" applyBorder="1" applyAlignment="1">
      <alignment horizontal="center" vertical="center" wrapText="1"/>
    </xf>
    <xf numFmtId="0" fontId="48" fillId="0" borderId="14" xfId="2" quotePrefix="1" applyFont="1" applyBorder="1" applyAlignment="1">
      <alignment horizontal="left" vertical="center" wrapText="1"/>
    </xf>
    <xf numFmtId="0" fontId="48" fillId="0" borderId="0" xfId="2" quotePrefix="1" applyFont="1" applyAlignment="1">
      <alignment horizontal="left" vertical="center" wrapText="1"/>
    </xf>
    <xf numFmtId="0" fontId="48" fillId="0" borderId="15" xfId="2" quotePrefix="1" applyFont="1" applyBorder="1" applyAlignment="1">
      <alignment horizontal="left" vertical="center" wrapText="1"/>
    </xf>
    <xf numFmtId="0" fontId="48" fillId="0" borderId="60" xfId="2" quotePrefix="1" applyFont="1" applyBorder="1" applyAlignment="1">
      <alignment horizontal="left" vertical="center" wrapText="1"/>
    </xf>
    <xf numFmtId="0" fontId="48" fillId="0" borderId="61" xfId="2" quotePrefix="1" applyFont="1" applyBorder="1" applyAlignment="1">
      <alignment horizontal="left" vertical="center" wrapText="1"/>
    </xf>
    <xf numFmtId="0" fontId="48" fillId="0" borderId="62" xfId="2" quotePrefix="1" applyFont="1" applyBorder="1" applyAlignment="1">
      <alignment horizontal="left" vertical="center" wrapText="1"/>
    </xf>
    <xf numFmtId="0" fontId="50" fillId="3" borderId="43" xfId="2" quotePrefix="1" applyFont="1" applyFill="1" applyBorder="1" applyAlignment="1">
      <alignment horizontal="left" vertical="top" wrapText="1"/>
    </xf>
    <xf numFmtId="0" fontId="51" fillId="3" borderId="44" xfId="2" quotePrefix="1" applyFont="1" applyFill="1" applyBorder="1" applyAlignment="1">
      <alignment horizontal="left" vertical="top" wrapText="1"/>
    </xf>
    <xf numFmtId="0" fontId="51" fillId="3" borderId="45" xfId="2" quotePrefix="1" applyFont="1" applyFill="1" applyBorder="1" applyAlignment="1">
      <alignment horizontal="left" vertical="top" wrapText="1"/>
    </xf>
    <xf numFmtId="0" fontId="48" fillId="0" borderId="14" xfId="2" quotePrefix="1" applyFont="1" applyBorder="1" applyAlignment="1">
      <alignment horizontal="left" vertical="top" wrapText="1"/>
    </xf>
    <xf numFmtId="0" fontId="48" fillId="0" borderId="0" xfId="2" quotePrefix="1" applyFont="1" applyAlignment="1">
      <alignment horizontal="left" vertical="top" wrapText="1"/>
    </xf>
    <xf numFmtId="0" fontId="48" fillId="0" borderId="15" xfId="2" quotePrefix="1" applyFont="1" applyBorder="1" applyAlignment="1">
      <alignment horizontal="left" vertical="top" wrapText="1"/>
    </xf>
    <xf numFmtId="0" fontId="53" fillId="14" borderId="46" xfId="3" applyFont="1" applyFill="1" applyBorder="1" applyAlignment="1">
      <alignment horizontal="center" vertical="center" wrapText="1"/>
    </xf>
    <xf numFmtId="0" fontId="53" fillId="14" borderId="47" xfId="3" applyFont="1" applyFill="1" applyBorder="1" applyAlignment="1">
      <alignment horizontal="center" vertical="center" wrapText="1"/>
    </xf>
    <xf numFmtId="0" fontId="53" fillId="14" borderId="48" xfId="2" applyFont="1" applyFill="1" applyBorder="1" applyAlignment="1">
      <alignment horizontal="center" vertical="center"/>
    </xf>
    <xf numFmtId="0" fontId="53" fillId="14" borderId="49" xfId="2" applyFont="1" applyFill="1" applyBorder="1" applyAlignment="1">
      <alignment horizontal="center" vertical="center"/>
    </xf>
    <xf numFmtId="0" fontId="2" fillId="3" borderId="60" xfId="2" quotePrefix="1" applyFont="1" applyFill="1" applyBorder="1" applyAlignment="1">
      <alignment horizontal="justify" vertical="center" wrapText="1"/>
    </xf>
    <xf numFmtId="0" fontId="2" fillId="3" borderId="61" xfId="2" quotePrefix="1" applyFont="1" applyFill="1" applyBorder="1" applyAlignment="1">
      <alignment horizontal="justify" vertical="center" wrapText="1"/>
    </xf>
    <xf numFmtId="0" fontId="2" fillId="3" borderId="62" xfId="2" quotePrefix="1" applyFont="1" applyFill="1" applyBorder="1" applyAlignment="1">
      <alignment horizontal="justify" vertical="center" wrapText="1"/>
    </xf>
    <xf numFmtId="0" fontId="41" fillId="11" borderId="12" xfId="0" applyFont="1" applyFill="1" applyBorder="1" applyAlignment="1">
      <alignment horizontal="center" vertical="center" wrapText="1" readingOrder="1"/>
    </xf>
    <xf numFmtId="0" fontId="41" fillId="11" borderId="19" xfId="0" applyFont="1" applyFill="1" applyBorder="1" applyAlignment="1">
      <alignment horizontal="center" vertical="center" wrapText="1" readingOrder="1"/>
    </xf>
    <xf numFmtId="0" fontId="41" fillId="11" borderId="13" xfId="0" applyFont="1" applyFill="1" applyBorder="1" applyAlignment="1">
      <alignment horizontal="center" vertical="center" wrapText="1" readingOrder="1"/>
    </xf>
    <xf numFmtId="0" fontId="41" fillId="11" borderId="14" xfId="0" applyFont="1" applyFill="1" applyBorder="1" applyAlignment="1">
      <alignment horizontal="center" vertical="center" wrapText="1" readingOrder="1"/>
    </xf>
    <xf numFmtId="0" fontId="41" fillId="11" borderId="0" xfId="0" applyFont="1" applyFill="1" applyAlignment="1">
      <alignment horizontal="center" vertical="center" wrapText="1" readingOrder="1"/>
    </xf>
    <xf numFmtId="0" fontId="41" fillId="11" borderId="15" xfId="0" applyFont="1" applyFill="1" applyBorder="1" applyAlignment="1">
      <alignment horizontal="center" vertical="center" wrapText="1" readingOrder="1"/>
    </xf>
    <xf numFmtId="0" fontId="41" fillId="11" borderId="16" xfId="0" applyFont="1" applyFill="1" applyBorder="1" applyAlignment="1">
      <alignment horizontal="center" vertical="center" wrapText="1" readingOrder="1"/>
    </xf>
    <xf numFmtId="0" fontId="41" fillId="11" borderId="18" xfId="0" applyFont="1" applyFill="1" applyBorder="1" applyAlignment="1">
      <alignment horizontal="center" vertical="center" wrapText="1" readingOrder="1"/>
    </xf>
    <xf numFmtId="0" fontId="41" fillId="11" borderId="17" xfId="0" applyFont="1" applyFill="1" applyBorder="1" applyAlignment="1">
      <alignment horizontal="center" vertical="center" wrapText="1" readingOrder="1"/>
    </xf>
    <xf numFmtId="0" fontId="42" fillId="0" borderId="12" xfId="0" applyFont="1" applyBorder="1" applyAlignment="1">
      <alignment horizontal="center" vertical="center" wrapText="1"/>
    </xf>
    <xf numFmtId="0" fontId="42" fillId="0" borderId="19" xfId="0" applyFont="1" applyBorder="1" applyAlignment="1">
      <alignment horizontal="center" vertical="center"/>
    </xf>
    <xf numFmtId="0" fontId="42" fillId="0" borderId="14" xfId="0" applyFont="1" applyBorder="1" applyAlignment="1">
      <alignment horizontal="center" vertical="center" wrapText="1"/>
    </xf>
    <xf numFmtId="0" fontId="42" fillId="0" borderId="0" xfId="0" applyFont="1" applyAlignment="1">
      <alignment horizontal="center" vertical="center"/>
    </xf>
    <xf numFmtId="0" fontId="42" fillId="0" borderId="14" xfId="0" applyFont="1" applyBorder="1" applyAlignment="1">
      <alignment horizontal="center" vertical="center"/>
    </xf>
    <xf numFmtId="0" fontId="41" fillId="12" borderId="12" xfId="0" applyFont="1" applyFill="1" applyBorder="1" applyAlignment="1">
      <alignment horizontal="center" vertical="center" wrapText="1" readingOrder="1"/>
    </xf>
    <xf numFmtId="0" fontId="41" fillId="12" borderId="19" xfId="0" applyFont="1" applyFill="1" applyBorder="1" applyAlignment="1">
      <alignment horizontal="center" vertical="center" wrapText="1" readingOrder="1"/>
    </xf>
    <xf numFmtId="0" fontId="41" fillId="12" borderId="13" xfId="0" applyFont="1" applyFill="1" applyBorder="1" applyAlignment="1">
      <alignment horizontal="center" vertical="center" wrapText="1" readingOrder="1"/>
    </xf>
    <xf numFmtId="0" fontId="41" fillId="12" borderId="14" xfId="0" applyFont="1" applyFill="1" applyBorder="1" applyAlignment="1">
      <alignment horizontal="center" vertical="center" wrapText="1" readingOrder="1"/>
    </xf>
    <xf numFmtId="0" fontId="41" fillId="12" borderId="0" xfId="0" applyFont="1" applyFill="1" applyAlignment="1">
      <alignment horizontal="center" vertical="center" wrapText="1" readingOrder="1"/>
    </xf>
    <xf numFmtId="0" fontId="41" fillId="12" borderId="15" xfId="0" applyFont="1" applyFill="1" applyBorder="1" applyAlignment="1">
      <alignment horizontal="center" vertical="center" wrapText="1" readingOrder="1"/>
    </xf>
    <xf numFmtId="0" fontId="41" fillId="12" borderId="16" xfId="0" applyFont="1" applyFill="1" applyBorder="1" applyAlignment="1">
      <alignment horizontal="center" vertical="center" wrapText="1" readingOrder="1"/>
    </xf>
    <xf numFmtId="0" fontId="41" fillId="12" borderId="18" xfId="0" applyFont="1" applyFill="1" applyBorder="1" applyAlignment="1">
      <alignment horizontal="center" vertical="center" wrapText="1" readingOrder="1"/>
    </xf>
    <xf numFmtId="0" fontId="41" fillId="12" borderId="17" xfId="0" applyFont="1" applyFill="1" applyBorder="1" applyAlignment="1">
      <alignment horizontal="center" vertical="center" wrapText="1" readingOrder="1"/>
    </xf>
    <xf numFmtId="0" fontId="40" fillId="0" borderId="0" xfId="0" applyFont="1" applyAlignment="1">
      <alignment horizontal="center" vertical="center" wrapText="1"/>
    </xf>
    <xf numFmtId="0" fontId="22" fillId="0" borderId="0" xfId="0" applyFont="1" applyAlignment="1">
      <alignment horizontal="center" vertical="center" wrapText="1"/>
    </xf>
    <xf numFmtId="0" fontId="18" fillId="10" borderId="0" xfId="0" applyFont="1" applyFill="1" applyAlignment="1">
      <alignment horizontal="center" vertical="center" wrapText="1" readingOrder="1"/>
    </xf>
    <xf numFmtId="0" fontId="18" fillId="10" borderId="12" xfId="0" applyFont="1" applyFill="1" applyBorder="1" applyAlignment="1">
      <alignment horizontal="center" vertical="center" textRotation="90" wrapText="1" readingOrder="1"/>
    </xf>
    <xf numFmtId="0" fontId="18" fillId="10" borderId="19" xfId="0" applyFont="1" applyFill="1" applyBorder="1" applyAlignment="1">
      <alignment horizontal="center" vertical="center" textRotation="90" wrapText="1" readingOrder="1"/>
    </xf>
    <xf numFmtId="0" fontId="18" fillId="10" borderId="13" xfId="0" applyFont="1" applyFill="1" applyBorder="1" applyAlignment="1">
      <alignment horizontal="center" vertical="center" textRotation="90" wrapText="1" readingOrder="1"/>
    </xf>
    <xf numFmtId="0" fontId="18" fillId="10" borderId="14" xfId="0" applyFont="1" applyFill="1" applyBorder="1" applyAlignment="1">
      <alignment horizontal="center" vertical="center" textRotation="90" wrapText="1" readingOrder="1"/>
    </xf>
    <xf numFmtId="0" fontId="18" fillId="10" borderId="0" xfId="0" applyFont="1" applyFill="1" applyAlignment="1">
      <alignment horizontal="center" vertical="center" textRotation="90" wrapText="1" readingOrder="1"/>
    </xf>
    <xf numFmtId="0" fontId="18" fillId="10" borderId="15" xfId="0" applyFont="1" applyFill="1" applyBorder="1" applyAlignment="1">
      <alignment horizontal="center" vertical="center" textRotation="90" wrapText="1" readingOrder="1"/>
    </xf>
    <xf numFmtId="0" fontId="18" fillId="10" borderId="16" xfId="0" applyFont="1" applyFill="1" applyBorder="1" applyAlignment="1">
      <alignment horizontal="center" vertical="center" textRotation="90" wrapText="1" readingOrder="1"/>
    </xf>
    <xf numFmtId="0" fontId="18" fillId="10" borderId="18" xfId="0" applyFont="1" applyFill="1" applyBorder="1" applyAlignment="1">
      <alignment horizontal="center" vertical="center" textRotation="90" wrapText="1" readingOrder="1"/>
    </xf>
    <xf numFmtId="0" fontId="18" fillId="10" borderId="17" xfId="0" applyFont="1" applyFill="1" applyBorder="1" applyAlignment="1">
      <alignment horizontal="center" vertical="center" textRotation="90" wrapText="1" readingOrder="1"/>
    </xf>
    <xf numFmtId="0" fontId="42" fillId="0" borderId="13" xfId="0" applyFont="1" applyBorder="1" applyAlignment="1">
      <alignment horizontal="center" vertical="center"/>
    </xf>
    <xf numFmtId="0" fontId="42" fillId="0" borderId="15" xfId="0" applyFont="1" applyBorder="1" applyAlignment="1">
      <alignment horizontal="center" vertical="center"/>
    </xf>
    <xf numFmtId="0" fontId="42" fillId="0" borderId="16" xfId="0" applyFont="1" applyBorder="1" applyAlignment="1">
      <alignment horizontal="center" vertical="center"/>
    </xf>
    <xf numFmtId="0" fontId="42" fillId="0" borderId="18" xfId="0" applyFont="1" applyBorder="1" applyAlignment="1">
      <alignment horizontal="center" vertical="center"/>
    </xf>
    <xf numFmtId="0" fontId="42" fillId="0" borderId="17" xfId="0" applyFont="1" applyBorder="1" applyAlignment="1">
      <alignment horizontal="center" vertical="center"/>
    </xf>
    <xf numFmtId="0" fontId="41" fillId="5" borderId="20" xfId="0" applyFont="1" applyFill="1" applyBorder="1" applyAlignment="1">
      <alignment horizontal="center" vertical="center" wrapText="1" readingOrder="1"/>
    </xf>
    <xf numFmtId="0" fontId="41" fillId="5" borderId="0" xfId="0" applyFont="1" applyFill="1" applyAlignment="1">
      <alignment horizontal="center" vertical="center" wrapText="1" readingOrder="1"/>
    </xf>
    <xf numFmtId="0" fontId="41" fillId="5" borderId="21" xfId="0" applyFont="1" applyFill="1" applyBorder="1" applyAlignment="1">
      <alignment horizontal="center" vertical="center" wrapText="1" readingOrder="1"/>
    </xf>
    <xf numFmtId="0" fontId="41" fillId="13" borderId="12" xfId="0" applyFont="1" applyFill="1" applyBorder="1" applyAlignment="1">
      <alignment horizontal="center" vertical="center" wrapText="1" readingOrder="1"/>
    </xf>
    <xf numFmtId="0" fontId="41" fillId="13" borderId="19" xfId="0" applyFont="1" applyFill="1" applyBorder="1" applyAlignment="1">
      <alignment horizontal="center" vertical="center" wrapText="1" readingOrder="1"/>
    </xf>
    <xf numFmtId="0" fontId="41" fillId="13" borderId="13" xfId="0" applyFont="1" applyFill="1" applyBorder="1" applyAlignment="1">
      <alignment horizontal="center" vertical="center" wrapText="1" readingOrder="1"/>
    </xf>
    <xf numFmtId="0" fontId="41" fillId="13" borderId="14" xfId="0" applyFont="1" applyFill="1" applyBorder="1" applyAlignment="1">
      <alignment horizontal="center" vertical="center" wrapText="1" readingOrder="1"/>
    </xf>
    <xf numFmtId="0" fontId="41" fillId="13" borderId="0" xfId="0" applyFont="1" applyFill="1" applyAlignment="1">
      <alignment horizontal="center" vertical="center" wrapText="1" readingOrder="1"/>
    </xf>
    <xf numFmtId="0" fontId="41" fillId="13" borderId="15" xfId="0" applyFont="1" applyFill="1" applyBorder="1" applyAlignment="1">
      <alignment horizontal="center" vertical="center" wrapText="1" readingOrder="1"/>
    </xf>
    <xf numFmtId="0" fontId="41" fillId="13" borderId="16" xfId="0" applyFont="1" applyFill="1" applyBorder="1" applyAlignment="1">
      <alignment horizontal="center" vertical="center" wrapText="1" readingOrder="1"/>
    </xf>
    <xf numFmtId="0" fontId="41" fillId="13" borderId="18" xfId="0" applyFont="1" applyFill="1" applyBorder="1" applyAlignment="1">
      <alignment horizontal="center" vertical="center" wrapText="1" readingOrder="1"/>
    </xf>
    <xf numFmtId="0" fontId="41" fillId="13" borderId="17" xfId="0" applyFont="1" applyFill="1" applyBorder="1" applyAlignment="1">
      <alignment horizontal="center" vertical="center" wrapText="1" readingOrder="1"/>
    </xf>
    <xf numFmtId="0" fontId="42" fillId="0" borderId="67" xfId="0" applyFont="1" applyBorder="1" applyAlignment="1">
      <alignment horizontal="center" vertical="center" wrapText="1"/>
    </xf>
    <xf numFmtId="0" fontId="42" fillId="0" borderId="67" xfId="0" applyFont="1" applyBorder="1" applyAlignment="1">
      <alignment horizontal="center" vertical="center"/>
    </xf>
    <xf numFmtId="0" fontId="42" fillId="0" borderId="69" xfId="0" applyFont="1" applyBorder="1" applyAlignment="1">
      <alignment horizontal="center" vertical="center"/>
    </xf>
    <xf numFmtId="0" fontId="42" fillId="0" borderId="70" xfId="0" applyFont="1" applyBorder="1" applyAlignment="1">
      <alignment horizontal="center" vertical="center"/>
    </xf>
    <xf numFmtId="0" fontId="42" fillId="0" borderId="71" xfId="0" applyFont="1" applyBorder="1" applyAlignment="1">
      <alignment horizontal="center" vertical="center"/>
    </xf>
    <xf numFmtId="0" fontId="42" fillId="0" borderId="0" xfId="0" applyFont="1" applyAlignment="1">
      <alignment horizontal="center" vertical="center" wrapText="1"/>
    </xf>
    <xf numFmtId="0" fontId="42" fillId="0" borderId="68" xfId="0" applyFont="1" applyBorder="1" applyAlignment="1">
      <alignment horizontal="center" vertical="center"/>
    </xf>
    <xf numFmtId="0" fontId="42" fillId="0" borderId="72" xfId="0" applyFont="1" applyBorder="1" applyAlignment="1">
      <alignment horizontal="center" vertical="center"/>
    </xf>
    <xf numFmtId="0" fontId="1" fillId="3" borderId="0" xfId="0" applyFont="1" applyFill="1" applyAlignment="1">
      <alignment horizontal="left" vertical="center" wrapText="1"/>
    </xf>
    <xf numFmtId="0" fontId="6" fillId="3" borderId="4"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6" fillId="3" borderId="5" xfId="0" applyFont="1" applyFill="1" applyBorder="1" applyAlignment="1" applyProtection="1">
      <alignment horizontal="center" vertical="center"/>
      <protection locked="0"/>
    </xf>
    <xf numFmtId="0" fontId="57" fillId="3" borderId="4" xfId="0" applyFont="1" applyFill="1" applyBorder="1" applyAlignment="1" applyProtection="1">
      <alignment horizontal="center" vertical="center" wrapText="1"/>
      <protection hidden="1"/>
    </xf>
    <xf numFmtId="0" fontId="57" fillId="3" borderId="8" xfId="0" applyFont="1" applyFill="1" applyBorder="1" applyAlignment="1" applyProtection="1">
      <alignment horizontal="center" vertical="center" wrapText="1"/>
      <protection hidden="1"/>
    </xf>
    <xf numFmtId="0" fontId="57" fillId="3" borderId="5" xfId="0" applyFont="1" applyFill="1" applyBorder="1" applyAlignment="1" applyProtection="1">
      <alignment horizontal="center" vertical="center" wrapText="1"/>
      <protection hidden="1"/>
    </xf>
    <xf numFmtId="9" fontId="6" fillId="3" borderId="4" xfId="0" applyNumberFormat="1" applyFont="1" applyFill="1" applyBorder="1" applyAlignment="1" applyProtection="1">
      <alignment horizontal="center" vertical="center" wrapText="1"/>
      <protection hidden="1"/>
    </xf>
    <xf numFmtId="9" fontId="6" fillId="3" borderId="8" xfId="0" applyNumberFormat="1" applyFont="1" applyFill="1" applyBorder="1" applyAlignment="1" applyProtection="1">
      <alignment horizontal="center" vertical="center" wrapText="1"/>
      <protection hidden="1"/>
    </xf>
    <xf numFmtId="9" fontId="6" fillId="3" borderId="5" xfId="0" applyNumberFormat="1" applyFont="1" applyFill="1" applyBorder="1" applyAlignment="1" applyProtection="1">
      <alignment horizontal="center" vertical="center" wrapText="1"/>
      <protection hidden="1"/>
    </xf>
    <xf numFmtId="9" fontId="6" fillId="3" borderId="4" xfId="0" applyNumberFormat="1" applyFont="1" applyFill="1" applyBorder="1" applyAlignment="1" applyProtection="1">
      <alignment horizontal="center" vertical="center" wrapText="1"/>
      <protection locked="0"/>
    </xf>
    <xf numFmtId="9" fontId="6" fillId="3" borderId="8" xfId="0" applyNumberFormat="1" applyFont="1" applyFill="1" applyBorder="1" applyAlignment="1" applyProtection="1">
      <alignment horizontal="center" vertical="center" wrapText="1"/>
      <protection locked="0"/>
    </xf>
    <xf numFmtId="9" fontId="6" fillId="3" borderId="5" xfId="0" applyNumberFormat="1" applyFont="1" applyFill="1" applyBorder="1" applyAlignment="1" applyProtection="1">
      <alignment horizontal="center" vertical="center" wrapText="1"/>
      <protection locked="0"/>
    </xf>
    <xf numFmtId="0" fontId="57" fillId="3" borderId="4" xfId="0" applyFont="1" applyFill="1" applyBorder="1" applyAlignment="1" applyProtection="1">
      <alignment horizontal="center" vertical="center"/>
      <protection hidden="1"/>
    </xf>
    <xf numFmtId="0" fontId="57" fillId="3" borderId="8" xfId="0" applyFont="1" applyFill="1" applyBorder="1" applyAlignment="1" applyProtection="1">
      <alignment horizontal="center" vertical="center"/>
      <protection hidden="1"/>
    </xf>
    <xf numFmtId="0" fontId="57" fillId="3" borderId="5" xfId="0" applyFont="1" applyFill="1" applyBorder="1" applyAlignment="1" applyProtection="1">
      <alignment horizontal="center" vertical="center"/>
      <protection hidden="1"/>
    </xf>
    <xf numFmtId="0" fontId="6" fillId="3" borderId="4"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48" fillId="3" borderId="4" xfId="0" applyFont="1" applyFill="1" applyBorder="1" applyAlignment="1" applyProtection="1">
      <alignment horizontal="center" vertical="center" wrapText="1"/>
      <protection locked="0"/>
    </xf>
    <xf numFmtId="0" fontId="48" fillId="3" borderId="8" xfId="0" applyFont="1" applyFill="1" applyBorder="1" applyAlignment="1" applyProtection="1">
      <alignment horizontal="center" vertical="center" wrapText="1"/>
      <protection locked="0"/>
    </xf>
    <xf numFmtId="0" fontId="48" fillId="3" borderId="5" xfId="0"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 xfId="0" applyFont="1" applyFill="1" applyBorder="1" applyAlignment="1" applyProtection="1">
      <alignment horizontal="center" vertical="center" wrapText="1"/>
      <protection locked="0"/>
    </xf>
    <xf numFmtId="0" fontId="6" fillId="3" borderId="4" xfId="0" applyFont="1" applyFill="1" applyBorder="1" applyAlignment="1">
      <alignment horizontal="justify" vertical="center" wrapText="1"/>
    </xf>
    <xf numFmtId="0" fontId="6" fillId="3" borderId="8" xfId="0" applyFont="1" applyFill="1" applyBorder="1" applyAlignment="1">
      <alignment horizontal="justify" vertical="center" wrapText="1"/>
    </xf>
    <xf numFmtId="0" fontId="6" fillId="3" borderId="5" xfId="0" applyFont="1" applyFill="1" applyBorder="1" applyAlignment="1">
      <alignment horizontal="justify" vertical="center" wrapText="1"/>
    </xf>
    <xf numFmtId="0" fontId="6" fillId="0" borderId="8" xfId="0" applyFont="1" applyBorder="1" applyAlignment="1">
      <alignment horizontal="center" vertical="center"/>
    </xf>
    <xf numFmtId="0" fontId="6" fillId="3" borderId="4" xfId="0" applyFont="1" applyFill="1" applyBorder="1" applyAlignment="1">
      <alignment horizontal="justify" vertical="center"/>
    </xf>
    <xf numFmtId="0" fontId="6" fillId="3" borderId="8" xfId="0" applyFont="1" applyFill="1" applyBorder="1" applyAlignment="1">
      <alignment horizontal="justify" vertical="center"/>
    </xf>
    <xf numFmtId="0" fontId="6" fillId="3" borderId="5" xfId="0" applyFont="1" applyFill="1" applyBorder="1" applyAlignment="1">
      <alignment horizontal="justify" vertical="center"/>
    </xf>
    <xf numFmtId="0" fontId="48" fillId="3" borderId="4" xfId="0" applyFont="1" applyFill="1" applyBorder="1" applyAlignment="1" applyProtection="1">
      <alignment horizontal="center" vertical="center"/>
      <protection locked="0"/>
    </xf>
    <xf numFmtId="0" fontId="48" fillId="3" borderId="8" xfId="0" applyFont="1" applyFill="1" applyBorder="1" applyAlignment="1" applyProtection="1">
      <alignment horizontal="center" vertical="center"/>
      <protection locked="0"/>
    </xf>
    <xf numFmtId="0" fontId="48" fillId="3" borderId="5" xfId="0" applyFont="1" applyFill="1" applyBorder="1" applyAlignment="1" applyProtection="1">
      <alignment horizontal="center" vertical="center"/>
      <protection locked="0"/>
    </xf>
    <xf numFmtId="0" fontId="48" fillId="0" borderId="4" xfId="0" applyFont="1" applyBorder="1" applyAlignment="1" applyProtection="1">
      <alignment horizontal="center" vertical="center" wrapText="1"/>
      <protection locked="0"/>
    </xf>
    <xf numFmtId="0" fontId="48" fillId="0" borderId="8" xfId="0" applyFont="1" applyBorder="1" applyAlignment="1" applyProtection="1">
      <alignment horizontal="center" vertical="center" wrapText="1"/>
      <protection locked="0"/>
    </xf>
    <xf numFmtId="9" fontId="6" fillId="0" borderId="4" xfId="0" applyNumberFormat="1" applyFont="1" applyBorder="1" applyAlignment="1" applyProtection="1">
      <alignment horizontal="center" vertical="center" wrapText="1"/>
      <protection hidden="1"/>
    </xf>
    <xf numFmtId="9" fontId="6" fillId="0" borderId="8" xfId="0" applyNumberFormat="1" applyFont="1" applyBorder="1" applyAlignment="1" applyProtection="1">
      <alignment horizontal="center" vertical="center" wrapText="1"/>
      <protection hidden="1"/>
    </xf>
    <xf numFmtId="9" fontId="6" fillId="0" borderId="5" xfId="0" applyNumberFormat="1" applyFont="1" applyBorder="1" applyAlignment="1" applyProtection="1">
      <alignment horizontal="center" vertical="center" wrapText="1"/>
      <protection hidden="1"/>
    </xf>
    <xf numFmtId="0" fontId="57" fillId="0" borderId="4" xfId="0" applyFont="1" applyBorder="1" applyAlignment="1" applyProtection="1">
      <alignment horizontal="center" vertical="center"/>
      <protection hidden="1"/>
    </xf>
    <xf numFmtId="0" fontId="57" fillId="0" borderId="8" xfId="0" applyFont="1" applyBorder="1" applyAlignment="1" applyProtection="1">
      <alignment horizontal="center" vertical="center"/>
      <protection hidden="1"/>
    </xf>
    <xf numFmtId="0" fontId="57" fillId="0" borderId="5" xfId="0" applyFont="1" applyBorder="1" applyAlignment="1" applyProtection="1">
      <alignment horizontal="center" vertical="center"/>
      <protection hidden="1"/>
    </xf>
    <xf numFmtId="0" fontId="6" fillId="0" borderId="4"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57" fillId="0" borderId="4" xfId="0" applyFont="1" applyBorder="1" applyAlignment="1" applyProtection="1">
      <alignment horizontal="center" vertical="center" wrapText="1"/>
      <protection hidden="1"/>
    </xf>
    <xf numFmtId="0" fontId="57" fillId="0" borderId="8" xfId="0" applyFont="1" applyBorder="1" applyAlignment="1" applyProtection="1">
      <alignment horizontal="center" vertical="center" wrapText="1"/>
      <protection hidden="1"/>
    </xf>
    <xf numFmtId="0" fontId="57" fillId="0" borderId="5" xfId="0" applyFont="1" applyBorder="1" applyAlignment="1" applyProtection="1">
      <alignment horizontal="center" vertical="center" wrapText="1"/>
      <protection hidden="1"/>
    </xf>
    <xf numFmtId="9" fontId="6" fillId="0" borderId="4" xfId="0" applyNumberFormat="1" applyFont="1" applyBorder="1" applyAlignment="1" applyProtection="1">
      <alignment horizontal="center" vertical="center" wrapText="1"/>
      <protection locked="0"/>
    </xf>
    <xf numFmtId="9" fontId="6" fillId="0" borderId="8" xfId="0" applyNumberFormat="1"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4"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4" xfId="0" quotePrefix="1" applyFont="1" applyBorder="1" applyAlignment="1" applyProtection="1">
      <alignment horizontal="center" vertical="center" wrapText="1"/>
      <protection locked="0"/>
    </xf>
    <xf numFmtId="0" fontId="6" fillId="0" borderId="8" xfId="0" applyFont="1" applyBorder="1" applyAlignment="1">
      <alignment horizontal="justify" vertical="center"/>
    </xf>
    <xf numFmtId="0" fontId="48" fillId="0" borderId="4" xfId="0" quotePrefix="1" applyFont="1" applyBorder="1" applyAlignment="1" applyProtection="1">
      <alignment horizontal="center" vertical="center" wrapText="1"/>
      <protection locked="0"/>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0" fontId="48" fillId="0" borderId="8" xfId="0" quotePrefix="1" applyFont="1" applyBorder="1" applyAlignment="1" applyProtection="1">
      <alignment horizontal="center" vertical="center" wrapText="1"/>
      <protection locked="0"/>
    </xf>
    <xf numFmtId="0" fontId="48" fillId="0" borderId="5" xfId="0" quotePrefix="1" applyFont="1" applyBorder="1" applyAlignment="1" applyProtection="1">
      <alignment horizontal="center" vertical="center" wrapText="1"/>
      <protection locked="0"/>
    </xf>
    <xf numFmtId="0" fontId="52" fillId="0" borderId="4" xfId="0" applyFont="1" applyBorder="1" applyAlignment="1" applyProtection="1">
      <alignment horizontal="center" vertical="center"/>
      <protection hidden="1"/>
    </xf>
    <xf numFmtId="0" fontId="52" fillId="0" borderId="8" xfId="0" applyFont="1" applyBorder="1" applyAlignment="1" applyProtection="1">
      <alignment horizontal="center" vertical="center"/>
      <protection hidden="1"/>
    </xf>
    <xf numFmtId="0" fontId="52" fillId="0" borderId="5" xfId="0" applyFont="1" applyBorder="1" applyAlignment="1" applyProtection="1">
      <alignment horizontal="center" vertical="center"/>
      <protection hidden="1"/>
    </xf>
    <xf numFmtId="0" fontId="48" fillId="0" borderId="4" xfId="0" applyFont="1" applyBorder="1" applyAlignment="1" applyProtection="1">
      <alignment horizontal="center" vertical="center"/>
      <protection locked="0"/>
    </xf>
    <xf numFmtId="0" fontId="48" fillId="0" borderId="8" xfId="0" applyFont="1" applyBorder="1" applyAlignment="1" applyProtection="1">
      <alignment horizontal="center" vertical="center"/>
      <protection locked="0"/>
    </xf>
    <xf numFmtId="0" fontId="6" fillId="0" borderId="5" xfId="0" applyFont="1" applyBorder="1" applyAlignment="1">
      <alignment horizontal="justify" vertical="center" wrapText="1"/>
    </xf>
    <xf numFmtId="0" fontId="6" fillId="3" borderId="4" xfId="0" quotePrefix="1" applyFont="1" applyFill="1" applyBorder="1" applyAlignment="1" applyProtection="1">
      <alignment horizontal="center" vertical="center" wrapText="1"/>
      <protection locked="0"/>
    </xf>
    <xf numFmtId="0" fontId="6" fillId="3" borderId="8" xfId="0" quotePrefix="1" applyFont="1" applyFill="1" applyBorder="1" applyAlignment="1" applyProtection="1">
      <alignment horizontal="center" vertical="center" wrapText="1"/>
      <protection locked="0"/>
    </xf>
    <xf numFmtId="0" fontId="52" fillId="0" borderId="4" xfId="0" applyFont="1" applyBorder="1" applyAlignment="1" applyProtection="1">
      <alignment horizontal="center" vertical="center" wrapText="1"/>
      <protection hidden="1"/>
    </xf>
    <xf numFmtId="0" fontId="52" fillId="0" borderId="8" xfId="0" applyFont="1" applyBorder="1" applyAlignment="1" applyProtection="1">
      <alignment horizontal="center" vertical="center" wrapText="1"/>
      <protection hidden="1"/>
    </xf>
    <xf numFmtId="0" fontId="52" fillId="0" borderId="5" xfId="0" applyFont="1" applyBorder="1" applyAlignment="1" applyProtection="1">
      <alignment horizontal="center" vertical="center" wrapText="1"/>
      <protection hidden="1"/>
    </xf>
    <xf numFmtId="9" fontId="48" fillId="0" borderId="4" xfId="0" applyNumberFormat="1" applyFont="1" applyBorder="1" applyAlignment="1" applyProtection="1">
      <alignment horizontal="center" vertical="center" wrapText="1"/>
      <protection hidden="1"/>
    </xf>
    <xf numFmtId="9" fontId="48" fillId="0" borderId="8" xfId="0" applyNumberFormat="1" applyFont="1" applyBorder="1" applyAlignment="1" applyProtection="1">
      <alignment horizontal="center" vertical="center" wrapText="1"/>
      <protection hidden="1"/>
    </xf>
    <xf numFmtId="9" fontId="48" fillId="0" borderId="5" xfId="0" applyNumberFormat="1" applyFont="1" applyBorder="1" applyAlignment="1" applyProtection="1">
      <alignment horizontal="center" vertical="center" wrapText="1"/>
      <protection hidden="1"/>
    </xf>
    <xf numFmtId="9" fontId="6" fillId="0" borderId="5" xfId="0" applyNumberFormat="1" applyFont="1" applyBorder="1" applyAlignment="1" applyProtection="1">
      <alignment horizontal="center" vertical="center" wrapText="1"/>
      <protection locked="0"/>
    </xf>
    <xf numFmtId="0" fontId="48" fillId="0" borderId="5"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4" xfId="0" applyFont="1" applyBorder="1" applyAlignment="1">
      <alignment horizontal="center" vertical="center"/>
    </xf>
    <xf numFmtId="0" fontId="1" fillId="9" borderId="6" xfId="0" applyFont="1" applyFill="1" applyBorder="1" applyAlignment="1">
      <alignment horizontal="left" vertical="center" wrapText="1"/>
    </xf>
    <xf numFmtId="0" fontId="1" fillId="9" borderId="10" xfId="0" applyFont="1" applyFill="1" applyBorder="1" applyAlignment="1">
      <alignment horizontal="left" vertical="center" wrapText="1"/>
    </xf>
    <xf numFmtId="0" fontId="24" fillId="2" borderId="22" xfId="0" applyFont="1" applyFill="1" applyBorder="1" applyAlignment="1">
      <alignment horizontal="center" vertical="center" wrapText="1"/>
    </xf>
    <xf numFmtId="0" fontId="24" fillId="2" borderId="23"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2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4" fillId="2" borderId="2" xfId="0" applyFont="1" applyFill="1" applyBorder="1" applyAlignment="1">
      <alignment horizontal="center" vertical="center" wrapText="1"/>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6" fillId="0" borderId="8" xfId="0" quotePrefix="1" applyFont="1" applyBorder="1" applyAlignment="1" applyProtection="1">
      <alignment horizontal="center" vertical="center" wrapText="1"/>
      <protection locked="0"/>
    </xf>
    <xf numFmtId="0" fontId="6" fillId="0" borderId="5" xfId="0" quotePrefix="1" applyFont="1" applyBorder="1" applyAlignment="1" applyProtection="1">
      <alignment horizontal="center" vertical="center" wrapText="1"/>
      <protection locked="0"/>
    </xf>
    <xf numFmtId="0" fontId="4" fillId="18" borderId="0" xfId="0" applyFont="1" applyFill="1" applyAlignment="1">
      <alignment horizontal="center" vertical="center"/>
    </xf>
    <xf numFmtId="0" fontId="4" fillId="2" borderId="24"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20" fillId="5" borderId="14" xfId="0" applyFont="1" applyFill="1" applyBorder="1" applyAlignment="1" applyProtection="1">
      <alignment horizontal="center" vertical="center" wrapText="1" readingOrder="1"/>
      <protection hidden="1"/>
    </xf>
    <xf numFmtId="0" fontId="20" fillId="5" borderId="0" xfId="0" applyFont="1" applyFill="1" applyAlignment="1" applyProtection="1">
      <alignment horizontal="center" vertical="center" wrapText="1" readingOrder="1"/>
      <protection hidden="1"/>
    </xf>
    <xf numFmtId="0" fontId="20" fillId="5" borderId="15" xfId="0" applyFont="1" applyFill="1" applyBorder="1" applyAlignment="1" applyProtection="1">
      <alignment horizontal="center" vertical="center" wrapText="1" readingOrder="1"/>
      <protection hidden="1"/>
    </xf>
    <xf numFmtId="0" fontId="20" fillId="12" borderId="0" xfId="0" applyFont="1" applyFill="1" applyAlignment="1" applyProtection="1">
      <alignment horizontal="center" vertical="center" wrapText="1" readingOrder="1"/>
      <protection hidden="1"/>
    </xf>
    <xf numFmtId="0" fontId="20" fillId="12"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vertical="center" wrapText="1" readingOrder="1"/>
      <protection hidden="1"/>
    </xf>
    <xf numFmtId="0" fontId="20" fillId="13" borderId="0" xfId="0" applyFont="1" applyFill="1" applyAlignment="1" applyProtection="1">
      <alignment horizontal="center" vertical="center" wrapText="1" readingOrder="1"/>
      <protection hidden="1"/>
    </xf>
    <xf numFmtId="0" fontId="20" fillId="13" borderId="15" xfId="0" applyFont="1" applyFill="1" applyBorder="1" applyAlignment="1" applyProtection="1">
      <alignment horizontal="center" vertical="center" wrapText="1" readingOrder="1"/>
      <protection hidden="1"/>
    </xf>
    <xf numFmtId="0" fontId="20" fillId="13" borderId="14" xfId="0" applyFont="1" applyFill="1" applyBorder="1" applyAlignment="1" applyProtection="1">
      <alignment horizontal="center" vertical="center" wrapText="1" readingOrder="1"/>
      <protection hidden="1"/>
    </xf>
    <xf numFmtId="0" fontId="20" fillId="16" borderId="0" xfId="0" applyFont="1" applyFill="1" applyAlignment="1" applyProtection="1">
      <alignment horizontal="center" vertical="center" wrapText="1" readingOrder="1"/>
      <protection hidden="1"/>
    </xf>
    <xf numFmtId="0" fontId="20" fillId="16" borderId="15" xfId="0" applyFont="1" applyFill="1" applyBorder="1" applyAlignment="1" applyProtection="1">
      <alignment horizontal="center" vertical="center" wrapText="1" readingOrder="1"/>
      <protection hidden="1"/>
    </xf>
    <xf numFmtId="0" fontId="20" fillId="17" borderId="14" xfId="0" applyFont="1" applyFill="1" applyBorder="1" applyAlignment="1" applyProtection="1">
      <alignment horizontal="center" vertical="center" wrapText="1" readingOrder="1"/>
      <protection hidden="1"/>
    </xf>
    <xf numFmtId="0" fontId="20" fillId="17" borderId="0" xfId="0" applyFont="1" applyFill="1" applyAlignment="1" applyProtection="1">
      <alignment horizontal="center" vertical="center" wrapText="1" readingOrder="1"/>
      <protection hidden="1"/>
    </xf>
    <xf numFmtId="0" fontId="20" fillId="16" borderId="14" xfId="0" applyFont="1" applyFill="1" applyBorder="1" applyAlignment="1" applyProtection="1">
      <alignment horizontal="center" vertical="center" wrapText="1" readingOrder="1"/>
      <protection hidden="1"/>
    </xf>
    <xf numFmtId="0" fontId="20" fillId="17" borderId="19" xfId="0" applyFont="1" applyFill="1" applyBorder="1" applyAlignment="1" applyProtection="1">
      <alignment horizontal="center" vertical="center" wrapText="1" readingOrder="1"/>
      <protection hidden="1"/>
    </xf>
    <xf numFmtId="0" fontId="20" fillId="17" borderId="12" xfId="0" applyFont="1" applyFill="1" applyBorder="1" applyAlignment="1" applyProtection="1">
      <alignment horizontal="center" vertical="center" wrapText="1" readingOrder="1"/>
      <protection hidden="1"/>
    </xf>
    <xf numFmtId="0" fontId="20" fillId="17" borderId="13" xfId="0" applyFont="1" applyFill="1" applyBorder="1" applyAlignment="1" applyProtection="1">
      <alignment horizontal="center" vertical="center" wrapText="1" readingOrder="1"/>
      <protection hidden="1"/>
    </xf>
    <xf numFmtId="0" fontId="20" fillId="17" borderId="15" xfId="0" applyFont="1" applyFill="1" applyBorder="1" applyAlignment="1" applyProtection="1">
      <alignment horizontal="center" vertical="center" wrapText="1" readingOrder="1"/>
      <protection hidden="1"/>
    </xf>
    <xf numFmtId="0" fontId="20" fillId="13" borderId="12" xfId="0" applyFont="1" applyFill="1" applyBorder="1" applyAlignment="1" applyProtection="1">
      <alignment horizontal="center" vertical="center" wrapText="1" readingOrder="1"/>
      <protection hidden="1"/>
    </xf>
    <xf numFmtId="0" fontId="20" fillId="13" borderId="19" xfId="0" applyFont="1" applyFill="1" applyBorder="1" applyAlignment="1" applyProtection="1">
      <alignment horizontal="center" vertical="center" wrapText="1" readingOrder="1"/>
      <protection hidden="1"/>
    </xf>
    <xf numFmtId="0" fontId="20" fillId="13" borderId="13" xfId="0" applyFont="1" applyFill="1" applyBorder="1" applyAlignment="1" applyProtection="1">
      <alignment horizontal="center" vertic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9" xfId="0" applyFont="1" applyFill="1" applyBorder="1" applyAlignment="1" applyProtection="1">
      <alignment horizontal="center" vertical="center" wrapText="1" readingOrder="1"/>
      <protection hidden="1"/>
    </xf>
    <xf numFmtId="0" fontId="20" fillId="12" borderId="18" xfId="0" applyFont="1" applyFill="1" applyBorder="1" applyAlignment="1" applyProtection="1">
      <alignment horizontal="center" vertical="center" wrapText="1" readingOrder="1"/>
      <protection hidden="1"/>
    </xf>
    <xf numFmtId="0" fontId="20" fillId="12" borderId="17" xfId="0" applyFont="1" applyFill="1" applyBorder="1" applyAlignment="1" applyProtection="1">
      <alignment horizontal="center" vertical="center" wrapText="1" readingOrder="1"/>
      <protection hidden="1"/>
    </xf>
    <xf numFmtId="0" fontId="20" fillId="5" borderId="16" xfId="0" applyFont="1" applyFill="1" applyBorder="1" applyAlignment="1" applyProtection="1">
      <alignment horizontal="center" vertical="center" wrapText="1" readingOrder="1"/>
      <protection hidden="1"/>
    </xf>
    <xf numFmtId="0" fontId="20" fillId="5" borderId="18" xfId="0" applyFont="1" applyFill="1" applyBorder="1" applyAlignment="1" applyProtection="1">
      <alignment horizontal="center" vertical="center" wrapText="1" readingOrder="1"/>
      <protection hidden="1"/>
    </xf>
    <xf numFmtId="0" fontId="20" fillId="5" borderId="17" xfId="0" applyFont="1" applyFill="1" applyBorder="1" applyAlignment="1" applyProtection="1">
      <alignment horizontal="center" vertical="center" wrapText="1" readingOrder="1"/>
      <protection hidden="1"/>
    </xf>
    <xf numFmtId="0" fontId="20" fillId="13" borderId="16" xfId="0" applyFont="1" applyFill="1" applyBorder="1" applyAlignment="1" applyProtection="1">
      <alignment horizontal="center" vertical="center" wrapText="1" readingOrder="1"/>
      <protection hidden="1"/>
    </xf>
    <xf numFmtId="0" fontId="20" fillId="13" borderId="18" xfId="0" applyFont="1" applyFill="1" applyBorder="1" applyAlignment="1" applyProtection="1">
      <alignment horizontal="center" vertical="center" wrapText="1" readingOrder="1"/>
      <protection hidden="1"/>
    </xf>
    <xf numFmtId="0" fontId="20" fillId="13" borderId="17" xfId="0" applyFont="1" applyFill="1" applyBorder="1" applyAlignment="1" applyProtection="1">
      <alignment horizontal="center" vertical="center" wrapText="1" readingOrder="1"/>
      <protection hidden="1"/>
    </xf>
    <xf numFmtId="0" fontId="20" fillId="16" borderId="16" xfId="0" applyFont="1" applyFill="1" applyBorder="1" applyAlignment="1" applyProtection="1">
      <alignment horizontal="center" vertical="center" wrapText="1" readingOrder="1"/>
      <protection hidden="1"/>
    </xf>
    <xf numFmtId="0" fontId="20" fillId="16" borderId="18"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vertical="center" wrapText="1" readingOrder="1"/>
      <protection hidden="1"/>
    </xf>
    <xf numFmtId="0" fontId="20" fillId="12" borderId="13"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5" borderId="19" xfId="0" applyFont="1" applyFill="1" applyBorder="1" applyAlignment="1" applyProtection="1">
      <alignment horizontal="center" vertical="center" wrapText="1" readingOrder="1"/>
      <protection hidden="1"/>
    </xf>
    <xf numFmtId="0" fontId="20" fillId="5" borderId="13" xfId="0" applyFont="1" applyFill="1" applyBorder="1" applyAlignment="1" applyProtection="1">
      <alignment horizontal="center" vertical="center" wrapText="1" readingOrder="1"/>
      <protection hidden="1"/>
    </xf>
    <xf numFmtId="0" fontId="20" fillId="5" borderId="12" xfId="0" applyFont="1" applyFill="1" applyBorder="1" applyAlignment="1" applyProtection="1">
      <alignment horizontal="center" vertical="center" wrapText="1" readingOrder="1"/>
      <protection hidden="1"/>
    </xf>
    <xf numFmtId="0" fontId="21" fillId="12" borderId="12" xfId="0" applyFont="1" applyFill="1" applyBorder="1" applyAlignment="1">
      <alignment horizontal="center" vertical="center" wrapText="1" readingOrder="1"/>
    </xf>
    <xf numFmtId="0" fontId="21" fillId="12" borderId="19" xfId="0" applyFont="1" applyFill="1" applyBorder="1" applyAlignment="1">
      <alignment horizontal="center" vertical="center"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1" borderId="12"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3" borderId="12"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5" borderId="12"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21" fillId="5" borderId="17" xfId="0" applyFont="1" applyFill="1" applyBorder="1" applyAlignment="1">
      <alignment horizontal="center" vertical="center" wrapText="1" readingOrder="1"/>
    </xf>
    <xf numFmtId="0" fontId="17" fillId="0" borderId="12" xfId="0" applyFont="1" applyBorder="1" applyAlignment="1">
      <alignment horizontal="center" vertical="center" wrapText="1"/>
    </xf>
    <xf numFmtId="0" fontId="17" fillId="0" borderId="19" xfId="0" applyFont="1" applyBorder="1" applyAlignment="1">
      <alignment horizontal="center" vertical="center"/>
    </xf>
    <xf numFmtId="0" fontId="17" fillId="0" borderId="14" xfId="0" applyFont="1" applyBorder="1" applyAlignment="1">
      <alignment horizontal="center" vertical="center"/>
    </xf>
    <xf numFmtId="0" fontId="17" fillId="0" borderId="0" xfId="0" applyFont="1" applyAlignment="1">
      <alignment horizontal="center" vertical="center"/>
    </xf>
    <xf numFmtId="0" fontId="17" fillId="0" borderId="13"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18" xfId="0" applyFont="1" applyBorder="1" applyAlignment="1">
      <alignment horizontal="center" vertical="center"/>
    </xf>
    <xf numFmtId="0" fontId="17" fillId="0" borderId="17" xfId="0" applyFont="1" applyBorder="1" applyAlignment="1">
      <alignment horizontal="center" vertical="center"/>
    </xf>
    <xf numFmtId="0" fontId="17" fillId="0" borderId="14" xfId="0" applyFont="1" applyBorder="1" applyAlignment="1">
      <alignment horizontal="center" vertical="center" wrapText="1"/>
    </xf>
    <xf numFmtId="0" fontId="20" fillId="11" borderId="12"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17" fillId="0" borderId="0" xfId="0" applyFont="1" applyAlignment="1">
      <alignment horizontal="center" vertical="center" wrapText="1"/>
    </xf>
    <xf numFmtId="0" fontId="20" fillId="16" borderId="19" xfId="0" applyFont="1" applyFill="1" applyBorder="1" applyAlignment="1" applyProtection="1">
      <alignment horizontal="center" vertical="center" wrapText="1" readingOrder="1"/>
      <protection hidden="1"/>
    </xf>
    <xf numFmtId="0" fontId="20" fillId="16" borderId="13" xfId="0" applyFont="1" applyFill="1" applyBorder="1" applyAlignment="1" applyProtection="1">
      <alignment horizontal="center" vertical="center" wrapText="1" readingOrder="1"/>
      <protection hidden="1"/>
    </xf>
    <xf numFmtId="0" fontId="20" fillId="16" borderId="12" xfId="0" applyFont="1" applyFill="1" applyBorder="1" applyAlignment="1" applyProtection="1">
      <alignment horizontal="center" vertical="center" wrapText="1" readingOrder="1"/>
      <protection hidden="1"/>
    </xf>
    <xf numFmtId="0" fontId="20" fillId="16" borderId="17" xfId="0" applyFont="1" applyFill="1" applyBorder="1" applyAlignment="1" applyProtection="1">
      <alignment horizontal="center" vertical="center" wrapText="1" readingOrder="1"/>
      <protection hidden="1"/>
    </xf>
    <xf numFmtId="0" fontId="24" fillId="0" borderId="0" xfId="0" applyFont="1" applyAlignment="1">
      <alignment horizontal="center" vertical="center" wrapText="1"/>
    </xf>
    <xf numFmtId="0" fontId="23" fillId="0" borderId="0" xfId="0" applyFont="1" applyAlignment="1">
      <alignment horizontal="center" vertical="center"/>
    </xf>
    <xf numFmtId="0" fontId="44" fillId="0" borderId="0" xfId="0" applyFont="1" applyAlignment="1">
      <alignment horizontal="center" vertical="center"/>
    </xf>
    <xf numFmtId="0" fontId="39" fillId="15" borderId="27" xfId="0" applyFont="1" applyFill="1" applyBorder="1" applyAlignment="1">
      <alignment horizontal="center" vertical="center" wrapText="1" readingOrder="1"/>
    </xf>
    <xf numFmtId="0" fontId="39" fillId="15" borderId="28" xfId="0" applyFont="1" applyFill="1" applyBorder="1" applyAlignment="1">
      <alignment horizontal="center" vertical="center" wrapText="1" readingOrder="1"/>
    </xf>
    <xf numFmtId="0" fontId="39" fillId="15" borderId="39" xfId="0" applyFont="1" applyFill="1" applyBorder="1" applyAlignment="1">
      <alignment horizontal="center" vertical="center" wrapText="1" readingOrder="1"/>
    </xf>
    <xf numFmtId="0" fontId="34" fillId="3" borderId="0" xfId="0" applyFont="1" applyFill="1" applyAlignment="1">
      <alignment horizontal="justify" vertical="center" wrapText="1"/>
    </xf>
    <xf numFmtId="0" fontId="36" fillId="15" borderId="36" xfId="0" applyFont="1" applyFill="1" applyBorder="1" applyAlignment="1">
      <alignment horizontal="center" vertical="center" wrapText="1" readingOrder="1"/>
    </xf>
    <xf numFmtId="0" fontId="36" fillId="15" borderId="37" xfId="0" applyFont="1" applyFill="1" applyBorder="1" applyAlignment="1">
      <alignment horizontal="center" vertical="center" wrapText="1" readingOrder="1"/>
    </xf>
    <xf numFmtId="0" fontId="36" fillId="3" borderId="34" xfId="0" applyFont="1" applyFill="1" applyBorder="1" applyAlignment="1">
      <alignment horizontal="center" vertical="center" wrapText="1" readingOrder="1"/>
    </xf>
    <xf numFmtId="0" fontId="36" fillId="3" borderId="29" xfId="0" applyFont="1" applyFill="1" applyBorder="1" applyAlignment="1">
      <alignment horizontal="center" vertical="center" wrapText="1" readingOrder="1"/>
    </xf>
    <xf numFmtId="0" fontId="36" fillId="3" borderId="26" xfId="0" applyFont="1" applyFill="1" applyBorder="1" applyAlignment="1">
      <alignment horizontal="center" vertical="center" wrapText="1" readingOrder="1"/>
    </xf>
    <xf numFmtId="0" fontId="36" fillId="3" borderId="25" xfId="0" applyFont="1" applyFill="1" applyBorder="1" applyAlignment="1">
      <alignment horizontal="center" vertical="center" wrapText="1" readingOrder="1"/>
    </xf>
    <xf numFmtId="0" fontId="36" fillId="3" borderId="31" xfId="0" applyFont="1" applyFill="1" applyBorder="1" applyAlignment="1">
      <alignment horizontal="center" vertical="center" wrapText="1" readingOrder="1"/>
    </xf>
    <xf numFmtId="0" fontId="36" fillId="3" borderId="32" xfId="0" applyFont="1" applyFill="1" applyBorder="1" applyAlignment="1">
      <alignment horizontal="center" vertical="center" wrapText="1" readingOrder="1"/>
    </xf>
    <xf numFmtId="0" fontId="6" fillId="0" borderId="0" xfId="0" applyFont="1" applyAlignment="1">
      <alignment vertical="center" wrapText="1"/>
    </xf>
    <xf numFmtId="0" fontId="6" fillId="0" borderId="2" xfId="0" applyFont="1" applyBorder="1" applyAlignment="1" applyProtection="1">
      <alignment horizontal="justify" vertical="center" wrapText="1"/>
      <protection locked="0"/>
    </xf>
  </cellXfs>
  <cellStyles count="6">
    <cellStyle name="Hipervínculo" xfId="5" builtinId="8"/>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624">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FF0000"/>
        </patternFill>
      </fill>
    </dxf>
    <dxf>
      <fill>
        <patternFill>
          <bgColor rgb="FFFFFF66"/>
        </patternFill>
      </fill>
    </dxf>
    <dxf>
      <fill>
        <patternFill>
          <bgColor rgb="FFFFC000"/>
        </patternFill>
      </fill>
    </dxf>
    <dxf>
      <fill>
        <patternFill>
          <bgColor rgb="FF00B050"/>
        </patternFill>
      </fill>
    </dxf>
    <dxf>
      <font>
        <color auto="1"/>
      </font>
      <fill>
        <patternFill>
          <bgColor rgb="FF92D050"/>
        </patternFill>
      </fill>
    </dxf>
    <dxf>
      <fill>
        <patternFill>
          <bgColor rgb="FF00B050"/>
        </patternFill>
      </fill>
    </dxf>
    <dxf>
      <fill>
        <patternFill>
          <bgColor rgb="FFFFC00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00B05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00B05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FF0000"/>
        </patternFill>
      </fill>
    </dxf>
    <dxf>
      <fill>
        <patternFill>
          <bgColor rgb="FF00B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00B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FF66"/>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00B050"/>
        </patternFill>
      </fill>
    </dxf>
    <dxf>
      <fill>
        <patternFill>
          <bgColor rgb="FFFFFF66"/>
        </patternFill>
      </fill>
    </dxf>
    <dxf>
      <font>
        <color auto="1"/>
      </font>
      <fill>
        <patternFill>
          <bgColor rgb="FF92D05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FF66"/>
        </patternFill>
      </fill>
    </dxf>
    <dxf>
      <fill>
        <patternFill>
          <bgColor rgb="FFFFC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ill>
        <patternFill>
          <bgColor rgb="FFFF0000"/>
        </patternFill>
      </fill>
    </dxf>
    <dxf>
      <font>
        <color auto="1"/>
      </font>
      <fill>
        <patternFill>
          <bgColor rgb="FF92D050"/>
        </patternFill>
      </fill>
    </dxf>
    <dxf>
      <fill>
        <patternFill>
          <bgColor rgb="FFFFFF66"/>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C000"/>
        </patternFill>
      </fill>
    </dxf>
    <dxf>
      <fill>
        <patternFill>
          <bgColor rgb="FF00B050"/>
        </patternFill>
      </fill>
    </dxf>
    <dxf>
      <fill>
        <patternFill>
          <bgColor rgb="FFFFFF66"/>
        </patternFill>
      </fill>
    </dxf>
    <dxf>
      <font>
        <color auto="1"/>
      </font>
      <fill>
        <patternFill>
          <bgColor rgb="FF92D05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FF66"/>
        </patternFill>
      </fill>
    </dxf>
    <dxf>
      <fill>
        <patternFill>
          <bgColor rgb="FFFF0000"/>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FFC000"/>
        </patternFill>
      </fill>
    </dxf>
    <dxf>
      <fill>
        <patternFill>
          <bgColor rgb="FFFF0000"/>
        </patternFill>
      </fill>
    </dxf>
    <dxf>
      <fill>
        <patternFill>
          <bgColor rgb="FF00B05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FFC000"/>
        </patternFill>
      </fill>
    </dxf>
    <dxf>
      <fill>
        <patternFill>
          <bgColor rgb="FFFFFF66"/>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00B050"/>
        </patternFill>
      </fill>
    </dxf>
    <dxf>
      <fill>
        <patternFill>
          <bgColor rgb="FFFFC000"/>
        </patternFill>
      </fill>
    </dxf>
    <dxf>
      <fill>
        <patternFill>
          <bgColor rgb="FFFFFF66"/>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00B050"/>
        </patternFill>
      </fill>
    </dxf>
    <dxf>
      <fill>
        <patternFill>
          <bgColor rgb="FF00B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patternType="solid">
          <fgColor rgb="FFB8CCE4"/>
          <bgColor rgb="FFB8CCE4"/>
        </patternFill>
      </fill>
    </dxf>
    <dxf>
      <fill>
        <patternFill patternType="solid">
          <fgColor rgb="FFDBE5F1"/>
          <bgColor rgb="FFDBE5F1"/>
        </patternFill>
      </fill>
    </dxf>
    <dxf>
      <fill>
        <patternFill patternType="solid">
          <fgColor theme="4"/>
          <bgColor theme="4"/>
        </patternFill>
      </fill>
    </dxf>
  </dxfs>
  <tableStyles count="2" defaultTableStyle="TableStyleMedium2" defaultPivotStyle="PivotStyleLight16">
    <tableStyle name="Invisible" pivot="0" table="0" count="0" xr9:uid="{00000000-0011-0000-FFFF-FFFF00000000}"/>
    <tableStyle name="Tabla Impacto-style" pivot="0" count="3" xr9:uid="{0003F617-C233-4F7D-88A1-2E7BE76B7389}">
      <tableStyleElement type="headerRow" dxfId="623"/>
      <tableStyleElement type="firstRowStripe" dxfId="622"/>
      <tableStyleElement type="secondRowStripe" dxfId="621"/>
    </tableStyle>
  </tableStyles>
  <colors>
    <mruColors>
      <color rgb="FFFFFF66"/>
      <color rgb="FFFF99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lujo6\Downloads\Mapa_riesgos_Ejec_Proy_2024_Propuesta_SGE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triz Calor Residual"/>
      <sheetName val="Mapa final"/>
      <sheetName val="Matriz Calor Inherente"/>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1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n="El riesgo afecta la imagen de la entidad internamente, de conocimiento general, nivel interno, de junta directiva y accionistas y/o de proveedores" x="6"/>
        <item x="7"/>
        <item n="El riesgo afecta la imagen de la entidad con efecto publicitario sostenido a nivel de sector administrativo, nivel departamental o municipal"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620" dataDxfId="619">
  <autoFilter ref="B209:C219" xr:uid="{00000000-0009-0000-0100-000001000000}"/>
  <tableColumns count="2">
    <tableColumn id="1" xr3:uid="{00000000-0010-0000-0000-000001000000}" name="Criterios" dataDxfId="618"/>
    <tableColumn id="2" xr3:uid="{00000000-0010-0000-0000-000002000000}" name="Subcriterios" dataDxfId="617"/>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file:///C:\Users\lilym\Prueba%20de%20entendimiento" TargetMode="External"/><Relationship Id="rId2" Type="http://schemas.openxmlformats.org/officeDocument/2006/relationships/hyperlink" Target="file:///C:\Users\lilym\Seguimiento%20a%20la%20calidad%20de%20las%20respuestas\Octubre" TargetMode="External"/><Relationship Id="rId1" Type="http://schemas.openxmlformats.org/officeDocument/2006/relationships/hyperlink" Target="http://10.115.245.74/sites/default/files/documentos/GI-04_Protoc_Atenc_Ciudad_V6.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B37" zoomScale="110" zoomScaleNormal="110" workbookViewId="0">
      <selection activeCell="B43" sqref="B43:H43"/>
    </sheetView>
  </sheetViews>
  <sheetFormatPr baseColWidth="10" defaultColWidth="11.44140625" defaultRowHeight="14.4" x14ac:dyDescent="0.3"/>
  <cols>
    <col min="1" max="1" width="2.88671875" style="38" customWidth="1"/>
    <col min="2" max="3" width="24.5546875" style="38" customWidth="1"/>
    <col min="4" max="4" width="16" style="38" customWidth="1"/>
    <col min="5" max="5" width="24.5546875" style="38" customWidth="1"/>
    <col min="6" max="6" width="27.5546875" style="38" customWidth="1"/>
    <col min="7" max="8" width="24.5546875" style="38" customWidth="1"/>
    <col min="9" max="16384" width="11.44140625" style="38"/>
  </cols>
  <sheetData>
    <row r="1" spans="2:8" ht="15" thickBot="1" x14ac:dyDescent="0.35"/>
    <row r="2" spans="2:8" ht="18" x14ac:dyDescent="0.3">
      <c r="B2" s="255" t="s">
        <v>140</v>
      </c>
      <c r="C2" s="256"/>
      <c r="D2" s="256"/>
      <c r="E2" s="256"/>
      <c r="F2" s="256"/>
      <c r="G2" s="256"/>
      <c r="H2" s="257"/>
    </row>
    <row r="3" spans="2:8" x14ac:dyDescent="0.3">
      <c r="B3" s="39"/>
      <c r="C3" s="40"/>
      <c r="D3" s="40"/>
      <c r="E3" s="40"/>
      <c r="F3" s="40"/>
      <c r="G3" s="40"/>
      <c r="H3" s="41"/>
    </row>
    <row r="4" spans="2:8" ht="63" customHeight="1" x14ac:dyDescent="0.3">
      <c r="B4" s="258" t="s">
        <v>183</v>
      </c>
      <c r="C4" s="259"/>
      <c r="D4" s="259"/>
      <c r="E4" s="259"/>
      <c r="F4" s="259"/>
      <c r="G4" s="259"/>
      <c r="H4" s="260"/>
    </row>
    <row r="5" spans="2:8" ht="63" customHeight="1" x14ac:dyDescent="0.3">
      <c r="B5" s="261"/>
      <c r="C5" s="262"/>
      <c r="D5" s="262"/>
      <c r="E5" s="262"/>
      <c r="F5" s="262"/>
      <c r="G5" s="262"/>
      <c r="H5" s="263"/>
    </row>
    <row r="6" spans="2:8" x14ac:dyDescent="0.3">
      <c r="B6" s="264" t="s">
        <v>138</v>
      </c>
      <c r="C6" s="265"/>
      <c r="D6" s="265"/>
      <c r="E6" s="265"/>
      <c r="F6" s="265"/>
      <c r="G6" s="265"/>
      <c r="H6" s="266"/>
    </row>
    <row r="7" spans="2:8" ht="95.25" customHeight="1" x14ac:dyDescent="0.3">
      <c r="B7" s="274" t="s">
        <v>143</v>
      </c>
      <c r="C7" s="275"/>
      <c r="D7" s="275"/>
      <c r="E7" s="275"/>
      <c r="F7" s="275"/>
      <c r="G7" s="275"/>
      <c r="H7" s="276"/>
    </row>
    <row r="8" spans="2:8" x14ac:dyDescent="0.3">
      <c r="B8" s="75"/>
      <c r="C8" s="76"/>
      <c r="D8" s="76"/>
      <c r="E8" s="76"/>
      <c r="F8" s="76"/>
      <c r="G8" s="76"/>
      <c r="H8" s="77"/>
    </row>
    <row r="9" spans="2:8" ht="16.5" customHeight="1" x14ac:dyDescent="0.3">
      <c r="B9" s="267" t="s">
        <v>176</v>
      </c>
      <c r="C9" s="268"/>
      <c r="D9" s="268"/>
      <c r="E9" s="268"/>
      <c r="F9" s="268"/>
      <c r="G9" s="268"/>
      <c r="H9" s="269"/>
    </row>
    <row r="10" spans="2:8" ht="44.25" customHeight="1" x14ac:dyDescent="0.3">
      <c r="B10" s="267"/>
      <c r="C10" s="268"/>
      <c r="D10" s="268"/>
      <c r="E10" s="268"/>
      <c r="F10" s="268"/>
      <c r="G10" s="268"/>
      <c r="H10" s="269"/>
    </row>
    <row r="11" spans="2:8" ht="15" thickBot="1" x14ac:dyDescent="0.35">
      <c r="B11" s="64"/>
      <c r="C11" s="67"/>
      <c r="D11" s="72"/>
      <c r="E11" s="73"/>
      <c r="F11" s="73"/>
      <c r="G11" s="74"/>
      <c r="H11" s="68"/>
    </row>
    <row r="12" spans="2:8" ht="15" thickTop="1" x14ac:dyDescent="0.3">
      <c r="B12" s="64"/>
      <c r="C12" s="270" t="s">
        <v>139</v>
      </c>
      <c r="D12" s="271"/>
      <c r="E12" s="272" t="s">
        <v>177</v>
      </c>
      <c r="F12" s="273"/>
      <c r="G12" s="67"/>
      <c r="H12" s="68"/>
    </row>
    <row r="13" spans="2:8" ht="35.25" customHeight="1" x14ac:dyDescent="0.3">
      <c r="B13" s="64"/>
      <c r="C13" s="242" t="s">
        <v>170</v>
      </c>
      <c r="D13" s="243"/>
      <c r="E13" s="244" t="s">
        <v>175</v>
      </c>
      <c r="F13" s="245"/>
      <c r="G13" s="67"/>
      <c r="H13" s="68"/>
    </row>
    <row r="14" spans="2:8" ht="17.25" customHeight="1" x14ac:dyDescent="0.3">
      <c r="B14" s="64"/>
      <c r="C14" s="242" t="s">
        <v>171</v>
      </c>
      <c r="D14" s="243"/>
      <c r="E14" s="244" t="s">
        <v>173</v>
      </c>
      <c r="F14" s="245"/>
      <c r="G14" s="67"/>
      <c r="H14" s="68"/>
    </row>
    <row r="15" spans="2:8" ht="19.5" customHeight="1" x14ac:dyDescent="0.3">
      <c r="B15" s="64"/>
      <c r="C15" s="242" t="s">
        <v>172</v>
      </c>
      <c r="D15" s="243"/>
      <c r="E15" s="244" t="s">
        <v>174</v>
      </c>
      <c r="F15" s="245"/>
      <c r="G15" s="67"/>
      <c r="H15" s="68"/>
    </row>
    <row r="16" spans="2:8" ht="69.75" customHeight="1" x14ac:dyDescent="0.3">
      <c r="B16" s="64"/>
      <c r="C16" s="242" t="s">
        <v>141</v>
      </c>
      <c r="D16" s="243"/>
      <c r="E16" s="244" t="s">
        <v>142</v>
      </c>
      <c r="F16" s="245"/>
      <c r="G16" s="67"/>
      <c r="H16" s="68"/>
    </row>
    <row r="17" spans="2:8" ht="34.5" customHeight="1" x14ac:dyDescent="0.3">
      <c r="B17" s="64"/>
      <c r="C17" s="246" t="s">
        <v>2</v>
      </c>
      <c r="D17" s="247"/>
      <c r="E17" s="238" t="s">
        <v>184</v>
      </c>
      <c r="F17" s="239"/>
      <c r="G17" s="67"/>
      <c r="H17" s="68"/>
    </row>
    <row r="18" spans="2:8" ht="27.75" customHeight="1" x14ac:dyDescent="0.3">
      <c r="B18" s="64"/>
      <c r="C18" s="246" t="s">
        <v>3</v>
      </c>
      <c r="D18" s="247"/>
      <c r="E18" s="238" t="s">
        <v>185</v>
      </c>
      <c r="F18" s="239"/>
      <c r="G18" s="67"/>
      <c r="H18" s="68"/>
    </row>
    <row r="19" spans="2:8" ht="28.5" customHeight="1" x14ac:dyDescent="0.3">
      <c r="B19" s="64"/>
      <c r="C19" s="246" t="s">
        <v>38</v>
      </c>
      <c r="D19" s="247"/>
      <c r="E19" s="238" t="s">
        <v>186</v>
      </c>
      <c r="F19" s="239"/>
      <c r="G19" s="67"/>
      <c r="H19" s="68"/>
    </row>
    <row r="20" spans="2:8" ht="72.75" customHeight="1" x14ac:dyDescent="0.3">
      <c r="B20" s="64"/>
      <c r="C20" s="246" t="s">
        <v>1</v>
      </c>
      <c r="D20" s="247"/>
      <c r="E20" s="238" t="s">
        <v>187</v>
      </c>
      <c r="F20" s="239"/>
      <c r="G20" s="67"/>
      <c r="H20" s="68"/>
    </row>
    <row r="21" spans="2:8" ht="64.5" customHeight="1" x14ac:dyDescent="0.3">
      <c r="B21" s="64"/>
      <c r="C21" s="246" t="s">
        <v>44</v>
      </c>
      <c r="D21" s="247"/>
      <c r="E21" s="238" t="s">
        <v>145</v>
      </c>
      <c r="F21" s="239"/>
      <c r="G21" s="67"/>
      <c r="H21" s="68"/>
    </row>
    <row r="22" spans="2:8" ht="71.25" customHeight="1" x14ac:dyDescent="0.3">
      <c r="B22" s="64"/>
      <c r="C22" s="246" t="s">
        <v>144</v>
      </c>
      <c r="D22" s="247"/>
      <c r="E22" s="238" t="s">
        <v>146</v>
      </c>
      <c r="F22" s="239"/>
      <c r="G22" s="67"/>
      <c r="H22" s="68"/>
    </row>
    <row r="23" spans="2:8" ht="55.5" customHeight="1" x14ac:dyDescent="0.3">
      <c r="B23" s="64"/>
      <c r="C23" s="240" t="s">
        <v>147</v>
      </c>
      <c r="D23" s="241"/>
      <c r="E23" s="238" t="s">
        <v>148</v>
      </c>
      <c r="F23" s="239"/>
      <c r="G23" s="67"/>
      <c r="H23" s="68"/>
    </row>
    <row r="24" spans="2:8" ht="42" customHeight="1" x14ac:dyDescent="0.3">
      <c r="B24" s="64"/>
      <c r="C24" s="240" t="s">
        <v>42</v>
      </c>
      <c r="D24" s="241"/>
      <c r="E24" s="238" t="s">
        <v>149</v>
      </c>
      <c r="F24" s="239"/>
      <c r="G24" s="67"/>
      <c r="H24" s="68"/>
    </row>
    <row r="25" spans="2:8" ht="59.25" customHeight="1" x14ac:dyDescent="0.3">
      <c r="B25" s="64"/>
      <c r="C25" s="240" t="s">
        <v>137</v>
      </c>
      <c r="D25" s="241"/>
      <c r="E25" s="238" t="s">
        <v>150</v>
      </c>
      <c r="F25" s="239"/>
      <c r="G25" s="67"/>
      <c r="H25" s="68"/>
    </row>
    <row r="26" spans="2:8" ht="23.25" customHeight="1" x14ac:dyDescent="0.3">
      <c r="B26" s="64"/>
      <c r="C26" s="240" t="s">
        <v>12</v>
      </c>
      <c r="D26" s="241"/>
      <c r="E26" s="238" t="s">
        <v>151</v>
      </c>
      <c r="F26" s="239"/>
      <c r="G26" s="67"/>
      <c r="H26" s="68"/>
    </row>
    <row r="27" spans="2:8" ht="30.75" customHeight="1" x14ac:dyDescent="0.3">
      <c r="B27" s="64"/>
      <c r="C27" s="240" t="s">
        <v>155</v>
      </c>
      <c r="D27" s="241"/>
      <c r="E27" s="238" t="s">
        <v>152</v>
      </c>
      <c r="F27" s="239"/>
      <c r="G27" s="67"/>
      <c r="H27" s="68"/>
    </row>
    <row r="28" spans="2:8" ht="35.25" customHeight="1" x14ac:dyDescent="0.3">
      <c r="B28" s="64"/>
      <c r="C28" s="240" t="s">
        <v>156</v>
      </c>
      <c r="D28" s="241"/>
      <c r="E28" s="238" t="s">
        <v>153</v>
      </c>
      <c r="F28" s="239"/>
      <c r="G28" s="67"/>
      <c r="H28" s="68"/>
    </row>
    <row r="29" spans="2:8" ht="33" customHeight="1" x14ac:dyDescent="0.3">
      <c r="B29" s="64"/>
      <c r="C29" s="240" t="s">
        <v>156</v>
      </c>
      <c r="D29" s="241"/>
      <c r="E29" s="238" t="s">
        <v>153</v>
      </c>
      <c r="F29" s="239"/>
      <c r="G29" s="67"/>
      <c r="H29" s="68"/>
    </row>
    <row r="30" spans="2:8" ht="30" customHeight="1" x14ac:dyDescent="0.3">
      <c r="B30" s="64"/>
      <c r="C30" s="240" t="s">
        <v>157</v>
      </c>
      <c r="D30" s="241"/>
      <c r="E30" s="238" t="s">
        <v>154</v>
      </c>
      <c r="F30" s="239"/>
      <c r="G30" s="67"/>
      <c r="H30" s="68"/>
    </row>
    <row r="31" spans="2:8" ht="35.25" customHeight="1" x14ac:dyDescent="0.3">
      <c r="B31" s="64"/>
      <c r="C31" s="240" t="s">
        <v>158</v>
      </c>
      <c r="D31" s="241"/>
      <c r="E31" s="238" t="s">
        <v>159</v>
      </c>
      <c r="F31" s="239"/>
      <c r="G31" s="67"/>
      <c r="H31" s="68"/>
    </row>
    <row r="32" spans="2:8" ht="31.5" customHeight="1" x14ac:dyDescent="0.3">
      <c r="B32" s="64"/>
      <c r="C32" s="240" t="s">
        <v>160</v>
      </c>
      <c r="D32" s="241"/>
      <c r="E32" s="238" t="s">
        <v>161</v>
      </c>
      <c r="F32" s="239"/>
      <c r="G32" s="67"/>
      <c r="H32" s="68"/>
    </row>
    <row r="33" spans="2:8" ht="35.25" customHeight="1" x14ac:dyDescent="0.3">
      <c r="B33" s="64"/>
      <c r="C33" s="240" t="s">
        <v>162</v>
      </c>
      <c r="D33" s="241"/>
      <c r="E33" s="238" t="s">
        <v>163</v>
      </c>
      <c r="F33" s="239"/>
      <c r="G33" s="67"/>
      <c r="H33" s="68"/>
    </row>
    <row r="34" spans="2:8" ht="59.25" customHeight="1" x14ac:dyDescent="0.3">
      <c r="B34" s="64"/>
      <c r="C34" s="240" t="s">
        <v>164</v>
      </c>
      <c r="D34" s="241"/>
      <c r="E34" s="238" t="s">
        <v>165</v>
      </c>
      <c r="F34" s="239"/>
      <c r="G34" s="67"/>
      <c r="H34" s="68"/>
    </row>
    <row r="35" spans="2:8" ht="29.25" customHeight="1" x14ac:dyDescent="0.3">
      <c r="B35" s="64"/>
      <c r="C35" s="240" t="s">
        <v>29</v>
      </c>
      <c r="D35" s="241"/>
      <c r="E35" s="238" t="s">
        <v>166</v>
      </c>
      <c r="F35" s="239"/>
      <c r="G35" s="67"/>
      <c r="H35" s="68"/>
    </row>
    <row r="36" spans="2:8" ht="82.5" customHeight="1" x14ac:dyDescent="0.3">
      <c r="B36" s="64"/>
      <c r="C36" s="240" t="s">
        <v>168</v>
      </c>
      <c r="D36" s="241"/>
      <c r="E36" s="238" t="s">
        <v>167</v>
      </c>
      <c r="F36" s="239"/>
      <c r="G36" s="67"/>
      <c r="H36" s="68"/>
    </row>
    <row r="37" spans="2:8" ht="46.5" customHeight="1" x14ac:dyDescent="0.3">
      <c r="B37" s="64"/>
      <c r="C37" s="240" t="s">
        <v>35</v>
      </c>
      <c r="D37" s="241"/>
      <c r="E37" s="238" t="s">
        <v>169</v>
      </c>
      <c r="F37" s="239"/>
      <c r="G37" s="67"/>
      <c r="H37" s="68"/>
    </row>
    <row r="38" spans="2:8" ht="6.75" customHeight="1" thickBot="1" x14ac:dyDescent="0.35">
      <c r="B38" s="64"/>
      <c r="C38" s="251"/>
      <c r="D38" s="252"/>
      <c r="E38" s="253"/>
      <c r="F38" s="254"/>
      <c r="G38" s="67"/>
      <c r="H38" s="68"/>
    </row>
    <row r="39" spans="2:8" ht="15" thickTop="1" x14ac:dyDescent="0.3">
      <c r="B39" s="64"/>
      <c r="C39" s="65"/>
      <c r="D39" s="65"/>
      <c r="E39" s="66"/>
      <c r="F39" s="66"/>
      <c r="G39" s="67"/>
      <c r="H39" s="68"/>
    </row>
    <row r="40" spans="2:8" ht="21" customHeight="1" x14ac:dyDescent="0.3">
      <c r="B40" s="248" t="s">
        <v>178</v>
      </c>
      <c r="C40" s="249"/>
      <c r="D40" s="249"/>
      <c r="E40" s="249"/>
      <c r="F40" s="249"/>
      <c r="G40" s="249"/>
      <c r="H40" s="250"/>
    </row>
    <row r="41" spans="2:8" ht="20.25" customHeight="1" x14ac:dyDescent="0.3">
      <c r="B41" s="248" t="s">
        <v>179</v>
      </c>
      <c r="C41" s="249"/>
      <c r="D41" s="249"/>
      <c r="E41" s="249"/>
      <c r="F41" s="249"/>
      <c r="G41" s="249"/>
      <c r="H41" s="250"/>
    </row>
    <row r="42" spans="2:8" ht="20.25" customHeight="1" x14ac:dyDescent="0.3">
      <c r="B42" s="248" t="s">
        <v>180</v>
      </c>
      <c r="C42" s="249"/>
      <c r="D42" s="249"/>
      <c r="E42" s="249"/>
      <c r="F42" s="249"/>
      <c r="G42" s="249"/>
      <c r="H42" s="250"/>
    </row>
    <row r="43" spans="2:8" ht="20.25" customHeight="1" x14ac:dyDescent="0.3">
      <c r="B43" s="248" t="s">
        <v>181</v>
      </c>
      <c r="C43" s="249"/>
      <c r="D43" s="249"/>
      <c r="E43" s="249"/>
      <c r="F43" s="249"/>
      <c r="G43" s="249"/>
      <c r="H43" s="250"/>
    </row>
    <row r="44" spans="2:8" x14ac:dyDescent="0.3">
      <c r="B44" s="248" t="s">
        <v>182</v>
      </c>
      <c r="C44" s="249"/>
      <c r="D44" s="249"/>
      <c r="E44" s="249"/>
      <c r="F44" s="249"/>
      <c r="G44" s="249"/>
      <c r="H44" s="250"/>
    </row>
    <row r="45" spans="2:8" ht="15" thickBot="1" x14ac:dyDescent="0.35">
      <c r="B45" s="69"/>
      <c r="C45" s="70"/>
      <c r="D45" s="70"/>
      <c r="E45" s="70"/>
      <c r="F45" s="70"/>
      <c r="G45" s="70"/>
      <c r="H45" s="71"/>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X418"/>
  <sheetViews>
    <sheetView topLeftCell="A202" zoomScale="70" zoomScaleNormal="70" workbookViewId="0">
      <selection activeCell="P237" sqref="P237"/>
    </sheetView>
  </sheetViews>
  <sheetFormatPr baseColWidth="10" defaultRowHeight="14.4" x14ac:dyDescent="0.3"/>
  <cols>
    <col min="2" max="9" width="5.5546875" customWidth="1"/>
    <col min="10" max="10" width="10.5546875" bestFit="1" customWidth="1"/>
    <col min="11" max="12" width="11" bestFit="1" customWidth="1"/>
    <col min="13" max="13" width="10.5546875" bestFit="1" customWidth="1"/>
    <col min="14" max="15" width="11" bestFit="1" customWidth="1"/>
    <col min="16" max="16" width="10.88671875" customWidth="1"/>
    <col min="17" max="17" width="11" bestFit="1" customWidth="1"/>
    <col min="18" max="18" width="11" customWidth="1"/>
    <col min="19" max="19" width="10.5546875" bestFit="1" customWidth="1"/>
    <col min="20" max="21" width="11" customWidth="1"/>
    <col min="22" max="22" width="10.88671875" bestFit="1" customWidth="1"/>
    <col min="23" max="24" width="9.5546875" customWidth="1"/>
    <col min="26" max="31" width="5.5546875" customWidth="1"/>
  </cols>
  <sheetData>
    <row r="1" spans="1:76" x14ac:dyDescent="0.3">
      <c r="A1" s="38"/>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row>
    <row r="2" spans="1:76" ht="18" customHeight="1" x14ac:dyDescent="0.3">
      <c r="A2" s="38"/>
      <c r="B2" s="300" t="s">
        <v>134</v>
      </c>
      <c r="C2" s="301"/>
      <c r="D2" s="301"/>
      <c r="E2" s="301"/>
      <c r="F2" s="301"/>
      <c r="G2" s="301"/>
      <c r="H2" s="301"/>
      <c r="I2" s="301"/>
      <c r="J2" s="302" t="s">
        <v>2</v>
      </c>
      <c r="K2" s="302"/>
      <c r="L2" s="302"/>
      <c r="M2" s="302"/>
      <c r="N2" s="302"/>
      <c r="O2" s="302"/>
      <c r="P2" s="302"/>
      <c r="Q2" s="302"/>
      <c r="R2" s="302"/>
      <c r="S2" s="302"/>
      <c r="T2" s="302"/>
      <c r="U2" s="302"/>
      <c r="V2" s="302"/>
      <c r="W2" s="302"/>
      <c r="X2" s="302"/>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row>
    <row r="3" spans="1:76" ht="18.75" customHeight="1" x14ac:dyDescent="0.3">
      <c r="A3" s="38"/>
      <c r="B3" s="301"/>
      <c r="C3" s="301"/>
      <c r="D3" s="301"/>
      <c r="E3" s="301"/>
      <c r="F3" s="301"/>
      <c r="G3" s="301"/>
      <c r="H3" s="301"/>
      <c r="I3" s="301"/>
      <c r="J3" s="302"/>
      <c r="K3" s="302"/>
      <c r="L3" s="302"/>
      <c r="M3" s="302"/>
      <c r="N3" s="302"/>
      <c r="O3" s="302"/>
      <c r="P3" s="302"/>
      <c r="Q3" s="302"/>
      <c r="R3" s="302"/>
      <c r="S3" s="302"/>
      <c r="T3" s="302"/>
      <c r="U3" s="302"/>
      <c r="V3" s="302"/>
      <c r="W3" s="302"/>
      <c r="X3" s="302"/>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8"/>
      <c r="BV3" s="38"/>
      <c r="BW3" s="38"/>
      <c r="BX3" s="38"/>
    </row>
    <row r="4" spans="1:76" ht="15" customHeight="1" x14ac:dyDescent="0.3">
      <c r="A4" s="38"/>
      <c r="B4" s="301"/>
      <c r="C4" s="301"/>
      <c r="D4" s="301"/>
      <c r="E4" s="301"/>
      <c r="F4" s="301"/>
      <c r="G4" s="301"/>
      <c r="H4" s="301"/>
      <c r="I4" s="301"/>
      <c r="J4" s="302"/>
      <c r="K4" s="302"/>
      <c r="L4" s="302"/>
      <c r="M4" s="302"/>
      <c r="N4" s="302"/>
      <c r="O4" s="302"/>
      <c r="P4" s="302"/>
      <c r="Q4" s="302"/>
      <c r="R4" s="302"/>
      <c r="S4" s="302"/>
      <c r="T4" s="302"/>
      <c r="U4" s="302"/>
      <c r="V4" s="302"/>
      <c r="W4" s="302"/>
      <c r="X4" s="302"/>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row>
    <row r="5" spans="1:76" ht="15" thickBot="1" x14ac:dyDescent="0.35">
      <c r="A5" s="38"/>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row>
    <row r="6" spans="1:76" ht="15" customHeight="1" x14ac:dyDescent="0.3">
      <c r="A6" s="38"/>
      <c r="B6" s="303" t="s">
        <v>4</v>
      </c>
      <c r="C6" s="304"/>
      <c r="D6" s="305"/>
      <c r="E6" s="286" t="s">
        <v>107</v>
      </c>
      <c r="F6" s="287"/>
      <c r="G6" s="287"/>
      <c r="H6" s="287"/>
      <c r="I6" s="287"/>
      <c r="J6" s="79" t="str">
        <f>IF(AND('Mapa final'!$AB$7="Muy Alta",'Mapa final'!$AD$7="Leve"),CONCATENATE("R1C",'Mapa final'!$R$7),"")</f>
        <v/>
      </c>
      <c r="K6" s="80" t="str">
        <f>IF(AND('Mapa final'!$AB$8="Muy Alta",'Mapa final'!$AD$8="Leve"),CONCATENATE("R1C",'Mapa final'!$R$8),"")</f>
        <v/>
      </c>
      <c r="L6" s="81" t="str">
        <f>IF(AND('Mapa final'!$AB$9="Muy Alta",'Mapa final'!$AD$9="Leve"),CONCATENATE("R1C",'Mapa final'!$R$9),"")</f>
        <v/>
      </c>
      <c r="M6" s="79" t="str">
        <f>IF(AND('Mapa final'!$AB$7="Muy Alta",'Mapa final'!$AD$7="Menor"),CONCATENATE("R1C",'Mapa final'!$R$7),"")</f>
        <v/>
      </c>
      <c r="N6" s="80" t="str">
        <f>IF(AND('Mapa final'!$AB$8="Muy Alta",'Mapa final'!$AD$8="Menor"),CONCATENATE("R1C",'Mapa final'!$R$8),"")</f>
        <v/>
      </c>
      <c r="O6" s="81" t="str">
        <f>IF(AND('Mapa final'!$AB$9="Muy Alta",'Mapa final'!$AD$9="Menor"),CONCATENATE("R1C",'Mapa final'!$R$9),"")</f>
        <v/>
      </c>
      <c r="P6" s="79" t="str">
        <f>IF(AND('Mapa final'!$AB$7="Muy Alta",'Mapa final'!$AD$7="Moderado"),CONCATENATE("R1C",'Mapa final'!$R$7),"")</f>
        <v/>
      </c>
      <c r="Q6" s="80" t="str">
        <f>IF(AND('Mapa final'!$AB$8="Muy Alta",'Mapa final'!$AD$8="Moderado"),CONCATENATE("R1C",'Mapa final'!$R$8),"")</f>
        <v/>
      </c>
      <c r="R6" s="81" t="str">
        <f>IF(AND('Mapa final'!$AB$9="Muy Alta",'Mapa final'!$AD$9="Moderado"),CONCATENATE("R1C",'Mapa final'!$R$9),"")</f>
        <v/>
      </c>
      <c r="S6" s="79" t="str">
        <f>IF(AND('Mapa final'!$AB$7="Muy Alta",'Mapa final'!$AD$7="Mayor"),CONCATENATE("R1C",'Mapa final'!$R$7),"")</f>
        <v/>
      </c>
      <c r="T6" s="80" t="str">
        <f>IF(AND('Mapa final'!$AB$8="Muy Alta",'Mapa final'!$AD$8="Mayor"),CONCATENATE("R1C",'Mapa final'!$R$8),"")</f>
        <v/>
      </c>
      <c r="U6" s="81" t="str">
        <f>IF(AND('Mapa final'!$AB$9="Muy Alta",'Mapa final'!$AD$9="Mayor"),CONCATENATE("R1C",'Mapa final'!$R$9),"")</f>
        <v/>
      </c>
      <c r="V6" s="111" t="str">
        <f>IF(AND('Mapa final'!$AB$7="Muy Alta",'Mapa final'!$AD$7="Catastrófico"),CONCATENATE("R1C",'Mapa final'!$R$7),"")</f>
        <v/>
      </c>
      <c r="W6" s="112" t="str">
        <f>IF(AND('Mapa final'!$AB$8="Muy Alta",'Mapa final'!$AD$8="Catastrófico"),CONCATENATE("R1C",'Mapa final'!$R$8),"")</f>
        <v/>
      </c>
      <c r="X6" s="113" t="str">
        <f>IF(AND('Mapa final'!$AB$9="Muy Alta",'Mapa final'!$AD$9="Catastrófico"),CONCATENATE("R1C",'Mapa final'!$R$9),"")</f>
        <v/>
      </c>
      <c r="Y6" s="38"/>
      <c r="Z6" s="291" t="s">
        <v>73</v>
      </c>
      <c r="AA6" s="292"/>
      <c r="AB6" s="292"/>
      <c r="AC6" s="292"/>
      <c r="AD6" s="292"/>
      <c r="AE6" s="293"/>
      <c r="AF6" s="38"/>
      <c r="AG6" s="38"/>
      <c r="AH6" s="38"/>
      <c r="AI6" s="38"/>
      <c r="AJ6" s="38"/>
      <c r="AK6" s="38"/>
      <c r="AL6" s="38"/>
      <c r="AM6" s="38"/>
      <c r="AN6" s="38"/>
      <c r="AO6" s="38"/>
      <c r="AP6" s="38"/>
      <c r="AQ6" s="38"/>
      <c r="AR6" s="38"/>
      <c r="AS6" s="38"/>
      <c r="AT6" s="38"/>
      <c r="AU6" s="38"/>
      <c r="AV6" s="38"/>
      <c r="AW6" s="38"/>
      <c r="AX6" s="38"/>
      <c r="AY6" s="38"/>
      <c r="AZ6" s="38"/>
      <c r="BA6" s="38"/>
      <c r="BB6" s="38"/>
      <c r="BC6" s="38"/>
      <c r="BD6" s="38"/>
      <c r="BE6" s="38"/>
      <c r="BF6" s="38"/>
      <c r="BG6" s="38"/>
      <c r="BH6" s="38"/>
      <c r="BI6" s="38"/>
    </row>
    <row r="7" spans="1:76" ht="15" customHeight="1" x14ac:dyDescent="0.3">
      <c r="A7" s="38"/>
      <c r="B7" s="306"/>
      <c r="C7" s="307"/>
      <c r="D7" s="308"/>
      <c r="E7" s="290"/>
      <c r="F7" s="289"/>
      <c r="G7" s="289"/>
      <c r="H7" s="289"/>
      <c r="I7" s="289"/>
      <c r="J7" s="82" t="str">
        <f>IF(AND('Mapa final'!$AB$10="Muy Alta",'Mapa final'!$AD$10="Leve"),CONCATENATE("R2C",'Mapa final'!$R$10),"")</f>
        <v/>
      </c>
      <c r="K7" s="141" t="str">
        <f>IF(AND('Mapa final'!$AB$11="Muy Alta",'Mapa final'!$AD$11="Leve"),CONCATENATE("R2C",'Mapa final'!$R$11),"")</f>
        <v/>
      </c>
      <c r="L7" s="83" t="str">
        <f>IF(AND('Mapa final'!$AB$12="Muy Alta",'Mapa final'!$AD$12="Leve"),CONCATENATE("R2C",'Mapa final'!$R$12),"")</f>
        <v/>
      </c>
      <c r="M7" s="82" t="str">
        <f>IF(AND('Mapa final'!$AB$10="Muy Alta",'Mapa final'!$AD$10="Menor"),CONCATENATE("R2C",'Mapa final'!$R$10),"")</f>
        <v/>
      </c>
      <c r="N7" s="141" t="str">
        <f>IF(AND('Mapa final'!$AB$11="Muy Alta",'Mapa final'!$AD$11="Menor"),CONCATENATE("R2C",'Mapa final'!$R$11),"")</f>
        <v/>
      </c>
      <c r="O7" s="83" t="str">
        <f>IF(AND('Mapa final'!$AB$12="Muy Alta",'Mapa final'!$AD$12="Menor"),CONCATENATE("R2C",'Mapa final'!$R$12),"")</f>
        <v/>
      </c>
      <c r="P7" s="82" t="str">
        <f>IF(AND('Mapa final'!$AB$10="Muy Alta",'Mapa final'!$AD$10="Moderado"),CONCATENATE("R2C",'Mapa final'!$R$10),"")</f>
        <v/>
      </c>
      <c r="Q7" s="141" t="str">
        <f>IF(AND('Mapa final'!$AB$11="Muy Alta",'Mapa final'!$AD$11="Moderado"),CONCATENATE("R2C",'Mapa final'!$R$11),"")</f>
        <v/>
      </c>
      <c r="R7" s="83" t="str">
        <f>IF(AND('Mapa final'!$AB$12="Muy Alta",'Mapa final'!$AD$12="Moderado"),CONCATENATE("R2C",'Mapa final'!$R$12),"")</f>
        <v/>
      </c>
      <c r="S7" s="82" t="str">
        <f>IF(AND('Mapa final'!$AB$10="Muy Alta",'Mapa final'!$AD$10="Mayor"),CONCATENATE("R2C",'Mapa final'!$R$10),"")</f>
        <v/>
      </c>
      <c r="T7" s="141" t="str">
        <f>IF(AND('Mapa final'!$AB$11="Muy Alta",'Mapa final'!$AD$11="Mayor"),CONCATENATE("R2C",'Mapa final'!$R$11),"")</f>
        <v/>
      </c>
      <c r="U7" s="83" t="str">
        <f>IF(AND('Mapa final'!$AB$12="Muy Alta",'Mapa final'!$AD$12="Mayor"),CONCATENATE("R2C",'Mapa final'!$R$12),"")</f>
        <v/>
      </c>
      <c r="V7" s="114" t="str">
        <f>IF(AND('Mapa final'!$AB$10="Muy Alta",'Mapa final'!$AD$10="Catastrófico"),CONCATENATE("R2C",'Mapa final'!$R$10),"")</f>
        <v/>
      </c>
      <c r="W7" s="142" t="str">
        <f>IF(AND('Mapa final'!$AB$11="Muy Alta",'Mapa final'!$AD$11="Catastrófico"),CONCATENATE("R2C",'Mapa final'!$R$11),"")</f>
        <v/>
      </c>
      <c r="X7" s="115" t="str">
        <f>IF(AND('Mapa final'!$AB$12="Muy Alta",'Mapa final'!$AD$12="Catastrófico"),CONCATENATE("R2C",'Mapa final'!$R$12),"")</f>
        <v/>
      </c>
      <c r="Y7" s="38"/>
      <c r="Z7" s="294"/>
      <c r="AA7" s="295"/>
      <c r="AB7" s="295"/>
      <c r="AC7" s="295"/>
      <c r="AD7" s="295"/>
      <c r="AE7" s="296"/>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c r="BG7" s="38"/>
      <c r="BH7" s="38"/>
      <c r="BI7" s="38"/>
    </row>
    <row r="8" spans="1:76" ht="15" customHeight="1" x14ac:dyDescent="0.3">
      <c r="A8" s="38"/>
      <c r="B8" s="306"/>
      <c r="C8" s="307"/>
      <c r="D8" s="308"/>
      <c r="E8" s="290"/>
      <c r="F8" s="289"/>
      <c r="G8" s="289"/>
      <c r="H8" s="289"/>
      <c r="I8" s="289"/>
      <c r="J8" s="82" t="e">
        <f>IF(AND('Mapa final'!#REF!="Muy Alta",'Mapa final'!#REF!="Leve"),CONCATENATE("R3C",'Mapa final'!#REF!),"")</f>
        <v>#REF!</v>
      </c>
      <c r="K8" s="141" t="e">
        <f>IF(AND('Mapa final'!#REF!="Muy Alta",'Mapa final'!#REF!="Leve"),CONCATENATE("R3C",'Mapa final'!#REF!),"")</f>
        <v>#REF!</v>
      </c>
      <c r="L8" s="83" t="e">
        <f>IF(AND('Mapa final'!#REF!="Muy Alta",'Mapa final'!#REF!="Leve"),CONCATENATE("R3C",'Mapa final'!#REF!),"")</f>
        <v>#REF!</v>
      </c>
      <c r="M8" s="82" t="e">
        <f>IF(AND('Mapa final'!#REF!="Muy Alta",'Mapa final'!#REF!="Menor"),CONCATENATE("R3C",'Mapa final'!#REF!),"")</f>
        <v>#REF!</v>
      </c>
      <c r="N8" s="141" t="e">
        <f>IF(AND('Mapa final'!#REF!="Muy Alta",'Mapa final'!#REF!="Menor"),CONCATENATE("R3C",'Mapa final'!#REF!),"")</f>
        <v>#REF!</v>
      </c>
      <c r="O8" s="83" t="e">
        <f>IF(AND('Mapa final'!#REF!="Muy Alta",'Mapa final'!#REF!="Menor"),CONCATENATE("R3C",'Mapa final'!#REF!),"")</f>
        <v>#REF!</v>
      </c>
      <c r="P8" s="82" t="e">
        <f>IF(AND('Mapa final'!#REF!="Muy Alta",'Mapa final'!#REF!="Moderado"),CONCATENATE("R3C",'Mapa final'!#REF!),"")</f>
        <v>#REF!</v>
      </c>
      <c r="Q8" s="141" t="e">
        <f>IF(AND('Mapa final'!#REF!="Muy Alta",'Mapa final'!#REF!="Moderado"),CONCATENATE("R3C",'Mapa final'!#REF!),"")</f>
        <v>#REF!</v>
      </c>
      <c r="R8" s="83" t="e">
        <f>IF(AND('Mapa final'!#REF!="Muy Alta",'Mapa final'!#REF!="Moderado"),CONCATENATE("R3C",'Mapa final'!#REF!),"")</f>
        <v>#REF!</v>
      </c>
      <c r="S8" s="82" t="e">
        <f>IF(AND('Mapa final'!#REF!="Muy Alta",'Mapa final'!#REF!="Mayor"),CONCATENATE("R3C",'Mapa final'!#REF!),"")</f>
        <v>#REF!</v>
      </c>
      <c r="T8" s="141" t="e">
        <f>IF(AND('Mapa final'!#REF!="Muy Alta",'Mapa final'!#REF!="Mayor"),CONCATENATE("R3C",'Mapa final'!#REF!),"")</f>
        <v>#REF!</v>
      </c>
      <c r="U8" s="83" t="e">
        <f>IF(AND('Mapa final'!#REF!="Muy Alta",'Mapa final'!#REF!="Mayor"),CONCATENATE("R3C",'Mapa final'!#REF!),"")</f>
        <v>#REF!</v>
      </c>
      <c r="V8" s="114" t="e">
        <f>IF(AND('Mapa final'!#REF!="Muy Alta",'Mapa final'!#REF!="Catastrófico"),CONCATENATE("R3C",'Mapa final'!#REF!),"")</f>
        <v>#REF!</v>
      </c>
      <c r="W8" s="142" t="e">
        <f>IF(AND('Mapa final'!#REF!="Muy Alta",'Mapa final'!#REF!="Catastrófico"),CONCATENATE("R3C",'Mapa final'!#REF!),"")</f>
        <v>#REF!</v>
      </c>
      <c r="X8" s="115" t="e">
        <f>IF(AND('Mapa final'!#REF!="Muy Alta",'Mapa final'!#REF!="Catastrófico"),CONCATENATE("R3C",'Mapa final'!#REF!),"")</f>
        <v>#REF!</v>
      </c>
      <c r="Y8" s="38"/>
      <c r="Z8" s="294"/>
      <c r="AA8" s="295"/>
      <c r="AB8" s="295"/>
      <c r="AC8" s="295"/>
      <c r="AD8" s="295"/>
      <c r="AE8" s="296"/>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row>
    <row r="9" spans="1:76" ht="15" customHeight="1" x14ac:dyDescent="0.3">
      <c r="A9" s="38"/>
      <c r="B9" s="306"/>
      <c r="C9" s="307"/>
      <c r="D9" s="308"/>
      <c r="E9" s="290"/>
      <c r="F9" s="289"/>
      <c r="G9" s="289"/>
      <c r="H9" s="289"/>
      <c r="I9" s="289"/>
      <c r="J9" s="82" t="str">
        <f>IF(AND('Mapa final'!$AB$13="Muy Alta",'Mapa final'!$AD$13="Leve"),CONCATENATE("R4C",'Mapa final'!$R$13),"")</f>
        <v/>
      </c>
      <c r="K9" s="141" t="str">
        <f>IF(AND('Mapa final'!$AB$14="Muy Alta",'Mapa final'!$AD$14="Leve"),CONCATENATE("R4C",'Mapa final'!$R$14),"")</f>
        <v/>
      </c>
      <c r="L9" s="83" t="str">
        <f>IF(AND('Mapa final'!$AB$15="Muy Alta",'Mapa final'!$AD$15="Leve"),CONCATENATE("R4C",'Mapa final'!$R$15),"")</f>
        <v/>
      </c>
      <c r="M9" s="82" t="str">
        <f>IF(AND('Mapa final'!$AB$13="Muy Alta",'Mapa final'!$AD$13="Menor"),CONCATENATE("R4C",'Mapa final'!$R$13),"")</f>
        <v/>
      </c>
      <c r="N9" s="141" t="str">
        <f>IF(AND('Mapa final'!$AB$14="Muy Alta",'Mapa final'!$AD$14="Menor"),CONCATENATE("R4C",'Mapa final'!$R$14),"")</f>
        <v/>
      </c>
      <c r="O9" s="83" t="str">
        <f>IF(AND('Mapa final'!$AB$15="Muy Alta",'Mapa final'!$AD$15="Menor"),CONCATENATE("R4C",'Mapa final'!$R$15),"")</f>
        <v/>
      </c>
      <c r="P9" s="82" t="str">
        <f>IF(AND('Mapa final'!$AB$13="Muy Alta",'Mapa final'!$AD$13="Moderado"),CONCATENATE("R4C",'Mapa final'!$R$13),"")</f>
        <v/>
      </c>
      <c r="Q9" s="141" t="str">
        <f>IF(AND('Mapa final'!$AB$14="Muy Alta",'Mapa final'!$AD$14="Moderado"),CONCATENATE("R4C",'Mapa final'!$R$14),"")</f>
        <v/>
      </c>
      <c r="R9" s="83" t="str">
        <f>IF(AND('Mapa final'!$AB$15="Muy Alta",'Mapa final'!$AD$15="Moderado"),CONCATENATE("R4C",'Mapa final'!$R$15),"")</f>
        <v/>
      </c>
      <c r="S9" s="82" t="str">
        <f>IF(AND('Mapa final'!$AB$13="Muy Alta",'Mapa final'!$AD$13="Mayor"),CONCATENATE("R4C",'Mapa final'!$R$13),"")</f>
        <v/>
      </c>
      <c r="T9" s="141" t="str">
        <f>IF(AND('Mapa final'!$AB$14="Muy Alta",'Mapa final'!$AD$14="Mayor"),CONCATENATE("R4C",'Mapa final'!$R$14),"")</f>
        <v/>
      </c>
      <c r="U9" s="83" t="str">
        <f>IF(AND('Mapa final'!$AB$15="Muy Alta",'Mapa final'!$AD$15="Mayor"),CONCATENATE("R4C",'Mapa final'!$R$15),"")</f>
        <v/>
      </c>
      <c r="V9" s="114" t="str">
        <f>IF(AND('Mapa final'!$AB$13="Muy Alta",'Mapa final'!$AD$13="Catastrófico"),CONCATENATE("R4C",'Mapa final'!$R$13),"")</f>
        <v/>
      </c>
      <c r="W9" s="142" t="str">
        <f>IF(AND('Mapa final'!$AB$14="Muy Alta",'Mapa final'!$AD$14="Catastrófico"),CONCATENATE("R4C",'Mapa final'!$R$14),"")</f>
        <v/>
      </c>
      <c r="X9" s="115" t="str">
        <f>IF(AND('Mapa final'!$AB$15="Muy Alta",'Mapa final'!$AD$15="Catastrófico"),CONCATENATE("R4C",'Mapa final'!$R$15),"")</f>
        <v/>
      </c>
      <c r="Y9" s="38"/>
      <c r="Z9" s="294"/>
      <c r="AA9" s="295"/>
      <c r="AB9" s="295"/>
      <c r="AC9" s="295"/>
      <c r="AD9" s="295"/>
      <c r="AE9" s="296"/>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row>
    <row r="10" spans="1:76" ht="15" customHeight="1" x14ac:dyDescent="0.3">
      <c r="A10" s="38"/>
      <c r="B10" s="306"/>
      <c r="C10" s="307"/>
      <c r="D10" s="308"/>
      <c r="E10" s="290"/>
      <c r="F10" s="289"/>
      <c r="G10" s="289"/>
      <c r="H10" s="289"/>
      <c r="I10" s="289"/>
      <c r="J10" s="82" t="str">
        <f>IF(AND('Mapa final'!$AB$16="Muy Alta",'Mapa final'!$AD$16="Leve"),CONCATENATE("R5C",'Mapa final'!$R$16),"")</f>
        <v/>
      </c>
      <c r="K10" s="141" t="str">
        <f>IF(AND('Mapa final'!$AB$17="Muy Alta",'Mapa final'!$AD$17="Leve"),CONCATENATE("R5C",'Mapa final'!$R$17),"")</f>
        <v/>
      </c>
      <c r="L10" s="83" t="str">
        <f>IF(AND('Mapa final'!$AB$18="Muy Alta",'Mapa final'!$AD$18="Leve"),CONCATENATE("R5C",'Mapa final'!$R$18),"")</f>
        <v/>
      </c>
      <c r="M10" s="82" t="str">
        <f>IF(AND('Mapa final'!$AB$16="Muy Alta",'Mapa final'!$AD$16="Menor"),CONCATENATE("R5C",'Mapa final'!$R$16),"")</f>
        <v/>
      </c>
      <c r="N10" s="141" t="str">
        <f>IF(AND('Mapa final'!$AB$17="Muy Alta",'Mapa final'!$AD$17="Menor"),CONCATENATE("R5C",'Mapa final'!$R$17),"")</f>
        <v/>
      </c>
      <c r="O10" s="83" t="str">
        <f>IF(AND('Mapa final'!$AB$18="Muy Alta",'Mapa final'!$AD$18="Menor"),CONCATENATE("R5C",'Mapa final'!$R$18),"")</f>
        <v/>
      </c>
      <c r="P10" s="82" t="str">
        <f>IF(AND('Mapa final'!$AB$16="Muy Alta",'Mapa final'!$AD$16="Moderado"),CONCATENATE("R5C",'Mapa final'!$R$16),"")</f>
        <v/>
      </c>
      <c r="Q10" s="141" t="str">
        <f>IF(AND('Mapa final'!$AB$17="Muy Alta",'Mapa final'!$AD$17="Moderado"),CONCATENATE("R5C",'Mapa final'!$R$17),"")</f>
        <v/>
      </c>
      <c r="R10" s="83" t="str">
        <f>IF(AND('Mapa final'!$AB$18="Muy Alta",'Mapa final'!$AD$18="Moderado"),CONCATENATE("R5C",'Mapa final'!$R$18),"")</f>
        <v/>
      </c>
      <c r="S10" s="82" t="str">
        <f>IF(AND('Mapa final'!$AB$16="Muy Alta",'Mapa final'!$AD$16="Mayor"),CONCATENATE("R5C",'Mapa final'!$R$16),"")</f>
        <v/>
      </c>
      <c r="T10" s="141" t="str">
        <f>IF(AND('Mapa final'!$AB$17="Muy Alta",'Mapa final'!$AD$17="Mayor"),CONCATENATE("R5C",'Mapa final'!$R$17),"")</f>
        <v/>
      </c>
      <c r="U10" s="83" t="str">
        <f>IF(AND('Mapa final'!$AB$18="Muy Alta",'Mapa final'!$AD$18="Mayor"),CONCATENATE("R5C",'Mapa final'!$R$18),"")</f>
        <v/>
      </c>
      <c r="V10" s="114" t="str">
        <f>IF(AND('Mapa final'!$AB$16="Muy Alta",'Mapa final'!$AD$16="Catastrófico"),CONCATENATE("R5C",'Mapa final'!$R$16),"")</f>
        <v/>
      </c>
      <c r="W10" s="142" t="str">
        <f>IF(AND('Mapa final'!$AB$17="Muy Alta",'Mapa final'!$AD$17="Catastrófico"),CONCATENATE("R5C",'Mapa final'!$R$17),"")</f>
        <v/>
      </c>
      <c r="X10" s="115" t="str">
        <f>IF(AND('Mapa final'!$AB$18="Muy Alta",'Mapa final'!$AD$18="Catastrófico"),CONCATENATE("R5C",'Mapa final'!$R$18),"")</f>
        <v/>
      </c>
      <c r="Y10" s="38"/>
      <c r="Z10" s="294"/>
      <c r="AA10" s="295"/>
      <c r="AB10" s="295"/>
      <c r="AC10" s="295"/>
      <c r="AD10" s="295"/>
      <c r="AE10" s="296"/>
      <c r="AF10" s="38"/>
      <c r="AG10" s="38"/>
      <c r="AH10" s="38"/>
      <c r="AI10" s="38"/>
      <c r="AJ10" s="38"/>
      <c r="AK10" s="38"/>
      <c r="AL10" s="38"/>
      <c r="AM10" s="38"/>
      <c r="AN10" s="38"/>
      <c r="AO10" s="38"/>
      <c r="AP10" s="38"/>
      <c r="AQ10" s="38"/>
      <c r="AR10" s="38"/>
      <c r="AS10" s="38"/>
      <c r="AT10" s="38"/>
      <c r="AU10" s="38"/>
      <c r="AV10" s="38"/>
      <c r="AW10" s="38"/>
      <c r="AX10" s="38"/>
      <c r="AY10" s="38"/>
      <c r="AZ10" s="38"/>
      <c r="BA10" s="38"/>
      <c r="BB10" s="38"/>
      <c r="BC10" s="38"/>
      <c r="BD10" s="38"/>
      <c r="BE10" s="38"/>
      <c r="BF10" s="38"/>
      <c r="BG10" s="38"/>
      <c r="BH10" s="38"/>
      <c r="BI10" s="38"/>
    </row>
    <row r="11" spans="1:76" ht="15" customHeight="1" x14ac:dyDescent="0.3">
      <c r="A11" s="38"/>
      <c r="B11" s="306"/>
      <c r="C11" s="307"/>
      <c r="D11" s="308"/>
      <c r="E11" s="290"/>
      <c r="F11" s="289"/>
      <c r="G11" s="289"/>
      <c r="H11" s="289"/>
      <c r="I11" s="289"/>
      <c r="J11" s="82" t="str">
        <f>IF(AND('Mapa final'!$AB$19="Muy Alta",'Mapa final'!$AD$19="Leve"),CONCATENATE("R6C",'Mapa final'!$R$19),"")</f>
        <v/>
      </c>
      <c r="K11" s="141" t="str">
        <f>IF(AND('Mapa final'!$AB$20="Muy Alta",'Mapa final'!$AD$20="Leve"),CONCATENATE("R6C",'Mapa final'!$R$20),"")</f>
        <v/>
      </c>
      <c r="L11" s="83" t="str">
        <f>IF(AND('Mapa final'!$AB$21="Muy Alta",'Mapa final'!$AD$21="Leve"),CONCATENATE("R6C",'Mapa final'!$R$21),"")</f>
        <v/>
      </c>
      <c r="M11" s="82" t="str">
        <f>IF(AND('Mapa final'!$AB$19="Muy Alta",'Mapa final'!$AD$19="Menor"),CONCATENATE("R6C",'Mapa final'!$R$19),"")</f>
        <v/>
      </c>
      <c r="N11" s="141" t="str">
        <f>IF(AND('Mapa final'!$AB$20="Muy Alta",'Mapa final'!$AD$20="Menor"),CONCATENATE("R6C",'Mapa final'!$R$20),"")</f>
        <v/>
      </c>
      <c r="O11" s="83" t="str">
        <f>IF(AND('Mapa final'!$AB$21="Muy Alta",'Mapa final'!$AD$21="Menor"),CONCATENATE("R6C",'Mapa final'!$R$21),"")</f>
        <v/>
      </c>
      <c r="P11" s="82" t="str">
        <f>IF(AND('Mapa final'!$AB$19="Muy Alta",'Mapa final'!$AD$19="Moderado"),CONCATENATE("R6C",'Mapa final'!$R$19),"")</f>
        <v/>
      </c>
      <c r="Q11" s="141" t="str">
        <f>IF(AND('Mapa final'!$AB$20="Muy Alta",'Mapa final'!$AD$20="Moderado"),CONCATENATE("R6C",'Mapa final'!$R$20),"")</f>
        <v/>
      </c>
      <c r="R11" s="83" t="str">
        <f>IF(AND('Mapa final'!$AB$21="Muy Alta",'Mapa final'!$AD$21="Moderado"),CONCATENATE("R6C",'Mapa final'!$R$21),"")</f>
        <v/>
      </c>
      <c r="S11" s="82" t="str">
        <f>IF(AND('Mapa final'!$AB$19="Muy Alta",'Mapa final'!$AD$19="Mayor"),CONCATENATE("R6C",'Mapa final'!$R$19),"")</f>
        <v/>
      </c>
      <c r="T11" s="141" t="str">
        <f>IF(AND('Mapa final'!$AB$20="Muy Alta",'Mapa final'!$AD$20="Mayor"),CONCATENATE("R6C",'Mapa final'!$R$20),"")</f>
        <v/>
      </c>
      <c r="U11" s="83" t="str">
        <f>IF(AND('Mapa final'!$AB$21="Muy Alta",'Mapa final'!$AD$21="Mayor"),CONCATENATE("R6C",'Mapa final'!$R$21),"")</f>
        <v/>
      </c>
      <c r="V11" s="114" t="str">
        <f>IF(AND('Mapa final'!$AB$19="Muy Alta",'Mapa final'!$AD$19="Catastrófico"),CONCATENATE("R6C",'Mapa final'!$R$19),"")</f>
        <v/>
      </c>
      <c r="W11" s="142" t="str">
        <f>IF(AND('Mapa final'!$AB$20="Muy Alta",'Mapa final'!$AD$20="Catastrófico"),CONCATENATE("R6C",'Mapa final'!$R$20),"")</f>
        <v/>
      </c>
      <c r="X11" s="115" t="str">
        <f>IF(AND('Mapa final'!$AB$21="Muy Alta",'Mapa final'!$AD$21="Catastrófico"),CONCATENATE("R6C",'Mapa final'!$R$21),"")</f>
        <v/>
      </c>
      <c r="Y11" s="38"/>
      <c r="Z11" s="294"/>
      <c r="AA11" s="295"/>
      <c r="AB11" s="295"/>
      <c r="AC11" s="295"/>
      <c r="AD11" s="295"/>
      <c r="AE11" s="296"/>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row>
    <row r="12" spans="1:76" ht="15" customHeight="1" x14ac:dyDescent="0.3">
      <c r="A12" s="38"/>
      <c r="B12" s="306"/>
      <c r="C12" s="307"/>
      <c r="D12" s="308"/>
      <c r="E12" s="290"/>
      <c r="F12" s="289"/>
      <c r="G12" s="289"/>
      <c r="H12" s="289"/>
      <c r="I12" s="289"/>
      <c r="J12" s="82" t="str">
        <f>IF(AND('Mapa final'!$AB$22="Muy Alta",'Mapa final'!$AD$22="Leve"),CONCATENATE("R7C",'Mapa final'!$R$22),"")</f>
        <v/>
      </c>
      <c r="K12" s="141" t="str">
        <f>IF(AND('Mapa final'!$AB$23="Muy Alta",'Mapa final'!$AD$23="Leve"),CONCATENATE("R7C",'Mapa final'!$R$23),"")</f>
        <v/>
      </c>
      <c r="L12" s="83" t="str">
        <f>IF(AND('Mapa final'!$AB$24="Muy Alta",'Mapa final'!$AD$24="Leve"),CONCATENATE("R7C",'Mapa final'!$R$24),"")</f>
        <v/>
      </c>
      <c r="M12" s="82" t="str">
        <f>IF(AND('Mapa final'!$AB$22="Muy Alta",'Mapa final'!$AD$22="Menor"),CONCATENATE("R7C",'Mapa final'!$R$22),"")</f>
        <v/>
      </c>
      <c r="N12" s="141" t="str">
        <f>IF(AND('Mapa final'!$AB$23="Muy Alta",'Mapa final'!$AD$23="Menor"),CONCATENATE("R7C",'Mapa final'!$R$23),"")</f>
        <v/>
      </c>
      <c r="O12" s="83" t="str">
        <f>IF(AND('Mapa final'!$AB$24="Muy Alta",'Mapa final'!$AD$24="Menor"),CONCATENATE("R7C",'Mapa final'!$R$24),"")</f>
        <v/>
      </c>
      <c r="P12" s="82" t="str">
        <f>IF(AND('Mapa final'!$AB$22="Muy Alta",'Mapa final'!$AD$22="Moderado"),CONCATENATE("R7C",'Mapa final'!$R$22),"")</f>
        <v/>
      </c>
      <c r="Q12" s="141" t="str">
        <f>IF(AND('Mapa final'!$AB$23="Muy Alta",'Mapa final'!$AD$23="Moderado"),CONCATENATE("R7C",'Mapa final'!$R$23),"")</f>
        <v/>
      </c>
      <c r="R12" s="83" t="str">
        <f>IF(AND('Mapa final'!$AB$24="Muy Alta",'Mapa final'!$AD$24="Moderado"),CONCATENATE("R7C",'Mapa final'!$R$24),"")</f>
        <v/>
      </c>
      <c r="S12" s="82" t="str">
        <f>IF(AND('Mapa final'!$AB$22="Muy Alta",'Mapa final'!$AD$22="Mayor"),CONCATENATE("R7C",'Mapa final'!$R$22),"")</f>
        <v/>
      </c>
      <c r="T12" s="141" t="str">
        <f>IF(AND('Mapa final'!$AB$23="Muy Alta",'Mapa final'!$AD$23="Mayor"),CONCATENATE("R7C",'Mapa final'!$R$23),"")</f>
        <v/>
      </c>
      <c r="U12" s="83" t="str">
        <f>IF(AND('Mapa final'!$AB$24="Muy Alta",'Mapa final'!$AD$24="Mayor"),CONCATENATE("R7C",'Mapa final'!$R$24),"")</f>
        <v/>
      </c>
      <c r="V12" s="114" t="str">
        <f>IF(AND('Mapa final'!$AB$22="Muy Alta",'Mapa final'!$AD$22="Catastrófico"),CONCATENATE("R7C",'Mapa final'!$R$22),"")</f>
        <v/>
      </c>
      <c r="W12" s="142" t="str">
        <f>IF(AND('Mapa final'!$AB$23="Muy Alta",'Mapa final'!$AD$23="Catastrófico"),CONCATENATE("R7C",'Mapa final'!$R$23),"")</f>
        <v/>
      </c>
      <c r="X12" s="115" t="str">
        <f>IF(AND('Mapa final'!$AB$24="Muy Alta",'Mapa final'!$AD$24="Catastrófico"),CONCATENATE("R7C",'Mapa final'!$R$24),"")</f>
        <v/>
      </c>
      <c r="Y12" s="38"/>
      <c r="Z12" s="294"/>
      <c r="AA12" s="295"/>
      <c r="AB12" s="295"/>
      <c r="AC12" s="295"/>
      <c r="AD12" s="295"/>
      <c r="AE12" s="296"/>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row>
    <row r="13" spans="1:76" ht="15" customHeight="1" x14ac:dyDescent="0.3">
      <c r="A13" s="38"/>
      <c r="B13" s="306"/>
      <c r="C13" s="307"/>
      <c r="D13" s="308"/>
      <c r="E13" s="290"/>
      <c r="F13" s="289"/>
      <c r="G13" s="289"/>
      <c r="H13" s="289"/>
      <c r="I13" s="289"/>
      <c r="J13" s="82" t="str">
        <f>IF(AND('Mapa final'!$AB$25="Muy Alta",'Mapa final'!$AD$25="Leve"),CONCATENATE("R8C",'Mapa final'!$R$25),"")</f>
        <v/>
      </c>
      <c r="K13" s="141" t="str">
        <f>IF(AND('Mapa final'!$AB$26="Muy Alta",'Mapa final'!$AD$26="Leve"),CONCATENATE("R8C",'Mapa final'!$R$26),"")</f>
        <v/>
      </c>
      <c r="L13" s="83" t="str">
        <f>IF(AND('Mapa final'!$AB$27="Muy Alta",'Mapa final'!$AD$27="Leve"),CONCATENATE("R8C",'Mapa final'!$R$27),"")</f>
        <v/>
      </c>
      <c r="M13" s="82" t="str">
        <f>IF(AND('Mapa final'!$AB$25="Muy Alta",'Mapa final'!$AD$25="Menor"),CONCATENATE("R8C",'Mapa final'!$R$25),"")</f>
        <v/>
      </c>
      <c r="N13" s="141" t="str">
        <f>IF(AND('Mapa final'!$AB$26="Muy Alta",'Mapa final'!$AD$26="Menor"),CONCATENATE("R8C",'Mapa final'!$R$26),"")</f>
        <v/>
      </c>
      <c r="O13" s="83" t="str">
        <f>IF(AND('Mapa final'!$AB$27="Muy Alta",'Mapa final'!$AD$27="Menor"),CONCATENATE("R8C",'Mapa final'!$R$27),"")</f>
        <v/>
      </c>
      <c r="P13" s="82" t="str">
        <f>IF(AND('Mapa final'!$AB$25="Muy Alta",'Mapa final'!$AD$25="Moderado"),CONCATENATE("R8C",'Mapa final'!$R$25),"")</f>
        <v/>
      </c>
      <c r="Q13" s="141" t="str">
        <f>IF(AND('Mapa final'!$AB$26="Muy Alta",'Mapa final'!$AD$26="Moderado"),CONCATENATE("R8C",'Mapa final'!$R$26),"")</f>
        <v/>
      </c>
      <c r="R13" s="83" t="str">
        <f>IF(AND('Mapa final'!$AB$27="Muy Alta",'Mapa final'!$AD$27="Moderado"),CONCATENATE("R8C",'Mapa final'!$R$27),"")</f>
        <v/>
      </c>
      <c r="S13" s="82" t="str">
        <f>IF(AND('Mapa final'!$AB$25="Muy Alta",'Mapa final'!$AD$25="Mayor"),CONCATENATE("R8C",'Mapa final'!$R$25),"")</f>
        <v/>
      </c>
      <c r="T13" s="141" t="str">
        <f>IF(AND('Mapa final'!$AB$26="Muy Alta",'Mapa final'!$AD$26="Mayor"),CONCATENATE("R8C",'Mapa final'!$R$26),"")</f>
        <v/>
      </c>
      <c r="U13" s="83" t="str">
        <f>IF(AND('Mapa final'!$AB$27="Muy Alta",'Mapa final'!$AD$27="Mayor"),CONCATENATE("R8C",'Mapa final'!$R$27),"")</f>
        <v/>
      </c>
      <c r="V13" s="114" t="str">
        <f>IF(AND('Mapa final'!$AB$25="Muy Alta",'Mapa final'!$AD$25="Catastrófico"),CONCATENATE("R8C",'Mapa final'!$R$25),"")</f>
        <v/>
      </c>
      <c r="W13" s="142" t="str">
        <f>IF(AND('Mapa final'!$AB$26="Muy Alta",'Mapa final'!$AD$26="Catastrófico"),CONCATENATE("R8C",'Mapa final'!$R$26),"")</f>
        <v/>
      </c>
      <c r="X13" s="115" t="str">
        <f>IF(AND('Mapa final'!$AB$27="Muy Alta",'Mapa final'!$AD$27="Catastrófico"),CONCATENATE("R8C",'Mapa final'!$R$27),"")</f>
        <v/>
      </c>
      <c r="Y13" s="38"/>
      <c r="Z13" s="294"/>
      <c r="AA13" s="295"/>
      <c r="AB13" s="295"/>
      <c r="AC13" s="295"/>
      <c r="AD13" s="295"/>
      <c r="AE13" s="296"/>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row>
    <row r="14" spans="1:76" ht="15" customHeight="1" x14ac:dyDescent="0.3">
      <c r="A14" s="38"/>
      <c r="B14" s="306"/>
      <c r="C14" s="307"/>
      <c r="D14" s="308"/>
      <c r="E14" s="290"/>
      <c r="F14" s="289"/>
      <c r="G14" s="289"/>
      <c r="H14" s="289"/>
      <c r="I14" s="289"/>
      <c r="J14" s="82" t="str">
        <f>IF(AND('Mapa final'!$AB$28="Muy Alta",'Mapa final'!$AD$28="Leve"),CONCATENATE("R9C",'Mapa final'!$R$28),"")</f>
        <v/>
      </c>
      <c r="K14" s="141" t="str">
        <f>IF(AND('Mapa final'!$AB$29="Muy Alta",'Mapa final'!$AD$29="Leve"),CONCATENATE("R9C",'Mapa final'!$R$29),"")</f>
        <v/>
      </c>
      <c r="L14" s="83" t="str">
        <f>IF(AND('Mapa final'!$AB$30="Muy Alta",'Mapa final'!$AD$30="Leve"),CONCATENATE("R9C",'Mapa final'!$R$30),"")</f>
        <v/>
      </c>
      <c r="M14" s="82" t="str">
        <f>IF(AND('Mapa final'!$AB$28="Muy Alta",'Mapa final'!$AD$28="Menor"),CONCATENATE("R9C",'Mapa final'!$R$28),"")</f>
        <v/>
      </c>
      <c r="N14" s="141" t="str">
        <f>IF(AND('Mapa final'!$AB$29="Muy Alta",'Mapa final'!$AD$29="Menor"),CONCATENATE("R9C",'Mapa final'!$R$29),"")</f>
        <v/>
      </c>
      <c r="O14" s="83" t="str">
        <f>IF(AND('Mapa final'!$AB$30="Muy Alta",'Mapa final'!$AD$30="Menor"),CONCATENATE("R9C",'Mapa final'!$R$30),"")</f>
        <v/>
      </c>
      <c r="P14" s="82" t="str">
        <f>IF(AND('Mapa final'!$AB$28="Muy Alta",'Mapa final'!$AD$28="Moderado"),CONCATENATE("R9C",'Mapa final'!$R$28),"")</f>
        <v/>
      </c>
      <c r="Q14" s="141" t="str">
        <f>IF(AND('Mapa final'!$AB$29="Muy Alta",'Mapa final'!$AD$29="Moderado"),CONCATENATE("R9C",'Mapa final'!$R$29),"")</f>
        <v/>
      </c>
      <c r="R14" s="83" t="str">
        <f>IF(AND('Mapa final'!$AB$30="Muy Alta",'Mapa final'!$AD$30="Moderado"),CONCATENATE("R9C",'Mapa final'!$R$30),"")</f>
        <v/>
      </c>
      <c r="S14" s="82" t="str">
        <f>IF(AND('Mapa final'!$AB$28="Muy Alta",'Mapa final'!$AD$28="Mayor"),CONCATENATE("R9C",'Mapa final'!$R$28),"")</f>
        <v/>
      </c>
      <c r="T14" s="141" t="str">
        <f>IF(AND('Mapa final'!$AB$29="Muy Alta",'Mapa final'!$AD$29="Mayor"),CONCATENATE("R9C",'Mapa final'!$R$29),"")</f>
        <v/>
      </c>
      <c r="U14" s="83" t="str">
        <f>IF(AND('Mapa final'!$AB$30="Muy Alta",'Mapa final'!$AD$30="Mayor"),CONCATENATE("R9C",'Mapa final'!$R$30),"")</f>
        <v/>
      </c>
      <c r="V14" s="114" t="str">
        <f>IF(AND('Mapa final'!$AB$28="Muy Alta",'Mapa final'!$AD$28="Catastrófico"),CONCATENATE("R9C",'Mapa final'!$R$28),"")</f>
        <v/>
      </c>
      <c r="W14" s="142" t="str">
        <f>IF(AND('Mapa final'!$AB$29="Muy Alta",'Mapa final'!$AD$29="Catastrófico"),CONCATENATE("R9C",'Mapa final'!$R$29),"")</f>
        <v/>
      </c>
      <c r="X14" s="115" t="str">
        <f>IF(AND('Mapa final'!$AB$30="Muy Alta",'Mapa final'!$AD$30="Catastrófico"),CONCATENATE("R9C",'Mapa final'!$R$30),"")</f>
        <v/>
      </c>
      <c r="Y14" s="38"/>
      <c r="Z14" s="294"/>
      <c r="AA14" s="295"/>
      <c r="AB14" s="295"/>
      <c r="AC14" s="295"/>
      <c r="AD14" s="295"/>
      <c r="AE14" s="296"/>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row>
    <row r="15" spans="1:76" ht="15" customHeight="1" x14ac:dyDescent="0.3">
      <c r="A15" s="38"/>
      <c r="B15" s="306"/>
      <c r="C15" s="307"/>
      <c r="D15" s="308"/>
      <c r="E15" s="290"/>
      <c r="F15" s="289"/>
      <c r="G15" s="289"/>
      <c r="H15" s="289"/>
      <c r="I15" s="289"/>
      <c r="J15" s="82" t="str">
        <f>IF(AND('Mapa final'!$AB$31="Muy Alta",'Mapa final'!$AD$31="Leve"),CONCATENATE("R10C",'Mapa final'!$R$31),"")</f>
        <v/>
      </c>
      <c r="K15" s="141" t="str">
        <f>IF(AND('Mapa final'!$AB$32="Muy Alta",'Mapa final'!$AD$32="Leve"),CONCATENATE("R10C",'Mapa final'!$R$32),"")</f>
        <v/>
      </c>
      <c r="L15" s="83" t="str">
        <f>IF(AND('Mapa final'!$AB$33="Muy Alta",'Mapa final'!$AD$33="Leve"),CONCATENATE("R10C",'Mapa final'!$R$33),"")</f>
        <v/>
      </c>
      <c r="M15" s="82" t="str">
        <f>IF(AND('Mapa final'!$AB$31="Muy Alta",'Mapa final'!$AD$31="Menor"),CONCATENATE("R10C",'Mapa final'!$R$31),"")</f>
        <v/>
      </c>
      <c r="N15" s="141" t="str">
        <f>IF(AND('Mapa final'!$AB$32="Muy Alta",'Mapa final'!$AD$32="Menor"),CONCATENATE("R10C",'Mapa final'!$R$32),"")</f>
        <v/>
      </c>
      <c r="O15" s="83" t="str">
        <f>IF(AND('Mapa final'!$AB$33="Muy Alta",'Mapa final'!$AD$33="Menor"),CONCATENATE("R10C",'Mapa final'!$R$33),"")</f>
        <v/>
      </c>
      <c r="P15" s="82" t="str">
        <f>IF(AND('Mapa final'!$AB$31="Muy Alta",'Mapa final'!$AD$31="Moderado"),CONCATENATE("R10C",'Mapa final'!$R$31),"")</f>
        <v/>
      </c>
      <c r="Q15" s="141" t="str">
        <f>IF(AND('Mapa final'!$AB$32="Muy Alta",'Mapa final'!$AD$32="Moderado"),CONCATENATE("R10C",'Mapa final'!$R$32),"")</f>
        <v/>
      </c>
      <c r="R15" s="83" t="str">
        <f>IF(AND('Mapa final'!$AB$33="Muy Alta",'Mapa final'!$AD$33="Moderado"),CONCATENATE("R10C",'Mapa final'!$R$33),"")</f>
        <v/>
      </c>
      <c r="S15" s="82" t="str">
        <f>IF(AND('Mapa final'!$AB$31="Muy Alta",'Mapa final'!$AD$31="Mayor"),CONCATENATE("R10C",'Mapa final'!$R$31),"")</f>
        <v/>
      </c>
      <c r="T15" s="141" t="str">
        <f>IF(AND('Mapa final'!$AB$32="Muy Alta",'Mapa final'!$AD$32="Mayor"),CONCATENATE("R10C",'Mapa final'!$R$32),"")</f>
        <v/>
      </c>
      <c r="U15" s="83" t="str">
        <f>IF(AND('Mapa final'!$AB$33="Muy Alta",'Mapa final'!$AD$33="Mayor"),CONCATENATE("R10C",'Mapa final'!$R$33),"")</f>
        <v/>
      </c>
      <c r="V15" s="114" t="str">
        <f>IF(AND('Mapa final'!$AB$31="Muy Alta",'Mapa final'!$AD$31="Catastrófico"),CONCATENATE("R10C",'Mapa final'!$R$31),"")</f>
        <v/>
      </c>
      <c r="W15" s="142" t="str">
        <f>IF(AND('Mapa final'!$AB$32="Muy Alta",'Mapa final'!$AD$32="Catastrófico"),CONCATENATE("R10C",'Mapa final'!$R$32),"")</f>
        <v/>
      </c>
      <c r="X15" s="115" t="str">
        <f>IF(AND('Mapa final'!$AB$33="Muy Alta",'Mapa final'!$AD$33="Catastrófico"),CONCATENATE("R10C",'Mapa final'!$R$33),"")</f>
        <v/>
      </c>
      <c r="Y15" s="38"/>
      <c r="Z15" s="294"/>
      <c r="AA15" s="295"/>
      <c r="AB15" s="295"/>
      <c r="AC15" s="295"/>
      <c r="AD15" s="295"/>
      <c r="AE15" s="296"/>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row>
    <row r="16" spans="1:76" ht="15" customHeight="1" x14ac:dyDescent="0.3">
      <c r="A16" s="38"/>
      <c r="B16" s="306"/>
      <c r="C16" s="307"/>
      <c r="D16" s="308"/>
      <c r="E16" s="290"/>
      <c r="F16" s="289"/>
      <c r="G16" s="289"/>
      <c r="H16" s="289"/>
      <c r="I16" s="289"/>
      <c r="J16" s="82" t="str">
        <f>IF(AND('Mapa final'!$AB$34="Muy Alta",'Mapa final'!$AD$34="Leve"),CONCATENATE("R11C",'Mapa final'!$R$34),"")</f>
        <v/>
      </c>
      <c r="K16" s="141" t="str">
        <f>IF(AND('Mapa final'!$AB$35="Muy Alta",'Mapa final'!$AD$35="Leve"),CONCATENATE("R11C",'Mapa final'!$R$35),"")</f>
        <v/>
      </c>
      <c r="L16" s="83" t="str">
        <f>IF(AND('Mapa final'!$AB$36="Muy Alta",'Mapa final'!$AD$36="Leve"),CONCATENATE("R11C",'Mapa final'!$R$36),"")</f>
        <v/>
      </c>
      <c r="M16" s="82" t="str">
        <f>IF(AND('Mapa final'!$AB$34="Muy Alta",'Mapa final'!$AD$34="Menor"),CONCATENATE("R11C",'Mapa final'!$R$34),"")</f>
        <v/>
      </c>
      <c r="N16" s="141" t="str">
        <f>IF(AND('Mapa final'!$AB$35="Muy Alta",'Mapa final'!$AD$35="Menor"),CONCATENATE("R11C",'Mapa final'!$R$35),"")</f>
        <v/>
      </c>
      <c r="O16" s="83" t="str">
        <f>IF(AND('Mapa final'!$AB$36="Muy Alta",'Mapa final'!$AD$36="Menor"),CONCATENATE("R11C",'Mapa final'!$R$36),"")</f>
        <v/>
      </c>
      <c r="P16" s="82" t="str">
        <f>IF(AND('Mapa final'!$AB$34="Muy Alta",'Mapa final'!$AD$34="Moderado"),CONCATENATE("R11C",'Mapa final'!$R$34),"")</f>
        <v/>
      </c>
      <c r="Q16" s="141" t="str">
        <f>IF(AND('Mapa final'!$AB$35="Muy Alta",'Mapa final'!$AD$35="Moderado"),CONCATENATE("R11C",'Mapa final'!$R$35),"")</f>
        <v/>
      </c>
      <c r="R16" s="83" t="str">
        <f>IF(AND('Mapa final'!$AB$36="Muy Alta",'Mapa final'!$AD$36="Moderado"),CONCATENATE("R11C",'Mapa final'!$R$36),"")</f>
        <v/>
      </c>
      <c r="S16" s="82" t="str">
        <f>IF(AND('Mapa final'!$AB$34="Muy Alta",'Mapa final'!$AD$34="Mayor"),CONCATENATE("R11C",'Mapa final'!$R$34),"")</f>
        <v/>
      </c>
      <c r="T16" s="141" t="str">
        <f>IF(AND('Mapa final'!$AB$35="Muy Alta",'Mapa final'!$AD$35="Mayor"),CONCATENATE("R11C",'Mapa final'!$R$35),"")</f>
        <v/>
      </c>
      <c r="U16" s="83" t="str">
        <f>IF(AND('Mapa final'!$AB$36="Muy Alta",'Mapa final'!$AD$36="Mayor"),CONCATENATE("R11C",'Mapa final'!$R$36),"")</f>
        <v/>
      </c>
      <c r="V16" s="114" t="str">
        <f>IF(AND('Mapa final'!$AB$34="Muy Alta",'Mapa final'!$AD$34="Catastrófico"),CONCATENATE("R11C",'Mapa final'!$R$34),"")</f>
        <v/>
      </c>
      <c r="W16" s="142" t="str">
        <f>IF(AND('Mapa final'!$AB$35="Muy Alta",'Mapa final'!$AD$35="Catastrófico"),CONCATENATE("R11C",'Mapa final'!$R$35),"")</f>
        <v/>
      </c>
      <c r="X16" s="115" t="str">
        <f>IF(AND('Mapa final'!$AB$36="Muy Alta",'Mapa final'!$AD$36="Catastrófico"),CONCATENATE("R11C",'Mapa final'!$R$36),"")</f>
        <v/>
      </c>
      <c r="Y16" s="38"/>
      <c r="Z16" s="294"/>
      <c r="AA16" s="295"/>
      <c r="AB16" s="295"/>
      <c r="AC16" s="295"/>
      <c r="AD16" s="295"/>
      <c r="AE16" s="296"/>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row>
    <row r="17" spans="1:61" ht="15" customHeight="1" x14ac:dyDescent="0.3">
      <c r="A17" s="38"/>
      <c r="B17" s="306"/>
      <c r="C17" s="307"/>
      <c r="D17" s="308"/>
      <c r="E17" s="290"/>
      <c r="F17" s="289"/>
      <c r="G17" s="289"/>
      <c r="H17" s="289"/>
      <c r="I17" s="289"/>
      <c r="J17" s="82" t="str">
        <f>IF(AND('Mapa final'!$AB$37="Muy Alta",'Mapa final'!$AD$37="Leve"),CONCATENATE("R12C",'Mapa final'!$R$37),"")</f>
        <v/>
      </c>
      <c r="K17" s="141" t="str">
        <f>IF(AND('Mapa final'!$AB$38="Muy Alta",'Mapa final'!$AD$38="Leve"),CONCATENATE("R12C",'Mapa final'!$R$38),"")</f>
        <v/>
      </c>
      <c r="L17" s="83" t="str">
        <f>IF(AND('Mapa final'!$AB$39="Muy Alta",'Mapa final'!$AD$39="Leve"),CONCATENATE("R12C",'Mapa final'!$R$39),"")</f>
        <v/>
      </c>
      <c r="M17" s="82" t="str">
        <f>IF(AND('Mapa final'!$AB$37="Muy Alta",'Mapa final'!$AD$37="Menor"),CONCATENATE("R12C",'Mapa final'!$R$37),"")</f>
        <v/>
      </c>
      <c r="N17" s="141" t="str">
        <f>IF(AND('Mapa final'!$AB$38="Muy Alta",'Mapa final'!$AD$38="Menor"),CONCATENATE("R12C",'Mapa final'!$R$38),"")</f>
        <v/>
      </c>
      <c r="O17" s="83" t="str">
        <f>IF(AND('Mapa final'!$AB$39="Muy Alta",'Mapa final'!$AD$39="Menor"),CONCATENATE("R12C",'Mapa final'!$R$39),"")</f>
        <v/>
      </c>
      <c r="P17" s="82" t="str">
        <f>IF(AND('Mapa final'!$AB$37="Muy Alta",'Mapa final'!$AD$37="Moderado"),CONCATENATE("R12C",'Mapa final'!$R$37),"")</f>
        <v/>
      </c>
      <c r="Q17" s="141" t="str">
        <f>IF(AND('Mapa final'!$AB$38="Muy Alta",'Mapa final'!$AD$38="Moderado"),CONCATENATE("R12C",'Mapa final'!$R$38),"")</f>
        <v/>
      </c>
      <c r="R17" s="83" t="str">
        <f>IF(AND('Mapa final'!$AB$39="Muy Alta",'Mapa final'!$AD$39="Moderado"),CONCATENATE("R12C",'Mapa final'!$R$39),"")</f>
        <v/>
      </c>
      <c r="S17" s="82" t="str">
        <f>IF(AND('Mapa final'!$AB$37="Muy Alta",'Mapa final'!$AD$37="Mayor"),CONCATENATE("R12C",'Mapa final'!$R$37),"")</f>
        <v/>
      </c>
      <c r="T17" s="141" t="str">
        <f>IF(AND('Mapa final'!$AB$38="Muy Alta",'Mapa final'!$AD$38="Mayor"),CONCATENATE("R12C",'Mapa final'!$R$38),"")</f>
        <v/>
      </c>
      <c r="U17" s="83" t="str">
        <f>IF(AND('Mapa final'!$AB$39="Muy Alta",'Mapa final'!$AD$39="Mayor"),CONCATENATE("R12C",'Mapa final'!$R$39),"")</f>
        <v/>
      </c>
      <c r="V17" s="114" t="str">
        <f>IF(AND('Mapa final'!$AB$37="Muy Alta",'Mapa final'!$AD$37="Catastrófico"),CONCATENATE("R12C",'Mapa final'!$R$37),"")</f>
        <v/>
      </c>
      <c r="W17" s="142" t="str">
        <f>IF(AND('Mapa final'!$AB$38="Muy Alta",'Mapa final'!$AD$38="Catastrófico"),CONCATENATE("R12C",'Mapa final'!$R$38),"")</f>
        <v/>
      </c>
      <c r="X17" s="115" t="str">
        <f>IF(AND('Mapa final'!$AB$39="Muy Alta",'Mapa final'!$AD$39="Catastrófico"),CONCATENATE("R12C",'Mapa final'!$R$39),"")</f>
        <v/>
      </c>
      <c r="Y17" s="38"/>
      <c r="Z17" s="294"/>
      <c r="AA17" s="295"/>
      <c r="AB17" s="295"/>
      <c r="AC17" s="295"/>
      <c r="AD17" s="295"/>
      <c r="AE17" s="296"/>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row>
    <row r="18" spans="1:61" ht="15" customHeight="1" x14ac:dyDescent="0.3">
      <c r="A18" s="38"/>
      <c r="B18" s="306"/>
      <c r="C18" s="307"/>
      <c r="D18" s="308"/>
      <c r="E18" s="290"/>
      <c r="F18" s="289"/>
      <c r="G18" s="289"/>
      <c r="H18" s="289"/>
      <c r="I18" s="289"/>
      <c r="J18" s="82" t="str">
        <f>IF(AND('Mapa final'!$AB$40="Muy Alta",'Mapa final'!$AD$40="Leve"),CONCATENATE("R12C",'Mapa final'!$R$40),"")</f>
        <v/>
      </c>
      <c r="K18" s="141" t="str">
        <f>IF(AND('Mapa final'!$AB$41="Muy Alta",'Mapa final'!$AD$41="Leve"),CONCATENATE("R13C",'Mapa final'!$R$41),"")</f>
        <v/>
      </c>
      <c r="L18" s="83" t="str">
        <f>IF(AND('Mapa final'!$AB$42="Muy Alta",'Mapa final'!$AD$42="Leve"),CONCATENATE("R13C",'Mapa final'!$R$42),"")</f>
        <v/>
      </c>
      <c r="M18" s="82" t="str">
        <f>IF(AND('Mapa final'!$AB$40="Muy Alta",'Mapa final'!$AD$40="Menor"),CONCATENATE("R12C",'Mapa final'!$R$40),"")</f>
        <v/>
      </c>
      <c r="N18" s="141" t="str">
        <f>IF(AND('Mapa final'!$AB$41="Muy Alta",'Mapa final'!$AD$41="Menor"),CONCATENATE("R13C",'Mapa final'!$R$41),"")</f>
        <v/>
      </c>
      <c r="O18" s="83" t="str">
        <f>IF(AND('Mapa final'!$AB$42="Muy Alta",'Mapa final'!$AD$42="Menor"),CONCATENATE("R13C",'Mapa final'!$R$42),"")</f>
        <v/>
      </c>
      <c r="P18" s="82" t="str">
        <f>IF(AND('Mapa final'!$AB$40="Muy Alta",'Mapa final'!$AD$40="Moderado"),CONCATENATE("R12C",'Mapa final'!$R$40),"")</f>
        <v/>
      </c>
      <c r="Q18" s="141" t="str">
        <f>IF(AND('Mapa final'!$AB$41="Muy Alta",'Mapa final'!$AD$41="Moderado"),CONCATENATE("R13C",'Mapa final'!$R$41),"")</f>
        <v/>
      </c>
      <c r="R18" s="83" t="str">
        <f>IF(AND('Mapa final'!$AB$42="Muy Alta",'Mapa final'!$AD$42="Moderado"),CONCATENATE("R13C",'Mapa final'!$R$42),"")</f>
        <v/>
      </c>
      <c r="S18" s="82" t="str">
        <f>IF(AND('Mapa final'!$AB$40="Muy Alta",'Mapa final'!$AD$40="Mayor"),CONCATENATE("R12C",'Mapa final'!$R$40),"")</f>
        <v/>
      </c>
      <c r="T18" s="141" t="str">
        <f>IF(AND('Mapa final'!$AB$41="Muy Alta",'Mapa final'!$AD$41="Mayor"),CONCATENATE("R13C",'Mapa final'!$R$41),"")</f>
        <v/>
      </c>
      <c r="U18" s="83" t="str">
        <f>IF(AND('Mapa final'!$AB$42="Muy Alta",'Mapa final'!$AD$42="Mayor"),CONCATENATE("R13C",'Mapa final'!$R$42),"")</f>
        <v/>
      </c>
      <c r="V18" s="114" t="str">
        <f>IF(AND('Mapa final'!$AB$40="Muy Alta",'Mapa final'!$AD$40="Catastrófico"),CONCATENATE("R12C",'Mapa final'!$R$40),"")</f>
        <v/>
      </c>
      <c r="W18" s="142" t="str">
        <f>IF(AND('Mapa final'!$AB$41="Muy Alta",'Mapa final'!$AD$41="Catastrófico"),CONCATENATE("R13C",'Mapa final'!$R$41),"")</f>
        <v/>
      </c>
      <c r="X18" s="115" t="str">
        <f>IF(AND('Mapa final'!$AB$42="Muy Alta",'Mapa final'!$AD$42="Catastrófico"),CONCATENATE("R13C",'Mapa final'!$R$42),"")</f>
        <v/>
      </c>
      <c r="Y18" s="38"/>
      <c r="Z18" s="294"/>
      <c r="AA18" s="295"/>
      <c r="AB18" s="295"/>
      <c r="AC18" s="295"/>
      <c r="AD18" s="295"/>
      <c r="AE18" s="296"/>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row>
    <row r="19" spans="1:61" ht="15" customHeight="1" x14ac:dyDescent="0.3">
      <c r="A19" s="38"/>
      <c r="B19" s="306"/>
      <c r="C19" s="307"/>
      <c r="D19" s="308"/>
      <c r="E19" s="290"/>
      <c r="F19" s="289"/>
      <c r="G19" s="289"/>
      <c r="H19" s="289"/>
      <c r="I19" s="289"/>
      <c r="J19" s="82" t="str">
        <f>IF(AND('Mapa final'!$AB$43="Muy Alta",'Mapa final'!$AD$43="Leve"),CONCATENATE("R13C",'Mapa final'!$R$43),"")</f>
        <v/>
      </c>
      <c r="K19" s="141" t="str">
        <f>IF(AND('Mapa final'!$AB$44="Muy Alta",'Mapa final'!$AD$44="Leve"),CONCATENATE("R14C",'Mapa final'!$R$44),"")</f>
        <v/>
      </c>
      <c r="L19" s="83" t="str">
        <f>IF(AND('Mapa final'!$AB$45="Muy Alta",'Mapa final'!$AD$45="Leve"),CONCATENATE("R14C",'Mapa final'!$R$45),"")</f>
        <v/>
      </c>
      <c r="M19" s="82" t="str">
        <f>IF(AND('Mapa final'!$AB$43="Muy Alta",'Mapa final'!$AD$43="Menor"),CONCATENATE("R13C",'Mapa final'!$R$43),"")</f>
        <v/>
      </c>
      <c r="N19" s="141" t="str">
        <f>IF(AND('Mapa final'!$AB$44="Muy Alta",'Mapa final'!$AD$44="Menor"),CONCATENATE("R14C",'Mapa final'!$R$44),"")</f>
        <v/>
      </c>
      <c r="O19" s="83" t="str">
        <f>IF(AND('Mapa final'!$AB$45="Muy Alta",'Mapa final'!$AD$45="Menor"),CONCATENATE("R14C",'Mapa final'!$R$45),"")</f>
        <v/>
      </c>
      <c r="P19" s="82" t="str">
        <f>IF(AND('Mapa final'!$AB$43="Muy Alta",'Mapa final'!$AD$43="Moderado"),CONCATENATE("R13C",'Mapa final'!$R$43),"")</f>
        <v/>
      </c>
      <c r="Q19" s="141" t="str">
        <f>IF(AND('Mapa final'!$AB$44="Muy Alta",'Mapa final'!$AD$44="Moderado"),CONCATENATE("R14C",'Mapa final'!$R$44),"")</f>
        <v/>
      </c>
      <c r="R19" s="83" t="str">
        <f>IF(AND('Mapa final'!$AB$45="Muy Alta",'Mapa final'!$AD$45="Moderado"),CONCATENATE("R14C",'Mapa final'!$R$45),"")</f>
        <v/>
      </c>
      <c r="S19" s="82" t="str">
        <f>IF(AND('Mapa final'!$AB$43="Muy Alta",'Mapa final'!$AD$43="Mayor"),CONCATENATE("R13C",'Mapa final'!$R$43),"")</f>
        <v/>
      </c>
      <c r="T19" s="141" t="str">
        <f>IF(AND('Mapa final'!$AB$44="Muy Alta",'Mapa final'!$AD$44="Mayor"),CONCATENATE("R14C",'Mapa final'!$R$44),"")</f>
        <v/>
      </c>
      <c r="U19" s="83" t="str">
        <f>IF(AND('Mapa final'!$AB$45="Muy Alta",'Mapa final'!$AD$45="Mayor"),CONCATENATE("R14C",'Mapa final'!$R$45),"")</f>
        <v/>
      </c>
      <c r="V19" s="114" t="str">
        <f>IF(AND('Mapa final'!$AB$43="Muy Alta",'Mapa final'!$AD$43="Catastrófico"),CONCATENATE("R13C",'Mapa final'!$R$43),"")</f>
        <v/>
      </c>
      <c r="W19" s="142" t="str">
        <f>IF(AND('Mapa final'!$AB$44="Muy Alta",'Mapa final'!$AD$44="Catastrófico"),CONCATENATE("R14C",'Mapa final'!$R$44),"")</f>
        <v/>
      </c>
      <c r="X19" s="115" t="str">
        <f>IF(AND('Mapa final'!$AB$45="Muy Alta",'Mapa final'!$AD$45="Catastrófico"),CONCATENATE("R14C",'Mapa final'!$R$45),"")</f>
        <v/>
      </c>
      <c r="Y19" s="38"/>
      <c r="Z19" s="294"/>
      <c r="AA19" s="295"/>
      <c r="AB19" s="295"/>
      <c r="AC19" s="295"/>
      <c r="AD19" s="295"/>
      <c r="AE19" s="296"/>
      <c r="AF19" s="38"/>
      <c r="AG19" s="38"/>
      <c r="AH19" s="38"/>
      <c r="AI19" s="38"/>
      <c r="AJ19" s="38"/>
      <c r="AK19" s="38"/>
      <c r="AL19" s="38"/>
      <c r="AM19" s="38"/>
      <c r="AN19" s="38"/>
      <c r="AO19" s="38"/>
      <c r="AP19" s="38"/>
      <c r="AQ19" s="38"/>
      <c r="AR19" s="38"/>
      <c r="AS19" s="38"/>
      <c r="AT19" s="38"/>
      <c r="AU19" s="38"/>
      <c r="AV19" s="38"/>
      <c r="AW19" s="38"/>
      <c r="AX19" s="38"/>
      <c r="AY19" s="38"/>
      <c r="AZ19" s="38"/>
      <c r="BA19" s="38"/>
      <c r="BB19" s="38"/>
      <c r="BC19" s="38"/>
      <c r="BD19" s="38"/>
      <c r="BE19" s="38"/>
      <c r="BF19" s="38"/>
      <c r="BG19" s="38"/>
      <c r="BH19" s="38"/>
      <c r="BI19" s="38"/>
    </row>
    <row r="20" spans="1:61" ht="15" customHeight="1" x14ac:dyDescent="0.3">
      <c r="A20" s="38"/>
      <c r="B20" s="306"/>
      <c r="C20" s="307"/>
      <c r="D20" s="308"/>
      <c r="E20" s="290"/>
      <c r="F20" s="289"/>
      <c r="G20" s="289"/>
      <c r="H20" s="289"/>
      <c r="I20" s="289"/>
      <c r="J20" s="82" t="str">
        <f>IF(AND('Mapa final'!$AB$46="Muy Alta",'Mapa final'!$AD$46="Leve"),CONCATENATE("R14C",'Mapa final'!$R$46),"")</f>
        <v/>
      </c>
      <c r="K20" s="141" t="str">
        <f>IF(AND('Mapa final'!$AB$47="Muy Alta",'Mapa final'!$AD$47="Leve"),CONCATENATE("R14C",'Mapa final'!$R$47),"")</f>
        <v/>
      </c>
      <c r="L20" s="83" t="str">
        <f>IF(AND('Mapa final'!$AB$48="Muy Alta",'Mapa final'!$AD$48="Leve"),CONCATENATE("R14C",'Mapa final'!$R$48),"")</f>
        <v/>
      </c>
      <c r="M20" s="82" t="str">
        <f>IF(AND('Mapa final'!$AB$46="Muy Alta",'Mapa final'!$AD$46="Menor"),CONCATENATE("R14C",'Mapa final'!$R$46),"")</f>
        <v/>
      </c>
      <c r="N20" s="141" t="str">
        <f>IF(AND('Mapa final'!$AB$47="Muy Alta",'Mapa final'!$AD$47="Menor"),CONCATENATE("R14C",'Mapa final'!$R$47),"")</f>
        <v/>
      </c>
      <c r="O20" s="83" t="str">
        <f>IF(AND('Mapa final'!$AB$48="Muy Alta",'Mapa final'!$AD$48="Menor"),CONCATENATE("R14C",'Mapa final'!$R$48),"")</f>
        <v/>
      </c>
      <c r="P20" s="82" t="str">
        <f>IF(AND('Mapa final'!$AB$46="Muy Alta",'Mapa final'!$AD$46="Moderado"),CONCATENATE("R14C",'Mapa final'!$R$46),"")</f>
        <v/>
      </c>
      <c r="Q20" s="141" t="str">
        <f>IF(AND('Mapa final'!$AB$47="Muy Alta",'Mapa final'!$AD$47="Moderado"),CONCATENATE("R14C",'Mapa final'!$R$47),"")</f>
        <v/>
      </c>
      <c r="R20" s="83" t="str">
        <f>IF(AND('Mapa final'!$AB$48="Muy Alta",'Mapa final'!$AD$48="Moderado"),CONCATENATE("R14C",'Mapa final'!$R$48),"")</f>
        <v/>
      </c>
      <c r="S20" s="82" t="str">
        <f>IF(AND('Mapa final'!$AB$46="Muy Alta",'Mapa final'!$AD$46="Mayor"),CONCATENATE("R14C",'Mapa final'!$R$46),"")</f>
        <v/>
      </c>
      <c r="T20" s="141" t="str">
        <f>IF(AND('Mapa final'!$AB$47="Muy Alta",'Mapa final'!$AD$47="Mayor"),CONCATENATE("R14C",'Mapa final'!$R$47),"")</f>
        <v/>
      </c>
      <c r="U20" s="83" t="str">
        <f>IF(AND('Mapa final'!$AB$48="Muy Alta",'Mapa final'!$AD$48="Mayor"),CONCATENATE("R14C",'Mapa final'!$R$48),"")</f>
        <v/>
      </c>
      <c r="V20" s="114" t="str">
        <f>IF(AND('Mapa final'!$AB$46="Muy Alta",'Mapa final'!$AD$46="Catastrófico"),CONCATENATE("R14C",'Mapa final'!$R$46),"")</f>
        <v/>
      </c>
      <c r="W20" s="142" t="str">
        <f>IF(AND('Mapa final'!$AB$47="Muy Alta",'Mapa final'!$AD$47="Catastrófico"),CONCATENATE("R14C",'Mapa final'!$R$47),"")</f>
        <v/>
      </c>
      <c r="X20" s="115" t="str">
        <f>IF(AND('Mapa final'!$AB$48="Muy Alta",'Mapa final'!$AD$48="Catastrófico"),CONCATENATE("R14C",'Mapa final'!$R$48),"")</f>
        <v/>
      </c>
      <c r="Y20" s="38"/>
      <c r="Z20" s="294"/>
      <c r="AA20" s="295"/>
      <c r="AB20" s="295"/>
      <c r="AC20" s="295"/>
      <c r="AD20" s="295"/>
      <c r="AE20" s="296"/>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row>
    <row r="21" spans="1:61" ht="15" customHeight="1" x14ac:dyDescent="0.3">
      <c r="A21" s="38"/>
      <c r="B21" s="306"/>
      <c r="C21" s="307"/>
      <c r="D21" s="308"/>
      <c r="E21" s="290"/>
      <c r="F21" s="289"/>
      <c r="G21" s="289"/>
      <c r="H21" s="289"/>
      <c r="I21" s="289"/>
      <c r="J21" s="82" t="str">
        <f>IF(AND('Mapa final'!$AB$49="Muy Alta",'Mapa final'!$AD$49="Leve"),CONCATENATE("R15C",'Mapa final'!$R$49),"")</f>
        <v/>
      </c>
      <c r="K21" s="141" t="str">
        <f>IF(AND('Mapa final'!$AB$50="Muy Alta",'Mapa final'!$AD$50="Leve"),CONCATENATE("R15C",'Mapa final'!$R$50),"")</f>
        <v/>
      </c>
      <c r="L21" s="83" t="str">
        <f>IF(AND('Mapa final'!$AB$51="Muy Alta",'Mapa final'!$AD$51="Leve"),CONCATENATE("R15C",'Mapa final'!$R$51),"")</f>
        <v/>
      </c>
      <c r="M21" s="82" t="str">
        <f>IF(AND('Mapa final'!$AB$49="Muy Alta",'Mapa final'!$AD$49="Menor"),CONCATENATE("R15C",'Mapa final'!$R$49),"")</f>
        <v/>
      </c>
      <c r="N21" s="141" t="str">
        <f>IF(AND('Mapa final'!$AB$50="Muy Alta",'Mapa final'!$AD$50="Menor"),CONCATENATE("R15C",'Mapa final'!$R$50),"")</f>
        <v/>
      </c>
      <c r="O21" s="83" t="str">
        <f>IF(AND('Mapa final'!$AB$51="Muy Alta",'Mapa final'!$AD$51="Menor"),CONCATENATE("R15C",'Mapa final'!$R$51),"")</f>
        <v/>
      </c>
      <c r="P21" s="82" t="str">
        <f>IF(AND('Mapa final'!$AB$49="Muy Alta",'Mapa final'!$AD$49="Moderado"),CONCATENATE("R15C",'Mapa final'!$R$49),"")</f>
        <v/>
      </c>
      <c r="Q21" s="141" t="str">
        <f>IF(AND('Mapa final'!$AB$50="Muy Alta",'Mapa final'!$AD$50="Moderado"),CONCATENATE("R15C",'Mapa final'!$R$50),"")</f>
        <v/>
      </c>
      <c r="R21" s="83" t="str">
        <f>IF(AND('Mapa final'!$AB$51="Muy Alta",'Mapa final'!$AD$51="Moderado"),CONCATENATE("R15C",'Mapa final'!$R$51),"")</f>
        <v/>
      </c>
      <c r="S21" s="82" t="str">
        <f>IF(AND('Mapa final'!$AB$49="Muy Alta",'Mapa final'!$AD$49="Mayor"),CONCATENATE("R15C",'Mapa final'!$R$49),"")</f>
        <v/>
      </c>
      <c r="T21" s="141" t="str">
        <f>IF(AND('Mapa final'!$AB$50="Muy Alta",'Mapa final'!$AD$50="Mayor"),CONCATENATE("R15C",'Mapa final'!$R$50),"")</f>
        <v/>
      </c>
      <c r="U21" s="83" t="str">
        <f>IF(AND('Mapa final'!$AB$51="Muy Alta",'Mapa final'!$AD$51="Mayor"),CONCATENATE("R15C",'Mapa final'!$R$51),"")</f>
        <v/>
      </c>
      <c r="V21" s="114" t="str">
        <f>IF(AND('Mapa final'!$AB$49="Muy Alta",'Mapa final'!$AD$49="Catastrófico"),CONCATENATE("R15C",'Mapa final'!$R$49),"")</f>
        <v/>
      </c>
      <c r="W21" s="142" t="str">
        <f>IF(AND('Mapa final'!$AB$50="Muy Alta",'Mapa final'!$AD$50="Catastrófico"),CONCATENATE("R15C",'Mapa final'!$R$50),"")</f>
        <v/>
      </c>
      <c r="X21" s="115" t="str">
        <f>IF(AND('Mapa final'!$AB$51="Muy Alta",'Mapa final'!$AD$51="Catastrófico"),CONCATENATE("R15C",'Mapa final'!$R$51),"")</f>
        <v/>
      </c>
      <c r="Y21" s="38"/>
      <c r="Z21" s="294"/>
      <c r="AA21" s="295"/>
      <c r="AB21" s="295"/>
      <c r="AC21" s="295"/>
      <c r="AD21" s="295"/>
      <c r="AE21" s="296"/>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row>
    <row r="22" spans="1:61" ht="15" customHeight="1" x14ac:dyDescent="0.3">
      <c r="A22" s="38"/>
      <c r="B22" s="306"/>
      <c r="C22" s="307"/>
      <c r="D22" s="308"/>
      <c r="E22" s="290"/>
      <c r="F22" s="289"/>
      <c r="G22" s="289"/>
      <c r="H22" s="289"/>
      <c r="I22" s="289"/>
      <c r="J22" s="82" t="str">
        <f>IF(AND('Mapa final'!$AB$52="Muy Alta",'Mapa final'!$AD$52="Leve"),CONCATENATE("R16C",'Mapa final'!$R$52),"")</f>
        <v/>
      </c>
      <c r="K22" s="141" t="str">
        <f>IF(AND('Mapa final'!$AB$53="Muy Alta",'Mapa final'!$AD$53="Leve"),CONCATENATE("R16C",'Mapa final'!$R$53),"")</f>
        <v/>
      </c>
      <c r="L22" s="83" t="str">
        <f>IF(AND('Mapa final'!$AB$54="Muy Alta",'Mapa final'!$AD$54="Leve"),CONCATENATE("R16C",'Mapa final'!$R$54),"")</f>
        <v/>
      </c>
      <c r="M22" s="82" t="str">
        <f>IF(AND('Mapa final'!$AB$52="Muy Alta",'Mapa final'!$AD$52="Menor"),CONCATENATE("R16C",'Mapa final'!$R$52),"")</f>
        <v/>
      </c>
      <c r="N22" s="141" t="str">
        <f>IF(AND('Mapa final'!$AB$53="Muy Alta",'Mapa final'!$AD$53="Menor"),CONCATENATE("R16C",'Mapa final'!$R$53),"")</f>
        <v/>
      </c>
      <c r="O22" s="83" t="str">
        <f>IF(AND('Mapa final'!$AB$54="Muy Alta",'Mapa final'!$AD$54="Menor"),CONCATENATE("R16C",'Mapa final'!$R$54),"")</f>
        <v/>
      </c>
      <c r="P22" s="82" t="str">
        <f>IF(AND('Mapa final'!$AB$52="Muy Alta",'Mapa final'!$AD$52="Moderado"),CONCATENATE("R16C",'Mapa final'!$R$52),"")</f>
        <v/>
      </c>
      <c r="Q22" s="141" t="str">
        <f>IF(AND('Mapa final'!$AB$53="Muy Alta",'Mapa final'!$AD$53="Moderado"),CONCATENATE("R16C",'Mapa final'!$R$53),"")</f>
        <v/>
      </c>
      <c r="R22" s="83" t="str">
        <f>IF(AND('Mapa final'!$AB$54="Muy Alta",'Mapa final'!$AD$54="Moderado"),CONCATENATE("R16C",'Mapa final'!$R$54),"")</f>
        <v/>
      </c>
      <c r="S22" s="82" t="str">
        <f>IF(AND('Mapa final'!$AB$52="Muy Alta",'Mapa final'!$AD$52="Mayor"),CONCATENATE("R16C",'Mapa final'!$R$52),"")</f>
        <v/>
      </c>
      <c r="T22" s="141" t="str">
        <f>IF(AND('Mapa final'!$AB$53="Muy Alta",'Mapa final'!$AD$53="Mayor"),CONCATENATE("R16C",'Mapa final'!$R$53),"")</f>
        <v/>
      </c>
      <c r="U22" s="83" t="str">
        <f>IF(AND('Mapa final'!$AB$54="Muy Alta",'Mapa final'!$AD$54="Mayor"),CONCATENATE("R16C",'Mapa final'!$R$54),"")</f>
        <v/>
      </c>
      <c r="V22" s="114" t="str">
        <f>IF(AND('Mapa final'!$AB$52="Muy Alta",'Mapa final'!$AD$52="Catastrófico"),CONCATENATE("R16C",'Mapa final'!$R$52),"")</f>
        <v/>
      </c>
      <c r="W22" s="142" t="str">
        <f>IF(AND('Mapa final'!$AB$53="Muy Alta",'Mapa final'!$AD$53="Catastrófico"),CONCATENATE("R16C",'Mapa final'!$R$53),"")</f>
        <v/>
      </c>
      <c r="X22" s="115" t="str">
        <f>IF(AND('Mapa final'!$AB$54="Muy Alta",'Mapa final'!$AD$54="Catastrófico"),CONCATENATE("R16C",'Mapa final'!$R$54),"")</f>
        <v/>
      </c>
      <c r="Y22" s="38"/>
      <c r="Z22" s="294"/>
      <c r="AA22" s="295"/>
      <c r="AB22" s="295"/>
      <c r="AC22" s="295"/>
      <c r="AD22" s="295"/>
      <c r="AE22" s="296"/>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row>
    <row r="23" spans="1:61" ht="15" customHeight="1" x14ac:dyDescent="0.3">
      <c r="A23" s="38"/>
      <c r="B23" s="306"/>
      <c r="C23" s="307"/>
      <c r="D23" s="308"/>
      <c r="E23" s="290"/>
      <c r="F23" s="289"/>
      <c r="G23" s="289"/>
      <c r="H23" s="289"/>
      <c r="I23" s="289"/>
      <c r="J23" s="82" t="str">
        <f>IF(AND('Mapa final'!$AB$55="Muy Alta",'Mapa final'!$AD$55="Leve"),CONCATENATE("R17C",'Mapa final'!$R$55),"")</f>
        <v/>
      </c>
      <c r="K23" s="141" t="str">
        <f>IF(AND('Mapa final'!$AB$56="Muy Alta",'Mapa final'!$AD$56="Leve"),CONCATENATE("R17C",'Mapa final'!$R$56),"")</f>
        <v/>
      </c>
      <c r="L23" s="83" t="str">
        <f>IF(AND('Mapa final'!$AB$57="Muy Alta",'Mapa final'!$AD$57="Leve"),CONCATENATE("R17C",'Mapa final'!$R$57),"")</f>
        <v/>
      </c>
      <c r="M23" s="82" t="str">
        <f>IF(AND('Mapa final'!$AB$55="Muy Alta",'Mapa final'!$AD$55="Menor"),CONCATENATE("R17C",'Mapa final'!$R$55),"")</f>
        <v/>
      </c>
      <c r="N23" s="141" t="str">
        <f>IF(AND('Mapa final'!$AB$56="Muy Alta",'Mapa final'!$AD$56="Menor"),CONCATENATE("R17C",'Mapa final'!$R$56),"")</f>
        <v/>
      </c>
      <c r="O23" s="83" t="str">
        <f>IF(AND('Mapa final'!$AB$57="Muy Alta",'Mapa final'!$AD$57="Menor"),CONCATENATE("R17C",'Mapa final'!$R$57),"")</f>
        <v/>
      </c>
      <c r="P23" s="82" t="str">
        <f>IF(AND('Mapa final'!$AB$55="Muy Alta",'Mapa final'!$AD$55="Moderado"),CONCATENATE("R17C",'Mapa final'!$R$55),"")</f>
        <v/>
      </c>
      <c r="Q23" s="141" t="str">
        <f>IF(AND('Mapa final'!$AB$56="Muy Alta",'Mapa final'!$AD$56="Moderado"),CONCATENATE("R17C",'Mapa final'!$R$56),"")</f>
        <v/>
      </c>
      <c r="R23" s="83" t="str">
        <f>IF(AND('Mapa final'!$AB$57="Muy Alta",'Mapa final'!$AD$57="Moderado"),CONCATENATE("R17C",'Mapa final'!$R$57),"")</f>
        <v/>
      </c>
      <c r="S23" s="82" t="str">
        <f>IF(AND('Mapa final'!$AB$55="Muy Alta",'Mapa final'!$AD$55="Mayor"),CONCATENATE("R17C",'Mapa final'!$R$55),"")</f>
        <v/>
      </c>
      <c r="T23" s="141" t="str">
        <f>IF(AND('Mapa final'!$AB$56="Muy Alta",'Mapa final'!$AD$56="Mayor"),CONCATENATE("R17C",'Mapa final'!$R$56),"")</f>
        <v/>
      </c>
      <c r="U23" s="83" t="str">
        <f>IF(AND('Mapa final'!$AB$57="Muy Alta",'Mapa final'!$AD$57="Mayor"),CONCATENATE("R17C",'Mapa final'!$R$57),"")</f>
        <v/>
      </c>
      <c r="V23" s="114" t="str">
        <f>IF(AND('Mapa final'!$AB$55="Muy Alta",'Mapa final'!$AD$55="Catastrófico"),CONCATENATE("R17C",'Mapa final'!$R$55),"")</f>
        <v/>
      </c>
      <c r="W23" s="142" t="str">
        <f>IF(AND('Mapa final'!$AB$56="Muy Alta",'Mapa final'!$AD$56="Catastrófico"),CONCATENATE("R17C",'Mapa final'!$R$56),"")</f>
        <v/>
      </c>
      <c r="X23" s="115" t="str">
        <f>IF(AND('Mapa final'!$AB$57="Muy Alta",'Mapa final'!$AD$57="Catastrófico"),CONCATENATE("R17C",'Mapa final'!$R$57),"")</f>
        <v/>
      </c>
      <c r="Y23" s="38"/>
      <c r="Z23" s="294"/>
      <c r="AA23" s="295"/>
      <c r="AB23" s="295"/>
      <c r="AC23" s="295"/>
      <c r="AD23" s="295"/>
      <c r="AE23" s="296"/>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row>
    <row r="24" spans="1:61" ht="15" customHeight="1" x14ac:dyDescent="0.3">
      <c r="A24" s="38"/>
      <c r="B24" s="306"/>
      <c r="C24" s="307"/>
      <c r="D24" s="308"/>
      <c r="E24" s="290"/>
      <c r="F24" s="289"/>
      <c r="G24" s="289"/>
      <c r="H24" s="289"/>
      <c r="I24" s="289"/>
      <c r="J24" s="82" t="str">
        <f>IF(AND('Mapa final'!$AB$58="Muy Alta",'Mapa final'!$AD$58="Leve"),CONCATENATE("R18C",'Mapa final'!$R$58),"")</f>
        <v/>
      </c>
      <c r="K24" s="141" t="str">
        <f>IF(AND('Mapa final'!$AB$59="Muy Alta",'Mapa final'!$AD$59="Leve"),CONCATENATE("R18C",'Mapa final'!$R$59),"")</f>
        <v/>
      </c>
      <c r="L24" s="83" t="str">
        <f>IF(AND('Mapa final'!$AB$60="Muy Alta",'Mapa final'!$AD$60="Leve"),CONCATENATE("R18C",'Mapa final'!$R$60),"")</f>
        <v/>
      </c>
      <c r="M24" s="82" t="str">
        <f>IF(AND('Mapa final'!$AB$58="Muy Alta",'Mapa final'!$AD$58="Menor"),CONCATENATE("R18C",'Mapa final'!$R$58),"")</f>
        <v/>
      </c>
      <c r="N24" s="141" t="str">
        <f>IF(AND('Mapa final'!$AB$59="Muy Alta",'Mapa final'!$AD$59="Menor"),CONCATENATE("R18C",'Mapa final'!$R$59),"")</f>
        <v/>
      </c>
      <c r="O24" s="83" t="str">
        <f>IF(AND('Mapa final'!$AB$60="Muy Alta",'Mapa final'!$AD$60="Menor"),CONCATENATE("R18C",'Mapa final'!$R$60),"")</f>
        <v/>
      </c>
      <c r="P24" s="82" t="str">
        <f>IF(AND('Mapa final'!$AB$58="Muy Alta",'Mapa final'!$AD$58="Moderado"),CONCATENATE("R18C",'Mapa final'!$R$58),"")</f>
        <v/>
      </c>
      <c r="Q24" s="141" t="str">
        <f>IF(AND('Mapa final'!$AB$59="Muy Alta",'Mapa final'!$AD$59="Moderado"),CONCATENATE("R18C",'Mapa final'!$R$59),"")</f>
        <v/>
      </c>
      <c r="R24" s="83" t="str">
        <f>IF(AND('Mapa final'!$AB$60="Muy Alta",'Mapa final'!$AD$60="Moderado"),CONCATENATE("R18C",'Mapa final'!$R$60),"")</f>
        <v/>
      </c>
      <c r="S24" s="82" t="str">
        <f>IF(AND('Mapa final'!$AB$58="Muy Alta",'Mapa final'!$AD$58="Mayor"),CONCATENATE("R18C",'Mapa final'!$R$58),"")</f>
        <v/>
      </c>
      <c r="T24" s="141" t="str">
        <f>IF(AND('Mapa final'!$AB$59="Muy Alta",'Mapa final'!$AD$59="Mayor"),CONCATENATE("R18C",'Mapa final'!$R$59),"")</f>
        <v/>
      </c>
      <c r="U24" s="83" t="str">
        <f>IF(AND('Mapa final'!$AB$60="Muy Alta",'Mapa final'!$AD$60="Mayor"),CONCATENATE("R18C",'Mapa final'!$R$60),"")</f>
        <v/>
      </c>
      <c r="V24" s="114" t="str">
        <f>IF(AND('Mapa final'!$AB$58="Muy Alta",'Mapa final'!$AD$58="Catastrófico"),CONCATENATE("R18C",'Mapa final'!$R$58),"")</f>
        <v/>
      </c>
      <c r="W24" s="142" t="str">
        <f>IF(AND('Mapa final'!$AB$59="Muy Alta",'Mapa final'!$AD$59="Catastrófico"),CONCATENATE("R18C",'Mapa final'!$R$59),"")</f>
        <v/>
      </c>
      <c r="X24" s="115" t="str">
        <f>IF(AND('Mapa final'!$AB$60="Muy Alta",'Mapa final'!$AD$60="Catastrófico"),CONCATENATE("R18C",'Mapa final'!$R$60),"")</f>
        <v/>
      </c>
      <c r="Y24" s="38"/>
      <c r="Z24" s="294"/>
      <c r="AA24" s="295"/>
      <c r="AB24" s="295"/>
      <c r="AC24" s="295"/>
      <c r="AD24" s="295"/>
      <c r="AE24" s="296"/>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row>
    <row r="25" spans="1:61" ht="15" customHeight="1" x14ac:dyDescent="0.3">
      <c r="A25" s="38"/>
      <c r="B25" s="306"/>
      <c r="C25" s="307"/>
      <c r="D25" s="308"/>
      <c r="E25" s="290"/>
      <c r="F25" s="289"/>
      <c r="G25" s="289"/>
      <c r="H25" s="289"/>
      <c r="I25" s="289"/>
      <c r="J25" s="82" t="str">
        <f>IF(AND('Mapa final'!$AB$61="Muy Alta",'Mapa final'!$AD$61="Leve"),CONCATENATE("R19C",'Mapa final'!$R$61),"")</f>
        <v/>
      </c>
      <c r="K25" s="141" t="str">
        <f>IF(AND('Mapa final'!$AB$62="Muy Alta",'Mapa final'!$AD$62="Leve"),CONCATENATE("R19C",'Mapa final'!$R$62),"")</f>
        <v/>
      </c>
      <c r="L25" s="83" t="str">
        <f>IF(AND('Mapa final'!$AB$63="Muy Alta",'Mapa final'!$AD$63="Leve"),CONCATENATE("R19C",'Mapa final'!$R$63),"")</f>
        <v/>
      </c>
      <c r="M25" s="82" t="str">
        <f>IF(AND('Mapa final'!$AB$61="Muy Alta",'Mapa final'!$AD$61="Menor"),CONCATENATE("R19C",'Mapa final'!$R$61),"")</f>
        <v/>
      </c>
      <c r="N25" s="141" t="str">
        <f>IF(AND('Mapa final'!$AB$62="Muy Alta",'Mapa final'!$AD$62="Menor"),CONCATENATE("R19C",'Mapa final'!$R$62),"")</f>
        <v/>
      </c>
      <c r="O25" s="83" t="str">
        <f>IF(AND('Mapa final'!$AB$63="Muy Alta",'Mapa final'!$AD$63="Menor"),CONCATENATE("R19C",'Mapa final'!$R$63),"")</f>
        <v/>
      </c>
      <c r="P25" s="82" t="str">
        <f>IF(AND('Mapa final'!$AB$61="Muy Alta",'Mapa final'!$AD$61="Moderado"),CONCATENATE("R19C",'Mapa final'!$R$61),"")</f>
        <v/>
      </c>
      <c r="Q25" s="141" t="str">
        <f>IF(AND('Mapa final'!$AB$62="Muy Alta",'Mapa final'!$AD$62="Moderado"),CONCATENATE("R19C",'Mapa final'!$R$62),"")</f>
        <v/>
      </c>
      <c r="R25" s="83" t="str">
        <f>IF(AND('Mapa final'!$AB$63="Muy Alta",'Mapa final'!$AD$63="Moderado"),CONCATENATE("R19C",'Mapa final'!$R$63),"")</f>
        <v/>
      </c>
      <c r="S25" s="82" t="str">
        <f>IF(AND('Mapa final'!$AB$61="Muy Alta",'Mapa final'!$AD$61="Mayor"),CONCATENATE("R19C",'Mapa final'!$R$61),"")</f>
        <v/>
      </c>
      <c r="T25" s="141" t="str">
        <f>IF(AND('Mapa final'!$AB$62="Muy Alta",'Mapa final'!$AD$62="Mayor"),CONCATENATE("R19C",'Mapa final'!$R$62),"")</f>
        <v/>
      </c>
      <c r="U25" s="83" t="str">
        <f>IF(AND('Mapa final'!$AB$63="Muy Alta",'Mapa final'!$AD$63="Mayor"),CONCATENATE("R19C",'Mapa final'!$R$63),"")</f>
        <v/>
      </c>
      <c r="V25" s="114" t="str">
        <f>IF(AND('Mapa final'!$AB$61="Muy Alta",'Mapa final'!$AD$61="Catastrófico"),CONCATENATE("R19C",'Mapa final'!$R$61),"")</f>
        <v/>
      </c>
      <c r="W25" s="142" t="str">
        <f>IF(AND('Mapa final'!$AB$62="Muy Alta",'Mapa final'!$AD$62="Catastrófico"),CONCATENATE("R19C",'Mapa final'!$R$62),"")</f>
        <v/>
      </c>
      <c r="X25" s="115" t="str">
        <f>IF(AND('Mapa final'!$AB$63="Muy Alta",'Mapa final'!$AD$63="Catastrófico"),CONCATENATE("R19C",'Mapa final'!$R$63),"")</f>
        <v/>
      </c>
      <c r="Y25" s="38"/>
      <c r="Z25" s="294"/>
      <c r="AA25" s="295"/>
      <c r="AB25" s="295"/>
      <c r="AC25" s="295"/>
      <c r="AD25" s="295"/>
      <c r="AE25" s="296"/>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8"/>
      <c r="BI25" s="38"/>
    </row>
    <row r="26" spans="1:61" ht="15" customHeight="1" x14ac:dyDescent="0.3">
      <c r="A26" s="38"/>
      <c r="B26" s="306"/>
      <c r="C26" s="307"/>
      <c r="D26" s="308"/>
      <c r="E26" s="290"/>
      <c r="F26" s="289"/>
      <c r="G26" s="289"/>
      <c r="H26" s="289"/>
      <c r="I26" s="289"/>
      <c r="J26" s="82" t="str">
        <f>IF(AND('Mapa final'!$AB$64="Muy Alta",'Mapa final'!$AD$64="Leve"),CONCATENATE("R20",'Mapa final'!$R$64),"")</f>
        <v/>
      </c>
      <c r="K26" s="141" t="str">
        <f>IF(AND('Mapa final'!$AB$65="Muy Alta",'Mapa final'!$AD$65="Leve"),CONCATENATE("R20C",'Mapa final'!$R$65),"")</f>
        <v/>
      </c>
      <c r="L26" s="83" t="str">
        <f>IF(AND('Mapa final'!$AB$66="Muy Alta",'Mapa final'!$AD$66="Leve"),CONCATENATE("R20C",'Mapa final'!$R$66),"")</f>
        <v/>
      </c>
      <c r="M26" s="82" t="str">
        <f>IF(AND('Mapa final'!$AB$64="Muy Alta",'Mapa final'!$AD$64="Menor"),CONCATENATE("R20",'Mapa final'!$R$64),"")</f>
        <v/>
      </c>
      <c r="N26" s="141" t="str">
        <f>IF(AND('Mapa final'!$AB$65="Muy Alta",'Mapa final'!$AD$65="Menor"),CONCATENATE("R20C",'Mapa final'!$R$65),"")</f>
        <v/>
      </c>
      <c r="O26" s="83" t="str">
        <f>IF(AND('Mapa final'!$AB$66="Muy Alta",'Mapa final'!$AD$66="Menor"),CONCATENATE("R20C",'Mapa final'!$R$66),"")</f>
        <v/>
      </c>
      <c r="P26" s="82" t="str">
        <f>IF(AND('Mapa final'!$AB$64="Muy Alta",'Mapa final'!$AD$64="Moderado"),CONCATENATE("R20",'Mapa final'!$R$64),"")</f>
        <v/>
      </c>
      <c r="Q26" s="141" t="str">
        <f>IF(AND('Mapa final'!$AB$65="Muy Alta",'Mapa final'!$AD$65="Moderado"),CONCATENATE("R20C",'Mapa final'!$R$65),"")</f>
        <v/>
      </c>
      <c r="R26" s="83" t="str">
        <f>IF(AND('Mapa final'!$AB$66="Muy Alta",'Mapa final'!$AD$66="Moderado"),CONCATENATE("R20C",'Mapa final'!$R$66),"")</f>
        <v/>
      </c>
      <c r="S26" s="82" t="str">
        <f>IF(AND('Mapa final'!$AB$64="Muy Alta",'Mapa final'!$AD$64="Mayor"),CONCATENATE("R20",'Mapa final'!$R$64),"")</f>
        <v/>
      </c>
      <c r="T26" s="141" t="str">
        <f>IF(AND('Mapa final'!$AB$65="Muy Alta",'Mapa final'!$AD$65="Mayor"),CONCATENATE("R20C",'Mapa final'!$R$65),"")</f>
        <v/>
      </c>
      <c r="U26" s="83" t="str">
        <f>IF(AND('Mapa final'!$AB$66="Muy Alta",'Mapa final'!$AD$66="Mayor"),CONCATENATE("R20C",'Mapa final'!$R$66),"")</f>
        <v/>
      </c>
      <c r="V26" s="114" t="str">
        <f>IF(AND('Mapa final'!$AB$64="Muy Alta",'Mapa final'!$AD$64="Catastrófico"),CONCATENATE("R20",'Mapa final'!$R$64),"")</f>
        <v/>
      </c>
      <c r="W26" s="142" t="str">
        <f>IF(AND('Mapa final'!$AB$65="Muy Alta",'Mapa final'!$AD$65="Catastrófico"),CONCATENATE("R20C",'Mapa final'!$R$65),"")</f>
        <v/>
      </c>
      <c r="X26" s="115" t="str">
        <f>IF(AND('Mapa final'!$AB$66="Muy Alta",'Mapa final'!$AD$66="Catastrófico"),CONCATENATE("R20C",'Mapa final'!$R$66),"")</f>
        <v/>
      </c>
      <c r="Y26" s="38"/>
      <c r="Z26" s="294"/>
      <c r="AA26" s="295"/>
      <c r="AB26" s="295"/>
      <c r="AC26" s="295"/>
      <c r="AD26" s="295"/>
      <c r="AE26" s="296"/>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row>
    <row r="27" spans="1:61" ht="15" customHeight="1" x14ac:dyDescent="0.3">
      <c r="A27" s="38"/>
      <c r="B27" s="306"/>
      <c r="C27" s="307"/>
      <c r="D27" s="308"/>
      <c r="E27" s="290"/>
      <c r="F27" s="289"/>
      <c r="G27" s="289"/>
      <c r="H27" s="289"/>
      <c r="I27" s="289"/>
      <c r="J27" s="82" t="str">
        <f>IF(AND('Mapa final'!$AB$67="Muy Alta",'Mapa final'!$AD$67="Leve"),CONCATENATE("R21C",'Mapa final'!$R$67),"")</f>
        <v/>
      </c>
      <c r="K27" s="141" t="str">
        <f>IF(AND('Mapa final'!$AB$68="Muy Alta",'Mapa final'!$AD$68="Leve"),CONCATENATE("R21C",'Mapa final'!$R$68),"")</f>
        <v/>
      </c>
      <c r="L27" s="83" t="str">
        <f>IF(AND('Mapa final'!$AB$69="Muy Alta",'Mapa final'!$AD$69="Leve"),CONCATENATE("R21C",'Mapa final'!$R$69),"")</f>
        <v/>
      </c>
      <c r="M27" s="82" t="str">
        <f>IF(AND('Mapa final'!$AB$67="Muy Alta",'Mapa final'!$AD$67="Menor"),CONCATENATE("R21C",'Mapa final'!$R$67),"")</f>
        <v/>
      </c>
      <c r="N27" s="141" t="str">
        <f>IF(AND('Mapa final'!$AB$68="Muy Alta",'Mapa final'!$AD$68="Menor"),CONCATENATE("R21C",'Mapa final'!$R$68),"")</f>
        <v/>
      </c>
      <c r="O27" s="83" t="str">
        <f>IF(AND('Mapa final'!$AB$69="Muy Alta",'Mapa final'!$AD$69="Menor"),CONCATENATE("R21C",'Mapa final'!$R$69),"")</f>
        <v/>
      </c>
      <c r="P27" s="82" t="str">
        <f>IF(AND('Mapa final'!$AB$67="Muy Alta",'Mapa final'!$AD$67="Moderado"),CONCATENATE("R21C",'Mapa final'!$R$67),"")</f>
        <v/>
      </c>
      <c r="Q27" s="141" t="str">
        <f>IF(AND('Mapa final'!$AB$68="Muy Alta",'Mapa final'!$AD$68="Moderado"),CONCATENATE("R21C",'Mapa final'!$R$68),"")</f>
        <v/>
      </c>
      <c r="R27" s="83" t="str">
        <f>IF(AND('Mapa final'!$AB$69="Muy Alta",'Mapa final'!$AD$69="Moderado"),CONCATENATE("R21C",'Mapa final'!$R$69),"")</f>
        <v/>
      </c>
      <c r="S27" s="82" t="str">
        <f>IF(AND('Mapa final'!$AB$67="Muy Alta",'Mapa final'!$AD$67="Mayor"),CONCATENATE("R21C",'Mapa final'!$R$67),"")</f>
        <v/>
      </c>
      <c r="T27" s="141" t="str">
        <f>IF(AND('Mapa final'!$AB$68="Muy Alta",'Mapa final'!$AD$68="Mayor"),CONCATENATE("R21C",'Mapa final'!$R$68),"")</f>
        <v/>
      </c>
      <c r="U27" s="83" t="str">
        <f>IF(AND('Mapa final'!$AB$69="Muy Alta",'Mapa final'!$AD$69="Mayor"),CONCATENATE("R21C",'Mapa final'!$R$69),"")</f>
        <v/>
      </c>
      <c r="V27" s="114" t="str">
        <f>IF(AND('Mapa final'!$AB$67="Muy Alta",'Mapa final'!$AD$67="Catastrófico"),CONCATENATE("R21C",'Mapa final'!$R$67),"")</f>
        <v/>
      </c>
      <c r="W27" s="142" t="str">
        <f>IF(AND('Mapa final'!$AB$68="Muy Alta",'Mapa final'!$AD$68="Catastrófico"),CONCATENATE("R21C",'Mapa final'!$R$68),"")</f>
        <v/>
      </c>
      <c r="X27" s="115" t="str">
        <f>IF(AND('Mapa final'!$AB$69="Muy Alta",'Mapa final'!$AD$69="Catastrófico"),CONCATENATE("R21C",'Mapa final'!$R$69),"")</f>
        <v/>
      </c>
      <c r="Y27" s="38"/>
      <c r="Z27" s="294"/>
      <c r="AA27" s="295"/>
      <c r="AB27" s="295"/>
      <c r="AC27" s="295"/>
      <c r="AD27" s="295"/>
      <c r="AE27" s="296"/>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row>
    <row r="28" spans="1:61" ht="15" customHeight="1" x14ac:dyDescent="0.3">
      <c r="A28" s="38"/>
      <c r="B28" s="306"/>
      <c r="C28" s="307"/>
      <c r="D28" s="308"/>
      <c r="E28" s="290"/>
      <c r="F28" s="289"/>
      <c r="G28" s="289"/>
      <c r="H28" s="289"/>
      <c r="I28" s="289"/>
      <c r="J28" s="82" t="str">
        <f>IF(AND('Mapa final'!$AB$70="Muy Alta",'Mapa final'!$AD$70="Leve"),CONCATENATE("R22C",'Mapa final'!$R$70),"")</f>
        <v/>
      </c>
      <c r="K28" s="141" t="str">
        <f>IF(AND('Mapa final'!$AB$71="Muy Alta",'Mapa final'!$AD$71="Leve"),CONCATENATE("R22C",'Mapa final'!$R$71),"")</f>
        <v/>
      </c>
      <c r="L28" s="83" t="str">
        <f>IF(AND('Mapa final'!$AB$72="Muy Alta",'Mapa final'!$AD$72="Leve"),CONCATENATE("R2C",'Mapa final'!$R$72),"")</f>
        <v/>
      </c>
      <c r="M28" s="82" t="str">
        <f>IF(AND('Mapa final'!$AB$70="Muy Alta",'Mapa final'!$AD$70="Menor"),CONCATENATE("R22C",'Mapa final'!$R$70),"")</f>
        <v/>
      </c>
      <c r="N28" s="141" t="str">
        <f>IF(AND('Mapa final'!$AB$71="Muy Alta",'Mapa final'!$AD$71="Menor"),CONCATENATE("R22C",'Mapa final'!$R$71),"")</f>
        <v/>
      </c>
      <c r="O28" s="83" t="str">
        <f>IF(AND('Mapa final'!$AB$72="Muy Alta",'Mapa final'!$AD$72="Menor"),CONCATENATE("R2C",'Mapa final'!$R$72),"")</f>
        <v/>
      </c>
      <c r="P28" s="82" t="str">
        <f>IF(AND('Mapa final'!$AB$70="Muy Alta",'Mapa final'!$AD$70="Moderado"),CONCATENATE("R22C",'Mapa final'!$R$70),"")</f>
        <v/>
      </c>
      <c r="Q28" s="141" t="str">
        <f>IF(AND('Mapa final'!$AB$71="Muy Alta",'Mapa final'!$AD$71="Moderado"),CONCATENATE("R22C",'Mapa final'!$R$71),"")</f>
        <v/>
      </c>
      <c r="R28" s="83" t="str">
        <f>IF(AND('Mapa final'!$AB$72="Muy Alta",'Mapa final'!$AD$72="Moderado"),CONCATENATE("R2C",'Mapa final'!$R$72),"")</f>
        <v/>
      </c>
      <c r="S28" s="82" t="str">
        <f>IF(AND('Mapa final'!$AB$70="Muy Alta",'Mapa final'!$AD$70="Mayor"),CONCATENATE("R22C",'Mapa final'!$R$70),"")</f>
        <v/>
      </c>
      <c r="T28" s="141" t="str">
        <f>IF(AND('Mapa final'!$AB$71="Muy Alta",'Mapa final'!$AD$71="Mayor"),CONCATENATE("R22C",'Mapa final'!$R$71),"")</f>
        <v/>
      </c>
      <c r="U28" s="83" t="str">
        <f>IF(AND('Mapa final'!$AB$72="Muy Alta",'Mapa final'!$AD$72="Mayor"),CONCATENATE("R2C",'Mapa final'!$R$72),"")</f>
        <v/>
      </c>
      <c r="V28" s="114" t="str">
        <f>IF(AND('Mapa final'!$AB$70="Muy Alta",'Mapa final'!$AD$70="Catastrófico"),CONCATENATE("R22C",'Mapa final'!$R$70),"")</f>
        <v/>
      </c>
      <c r="W28" s="142" t="str">
        <f>IF(AND('Mapa final'!$AB$71="Muy Alta",'Mapa final'!$AD$71="Catastrófico"),CONCATENATE("R22C",'Mapa final'!$R$71),"")</f>
        <v/>
      </c>
      <c r="X28" s="115" t="str">
        <f>IF(AND('Mapa final'!$AB$72="Muy Alta",'Mapa final'!$AD$72="Catastrófico"),CONCATENATE("R2C",'Mapa final'!$R$72),"")</f>
        <v/>
      </c>
      <c r="Y28" s="38"/>
      <c r="Z28" s="294"/>
      <c r="AA28" s="295"/>
      <c r="AB28" s="295"/>
      <c r="AC28" s="295"/>
      <c r="AD28" s="295"/>
      <c r="AE28" s="296"/>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row>
    <row r="29" spans="1:61" ht="15" customHeight="1" x14ac:dyDescent="0.3">
      <c r="A29" s="38"/>
      <c r="B29" s="306"/>
      <c r="C29" s="307"/>
      <c r="D29" s="308"/>
      <c r="E29" s="290"/>
      <c r="F29" s="289"/>
      <c r="G29" s="289"/>
      <c r="H29" s="289"/>
      <c r="I29" s="289"/>
      <c r="J29" s="82" t="str">
        <f>IF(AND('Mapa final'!$AB$73="Muy Alta",'Mapa final'!$AD$73="Leve"),CONCATENATE("R23C",'Mapa final'!$R$73),"")</f>
        <v/>
      </c>
      <c r="K29" s="141" t="str">
        <f>IF(AND('Mapa final'!$AB$74="Muy Alta",'Mapa final'!$AD$74="Leve"),CONCATENATE("R23C",'Mapa final'!$R$74),"")</f>
        <v/>
      </c>
      <c r="L29" s="83" t="str">
        <f>IF(AND('Mapa final'!$AB$75="Muy Alta",'Mapa final'!$AD$75="Leve"),CONCATENATE("R23C",'Mapa final'!$R$75),"")</f>
        <v/>
      </c>
      <c r="M29" s="82" t="str">
        <f>IF(AND('Mapa final'!$AB$73="Muy Alta",'Mapa final'!$AD$73="Menor"),CONCATENATE("R23C",'Mapa final'!$R$73),"")</f>
        <v/>
      </c>
      <c r="N29" s="141" t="str">
        <f>IF(AND('Mapa final'!$AB$74="Muy Alta",'Mapa final'!$AD$74="Menor"),CONCATENATE("R23C",'Mapa final'!$R$74),"")</f>
        <v/>
      </c>
      <c r="O29" s="83" t="str">
        <f>IF(AND('Mapa final'!$AB$75="Muy Alta",'Mapa final'!$AD$75="Menor"),CONCATENATE("R23C",'Mapa final'!$R$75),"")</f>
        <v/>
      </c>
      <c r="P29" s="82" t="str">
        <f>IF(AND('Mapa final'!$AB$73="Muy Alta",'Mapa final'!$AD$73="Moderado"),CONCATENATE("R23C",'Mapa final'!$R$73),"")</f>
        <v/>
      </c>
      <c r="Q29" s="141" t="str">
        <f>IF(AND('Mapa final'!$AB$74="Muy Alta",'Mapa final'!$AD$74="Moderado"),CONCATENATE("R23C",'Mapa final'!$R$74),"")</f>
        <v/>
      </c>
      <c r="R29" s="83" t="str">
        <f>IF(AND('Mapa final'!$AB$75="Muy Alta",'Mapa final'!$AD$75="Moderado"),CONCATENATE("R23C",'Mapa final'!$R$75),"")</f>
        <v/>
      </c>
      <c r="S29" s="82" t="str">
        <f>IF(AND('Mapa final'!$AB$73="Muy Alta",'Mapa final'!$AD$73="Mayor"),CONCATENATE("R23C",'Mapa final'!$R$73),"")</f>
        <v/>
      </c>
      <c r="T29" s="141" t="str">
        <f>IF(AND('Mapa final'!$AB$74="Muy Alta",'Mapa final'!$AD$74="Mayor"),CONCATENATE("R23C",'Mapa final'!$R$74),"")</f>
        <v/>
      </c>
      <c r="U29" s="83" t="str">
        <f>IF(AND('Mapa final'!$AB$75="Muy Alta",'Mapa final'!$AD$75="Mayor"),CONCATENATE("R23C",'Mapa final'!$R$75),"")</f>
        <v/>
      </c>
      <c r="V29" s="114" t="str">
        <f>IF(AND('Mapa final'!$AB$73="Muy Alta",'Mapa final'!$AD$73="Catastrófico"),CONCATENATE("R23C",'Mapa final'!$R$73),"")</f>
        <v/>
      </c>
      <c r="W29" s="142" t="str">
        <f>IF(AND('Mapa final'!$AB$74="Muy Alta",'Mapa final'!$AD$74="Catastrófico"),CONCATENATE("R23C",'Mapa final'!$R$74),"")</f>
        <v/>
      </c>
      <c r="X29" s="115" t="str">
        <f>IF(AND('Mapa final'!$AB$75="Muy Alta",'Mapa final'!$AD$75="Catastrófico"),CONCATENATE("R23C",'Mapa final'!$R$75),"")</f>
        <v/>
      </c>
      <c r="Y29" s="38"/>
      <c r="Z29" s="294"/>
      <c r="AA29" s="295"/>
      <c r="AB29" s="295"/>
      <c r="AC29" s="295"/>
      <c r="AD29" s="295"/>
      <c r="AE29" s="296"/>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row>
    <row r="30" spans="1:61" ht="15" customHeight="1" x14ac:dyDescent="0.3">
      <c r="A30" s="38"/>
      <c r="B30" s="306"/>
      <c r="C30" s="307"/>
      <c r="D30" s="308"/>
      <c r="E30" s="290"/>
      <c r="F30" s="289"/>
      <c r="G30" s="289"/>
      <c r="H30" s="289"/>
      <c r="I30" s="289"/>
      <c r="J30" s="82" t="str">
        <f>IF(AND('Mapa final'!$AB$76="Muy Alta",'Mapa final'!$AD$76="Leve"),CONCATENATE("R24C",'Mapa final'!$R$76),"")</f>
        <v/>
      </c>
      <c r="K30" s="141" t="str">
        <f>IF(AND('Mapa final'!$AB$77="Muy Alta",'Mapa final'!$AD$77="Leve"),CONCATENATE("R24C",'Mapa final'!$R$77),"")</f>
        <v/>
      </c>
      <c r="L30" s="83" t="str">
        <f>IF(AND('Mapa final'!$AB$78="Muy Alta",'Mapa final'!$AD$78="Leve"),CONCATENATE("R24C",'Mapa final'!$R$78),"")</f>
        <v/>
      </c>
      <c r="M30" s="82" t="str">
        <f>IF(AND('Mapa final'!$AB$76="Muy Alta",'Mapa final'!$AD$76="Menor"),CONCATENATE("R24C",'Mapa final'!$R$76),"")</f>
        <v/>
      </c>
      <c r="N30" s="141" t="str">
        <f>IF(AND('Mapa final'!$AB$77="Muy Alta",'Mapa final'!$AD$77="Menor"),CONCATENATE("R24C",'Mapa final'!$R$77),"")</f>
        <v/>
      </c>
      <c r="O30" s="83" t="str">
        <f>IF(AND('Mapa final'!$AB$78="Muy Alta",'Mapa final'!$AD$78="Menor"),CONCATENATE("R24C",'Mapa final'!$R$78),"")</f>
        <v/>
      </c>
      <c r="P30" s="82" t="str">
        <f>IF(AND('Mapa final'!$AB$76="Muy Alta",'Mapa final'!$AD$76="Moderado"),CONCATENATE("R24C",'Mapa final'!$R$76),"")</f>
        <v/>
      </c>
      <c r="Q30" s="141" t="str">
        <f>IF(AND('Mapa final'!$AB$77="Muy Alta",'Mapa final'!$AD$77="Moderado"),CONCATENATE("R24C",'Mapa final'!$R$77),"")</f>
        <v/>
      </c>
      <c r="R30" s="83" t="str">
        <f>IF(AND('Mapa final'!$AB$78="Muy Alta",'Mapa final'!$AD$78="Moderado"),CONCATENATE("R24C",'Mapa final'!$R$78),"")</f>
        <v/>
      </c>
      <c r="S30" s="82" t="str">
        <f>IF(AND('Mapa final'!$AB$76="Muy Alta",'Mapa final'!$AD$76="Mayor"),CONCATENATE("R24C",'Mapa final'!$R$76),"")</f>
        <v/>
      </c>
      <c r="T30" s="141" t="str">
        <f>IF(AND('Mapa final'!$AB$77="Muy Alta",'Mapa final'!$AD$77="Mayor"),CONCATENATE("R24C",'Mapa final'!$R$77),"")</f>
        <v/>
      </c>
      <c r="U30" s="83" t="str">
        <f>IF(AND('Mapa final'!$AB$78="Muy Alta",'Mapa final'!$AD$78="Mayor"),CONCATENATE("R24C",'Mapa final'!$R$78),"")</f>
        <v/>
      </c>
      <c r="V30" s="114" t="str">
        <f>IF(AND('Mapa final'!$AB$76="Muy Alta",'Mapa final'!$AD$76="Catastrófico"),CONCATENATE("R24C",'Mapa final'!$R$76),"")</f>
        <v/>
      </c>
      <c r="W30" s="142" t="str">
        <f>IF(AND('Mapa final'!$AB$77="Muy Alta",'Mapa final'!$AD$77="Catastrófico"),CONCATENATE("R24C",'Mapa final'!$R$77),"")</f>
        <v/>
      </c>
      <c r="X30" s="115" t="str">
        <f>IF(AND('Mapa final'!$AB$78="Muy Alta",'Mapa final'!$AD$78="Catastrófico"),CONCATENATE("R24C",'Mapa final'!$R$78),"")</f>
        <v/>
      </c>
      <c r="Y30" s="38"/>
      <c r="Z30" s="294"/>
      <c r="AA30" s="295"/>
      <c r="AB30" s="295"/>
      <c r="AC30" s="295"/>
      <c r="AD30" s="295"/>
      <c r="AE30" s="296"/>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row>
    <row r="31" spans="1:61" ht="15" customHeight="1" x14ac:dyDescent="0.3">
      <c r="A31" s="38"/>
      <c r="B31" s="306"/>
      <c r="C31" s="307"/>
      <c r="D31" s="308"/>
      <c r="E31" s="290"/>
      <c r="F31" s="289"/>
      <c r="G31" s="289"/>
      <c r="H31" s="289"/>
      <c r="I31" s="289"/>
      <c r="J31" s="82" t="str">
        <f>IF(AND('Mapa final'!$AB$79="Muy Alta",'Mapa final'!$AD$79="Leve"),CONCATENATE("R25C",'Mapa final'!$R$79),"")</f>
        <v/>
      </c>
      <c r="K31" s="141" t="str">
        <f>IF(AND('Mapa final'!$AB$80="Muy Alta",'Mapa final'!$AD$80="Leve"),CONCATENATE("R25C",'Mapa final'!$R$80),"")</f>
        <v/>
      </c>
      <c r="L31" s="83" t="str">
        <f>IF(AND('Mapa final'!$AB$81="Muy Alta",'Mapa final'!$AD$81="Leve"),CONCATENATE("R25C",'Mapa final'!$R$81),"")</f>
        <v/>
      </c>
      <c r="M31" s="82" t="str">
        <f>IF(AND('Mapa final'!$AB$79="Muy Alta",'Mapa final'!$AD$79="Menor"),CONCATENATE("R25C",'Mapa final'!$R$79),"")</f>
        <v/>
      </c>
      <c r="N31" s="141" t="str">
        <f>IF(AND('Mapa final'!$AB$80="Muy Alta",'Mapa final'!$AD$80="Menor"),CONCATENATE("R25C",'Mapa final'!$R$80),"")</f>
        <v/>
      </c>
      <c r="O31" s="83" t="str">
        <f>IF(AND('Mapa final'!$AB$81="Muy Alta",'Mapa final'!$AD$81="Menor"),CONCATENATE("R25C",'Mapa final'!$R$81),"")</f>
        <v/>
      </c>
      <c r="P31" s="82" t="str">
        <f>IF(AND('Mapa final'!$AB$79="Muy Alta",'Mapa final'!$AD$79="Moderado"),CONCATENATE("R25C",'Mapa final'!$R$79),"")</f>
        <v/>
      </c>
      <c r="Q31" s="141" t="str">
        <f>IF(AND('Mapa final'!$AB$80="Muy Alta",'Mapa final'!$AD$80="Moderado"),CONCATENATE("R25C",'Mapa final'!$R$80),"")</f>
        <v/>
      </c>
      <c r="R31" s="83" t="str">
        <f>IF(AND('Mapa final'!$AB$81="Muy Alta",'Mapa final'!$AD$81="Moderado"),CONCATENATE("R25C",'Mapa final'!$R$81),"")</f>
        <v/>
      </c>
      <c r="S31" s="82" t="str">
        <f>IF(AND('Mapa final'!$AB$79="Muy Alta",'Mapa final'!$AD$79="Mayor"),CONCATENATE("R25C",'Mapa final'!$R$79),"")</f>
        <v/>
      </c>
      <c r="T31" s="141" t="str">
        <f>IF(AND('Mapa final'!$AB$80="Muy Alta",'Mapa final'!$AD$80="Mayor"),CONCATENATE("R25C",'Mapa final'!$R$80),"")</f>
        <v/>
      </c>
      <c r="U31" s="83" t="str">
        <f>IF(AND('Mapa final'!$AB$81="Muy Alta",'Mapa final'!$AD$81="Mayor"),CONCATENATE("R25C",'Mapa final'!$R$81),"")</f>
        <v/>
      </c>
      <c r="V31" s="114" t="str">
        <f>IF(AND('Mapa final'!$AB$79="Muy Alta",'Mapa final'!$AD$79="Catastrófico"),CONCATENATE("R25C",'Mapa final'!$R$79),"")</f>
        <v/>
      </c>
      <c r="W31" s="142" t="str">
        <f>IF(AND('Mapa final'!$AB$80="Muy Alta",'Mapa final'!$AD$80="Catastrófico"),CONCATENATE("R25C",'Mapa final'!$R$80),"")</f>
        <v/>
      </c>
      <c r="X31" s="115" t="str">
        <f>IF(AND('Mapa final'!$AB$81="Muy Alta",'Mapa final'!$AD$81="Catastrófico"),CONCATENATE("R25C",'Mapa final'!$R$81),"")</f>
        <v/>
      </c>
      <c r="Y31" s="38"/>
      <c r="Z31" s="294"/>
      <c r="AA31" s="295"/>
      <c r="AB31" s="295"/>
      <c r="AC31" s="295"/>
      <c r="AD31" s="295"/>
      <c r="AE31" s="296"/>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row>
    <row r="32" spans="1:61" ht="15" customHeight="1" x14ac:dyDescent="0.3">
      <c r="A32" s="38"/>
      <c r="B32" s="306"/>
      <c r="C32" s="307"/>
      <c r="D32" s="308"/>
      <c r="E32" s="290"/>
      <c r="F32" s="289"/>
      <c r="G32" s="289"/>
      <c r="H32" s="289"/>
      <c r="I32" s="289"/>
      <c r="J32" s="82" t="str">
        <f>IF(AND('Mapa final'!$AB$82="Muy Alta",'Mapa final'!$AD$82="Leve"),CONCATENATE("R26C",'Mapa final'!$R$82),"")</f>
        <v/>
      </c>
      <c r="K32" s="141" t="str">
        <f>IF(AND('Mapa final'!$AB$83="Muy Alta",'Mapa final'!$AD$83="Leve"),CONCATENATE("R26C",'Mapa final'!$R$83),"")</f>
        <v/>
      </c>
      <c r="L32" s="83" t="str">
        <f>IF(AND('Mapa final'!$AB$84="Muy Alta",'Mapa final'!$AD$84="Leve"),CONCATENATE("R26C",'Mapa final'!$R$84),"")</f>
        <v/>
      </c>
      <c r="M32" s="82" t="str">
        <f>IF(AND('Mapa final'!$AB$82="Muy Alta",'Mapa final'!$AD$82="Menor"),CONCATENATE("R26C",'Mapa final'!$R$82),"")</f>
        <v/>
      </c>
      <c r="N32" s="141" t="str">
        <f>IF(AND('Mapa final'!$AB$83="Muy Alta",'Mapa final'!$AD$83="Menor"),CONCATENATE("R26C",'Mapa final'!$R$83),"")</f>
        <v/>
      </c>
      <c r="O32" s="83" t="str">
        <f>IF(AND('Mapa final'!$AB$84="Muy Alta",'Mapa final'!$AD$84="Menor"),CONCATENATE("R26C",'Mapa final'!$R$84),"")</f>
        <v/>
      </c>
      <c r="P32" s="82" t="str">
        <f>IF(AND('Mapa final'!$AB$82="Muy Alta",'Mapa final'!$AD$82="Moderado"),CONCATENATE("R26C",'Mapa final'!$R$82),"")</f>
        <v/>
      </c>
      <c r="Q32" s="141" t="str">
        <f>IF(AND('Mapa final'!$AB$83="Muy Alta",'Mapa final'!$AD$83="Moderado"),CONCATENATE("R26C",'Mapa final'!$R$83),"")</f>
        <v/>
      </c>
      <c r="R32" s="83" t="str">
        <f>IF(AND('Mapa final'!$AB$84="Muy Alta",'Mapa final'!$AD$84="Moderado"),CONCATENATE("R26C",'Mapa final'!$R$84),"")</f>
        <v/>
      </c>
      <c r="S32" s="82" t="str">
        <f>IF(AND('Mapa final'!$AB$82="Muy Alta",'Mapa final'!$AD$82="Mayor"),CONCATENATE("R26C",'Mapa final'!$R$82),"")</f>
        <v/>
      </c>
      <c r="T32" s="141" t="str">
        <f>IF(AND('Mapa final'!$AB$83="Muy Alta",'Mapa final'!$AD$83="Mayor"),CONCATENATE("R26C",'Mapa final'!$R$83),"")</f>
        <v/>
      </c>
      <c r="U32" s="83" t="str">
        <f>IF(AND('Mapa final'!$AB$84="Muy Alta",'Mapa final'!$AD$84="Mayor"),CONCATENATE("R26C",'Mapa final'!$R$84),"")</f>
        <v/>
      </c>
      <c r="V32" s="114" t="str">
        <f>IF(AND('Mapa final'!$AB$82="Muy Alta",'Mapa final'!$AD$82="Catastrófico"),CONCATENATE("R26C",'Mapa final'!$R$82),"")</f>
        <v/>
      </c>
      <c r="W32" s="142" t="str">
        <f>IF(AND('Mapa final'!$AB$83="Muy Alta",'Mapa final'!$AD$83="Catastrófico"),CONCATENATE("R26C",'Mapa final'!$R$83),"")</f>
        <v/>
      </c>
      <c r="X32" s="115" t="str">
        <f>IF(AND('Mapa final'!$AB$84="Muy Alta",'Mapa final'!$AD$84="Catastrófico"),CONCATENATE("R26C",'Mapa final'!$R$84),"")</f>
        <v/>
      </c>
      <c r="Y32" s="38"/>
      <c r="Z32" s="294"/>
      <c r="AA32" s="295"/>
      <c r="AB32" s="295"/>
      <c r="AC32" s="295"/>
      <c r="AD32" s="295"/>
      <c r="AE32" s="296"/>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row>
    <row r="33" spans="1:61" ht="15" customHeight="1" x14ac:dyDescent="0.3">
      <c r="A33" s="38"/>
      <c r="B33" s="306"/>
      <c r="C33" s="307"/>
      <c r="D33" s="308"/>
      <c r="E33" s="290"/>
      <c r="F33" s="289"/>
      <c r="G33" s="289"/>
      <c r="H33" s="289"/>
      <c r="I33" s="289"/>
      <c r="J33" s="82" t="str">
        <f>IF(AND('Mapa final'!$AB$85="Muy Alta",'Mapa final'!$AD$85="Leve"),CONCATENATE("R27C",'Mapa final'!$R$85),"")</f>
        <v/>
      </c>
      <c r="K33" s="141" t="str">
        <f>IF(AND('Mapa final'!$AB$86="Muy Alta",'Mapa final'!$AD$86="Leve"),CONCATENATE("R27C",'Mapa final'!$R$86),"")</f>
        <v/>
      </c>
      <c r="L33" s="83" t="str">
        <f>IF(AND('Mapa final'!$AB$87="Muy Alta",'Mapa final'!$AD$87="Leve"),CONCATENATE("R27C",'Mapa final'!$R$87),"")</f>
        <v/>
      </c>
      <c r="M33" s="82" t="str">
        <f>IF(AND('Mapa final'!$AB$85="Muy Alta",'Mapa final'!$AD$85="Menor"),CONCATENATE("R27C",'Mapa final'!$R$85),"")</f>
        <v/>
      </c>
      <c r="N33" s="141" t="str">
        <f>IF(AND('Mapa final'!$AB$86="Muy Alta",'Mapa final'!$AD$86="Menor"),CONCATENATE("R27C",'Mapa final'!$R$86),"")</f>
        <v/>
      </c>
      <c r="O33" s="83" t="str">
        <f>IF(AND('Mapa final'!$AB$87="Muy Alta",'Mapa final'!$AD$87="Menor"),CONCATENATE("R27C",'Mapa final'!$R$87),"")</f>
        <v/>
      </c>
      <c r="P33" s="82" t="str">
        <f>IF(AND('Mapa final'!$AB$85="Muy Alta",'Mapa final'!$AD$85="Moderado"),CONCATENATE("R27C",'Mapa final'!$R$85),"")</f>
        <v/>
      </c>
      <c r="Q33" s="141" t="str">
        <f>IF(AND('Mapa final'!$AB$86="Muy Alta",'Mapa final'!$AD$86="Moderado"),CONCATENATE("R27C",'Mapa final'!$R$86),"")</f>
        <v/>
      </c>
      <c r="R33" s="83" t="str">
        <f>IF(AND('Mapa final'!$AB$87="Muy Alta",'Mapa final'!$AD$87="Moderado"),CONCATENATE("R27C",'Mapa final'!$R$87),"")</f>
        <v/>
      </c>
      <c r="S33" s="82" t="str">
        <f>IF(AND('Mapa final'!$AB$85="Muy Alta",'Mapa final'!$AD$85="Mayor"),CONCATENATE("R27C",'Mapa final'!$R$85),"")</f>
        <v/>
      </c>
      <c r="T33" s="141" t="str">
        <f>IF(AND('Mapa final'!$AB$86="Muy Alta",'Mapa final'!$AD$86="Mayor"),CONCATENATE("R27C",'Mapa final'!$R$86),"")</f>
        <v/>
      </c>
      <c r="U33" s="83" t="str">
        <f>IF(AND('Mapa final'!$AB$87="Muy Alta",'Mapa final'!$AD$87="Mayor"),CONCATENATE("R27C",'Mapa final'!$R$87),"")</f>
        <v/>
      </c>
      <c r="V33" s="114" t="str">
        <f>IF(AND('Mapa final'!$AB$85="Muy Alta",'Mapa final'!$AD$85="Catastrófico"),CONCATENATE("R27C",'Mapa final'!$R$85),"")</f>
        <v/>
      </c>
      <c r="W33" s="142" t="str">
        <f>IF(AND('Mapa final'!$AB$86="Muy Alta",'Mapa final'!$AD$86="Catastrófico"),CONCATENATE("R27C",'Mapa final'!$R$86),"")</f>
        <v/>
      </c>
      <c r="X33" s="115" t="str">
        <f>IF(AND('Mapa final'!$AB$87="Muy Alta",'Mapa final'!$AD$87="Catastrófico"),CONCATENATE("R27C",'Mapa final'!$R$87),"")</f>
        <v/>
      </c>
      <c r="Y33" s="38"/>
      <c r="Z33" s="294"/>
      <c r="AA33" s="295"/>
      <c r="AB33" s="295"/>
      <c r="AC33" s="295"/>
      <c r="AD33" s="295"/>
      <c r="AE33" s="296"/>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row>
    <row r="34" spans="1:61" ht="15" customHeight="1" x14ac:dyDescent="0.3">
      <c r="A34" s="38"/>
      <c r="B34" s="306"/>
      <c r="C34" s="307"/>
      <c r="D34" s="308"/>
      <c r="E34" s="290"/>
      <c r="F34" s="289"/>
      <c r="G34" s="289"/>
      <c r="H34" s="289"/>
      <c r="I34" s="289"/>
      <c r="J34" s="82" t="str">
        <f>IF(AND('Mapa final'!$AB$88="Muy Alta",'Mapa final'!$AD$88="Leve"),CONCATENATE("R28C",'Mapa final'!$R$88),"")</f>
        <v/>
      </c>
      <c r="K34" s="141" t="str">
        <f>IF(AND('Mapa final'!$AB$89="Muy Alta",'Mapa final'!$AD$89="Leve"),CONCATENATE("R28C",'Mapa final'!$R$89),"")</f>
        <v/>
      </c>
      <c r="L34" s="83" t="str">
        <f>IF(AND('Mapa final'!$AB$90="Muy Alta",'Mapa final'!$AD$90="Leve"),CONCATENATE("R28C",'Mapa final'!$R$90),"")</f>
        <v/>
      </c>
      <c r="M34" s="82" t="str">
        <f>IF(AND('Mapa final'!$AB$88="Muy Alta",'Mapa final'!$AD$88="Menor"),CONCATENATE("R28C",'Mapa final'!$R$88),"")</f>
        <v/>
      </c>
      <c r="N34" s="141" t="str">
        <f>IF(AND('Mapa final'!$AB$89="Muy Alta",'Mapa final'!$AD$89="Menor"),CONCATENATE("R28C",'Mapa final'!$R$89),"")</f>
        <v/>
      </c>
      <c r="O34" s="83" t="str">
        <f>IF(AND('Mapa final'!$AB$90="Muy Alta",'Mapa final'!$AD$90="Menor"),CONCATENATE("R28C",'Mapa final'!$R$90),"")</f>
        <v/>
      </c>
      <c r="P34" s="82" t="str">
        <f>IF(AND('Mapa final'!$AB$88="Muy Alta",'Mapa final'!$AD$88="Moderado"),CONCATENATE("R28C",'Mapa final'!$R$88),"")</f>
        <v/>
      </c>
      <c r="Q34" s="141" t="str">
        <f>IF(AND('Mapa final'!$AB$89="Muy Alta",'Mapa final'!$AD$89="Moderado"),CONCATENATE("R28C",'Mapa final'!$R$89),"")</f>
        <v/>
      </c>
      <c r="R34" s="83" t="str">
        <f>IF(AND('Mapa final'!$AB$90="Muy Alta",'Mapa final'!$AD$90="Moderado"),CONCATENATE("R28C",'Mapa final'!$R$90),"")</f>
        <v/>
      </c>
      <c r="S34" s="82" t="str">
        <f>IF(AND('Mapa final'!$AB$88="Muy Alta",'Mapa final'!$AD$88="Mayor"),CONCATENATE("R28C",'Mapa final'!$R$88),"")</f>
        <v/>
      </c>
      <c r="T34" s="141" t="str">
        <f>IF(AND('Mapa final'!$AB$89="Muy Alta",'Mapa final'!$AD$89="Mayor"),CONCATENATE("R28C",'Mapa final'!$R$89),"")</f>
        <v/>
      </c>
      <c r="U34" s="83" t="str">
        <f>IF(AND('Mapa final'!$AB$90="Muy Alta",'Mapa final'!$AD$90="Mayor"),CONCATENATE("R28C",'Mapa final'!$R$90),"")</f>
        <v/>
      </c>
      <c r="V34" s="114" t="str">
        <f>IF(AND('Mapa final'!$AB$88="Muy Alta",'Mapa final'!$AD$88="Catastrófico"),CONCATENATE("R28C",'Mapa final'!$R$88),"")</f>
        <v/>
      </c>
      <c r="W34" s="142" t="str">
        <f>IF(AND('Mapa final'!$AB$89="Muy Alta",'Mapa final'!$AD$89="Catastrófico"),CONCATENATE("R28C",'Mapa final'!$R$89),"")</f>
        <v/>
      </c>
      <c r="X34" s="115" t="str">
        <f>IF(AND('Mapa final'!$AB$90="Muy Alta",'Mapa final'!$AD$90="Catastrófico"),CONCATENATE("R28C",'Mapa final'!$R$90),"")</f>
        <v/>
      </c>
      <c r="Y34" s="38"/>
      <c r="Z34" s="294"/>
      <c r="AA34" s="295"/>
      <c r="AB34" s="295"/>
      <c r="AC34" s="295"/>
      <c r="AD34" s="295"/>
      <c r="AE34" s="296"/>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row>
    <row r="35" spans="1:61" ht="15" customHeight="1" x14ac:dyDescent="0.3">
      <c r="A35" s="38"/>
      <c r="B35" s="306"/>
      <c r="C35" s="307"/>
      <c r="D35" s="308"/>
      <c r="E35" s="290"/>
      <c r="F35" s="289"/>
      <c r="G35" s="289"/>
      <c r="H35" s="289"/>
      <c r="I35" s="289"/>
      <c r="J35" s="82" t="str">
        <f>IF(AND('Mapa final'!$AB$91="Muy Alta",'Mapa final'!$AD$91="Leve"),CONCATENATE("R29C",'Mapa final'!$R$91),"")</f>
        <v/>
      </c>
      <c r="K35" s="141" t="str">
        <f>IF(AND('Mapa final'!$AB$92="Muy Alta",'Mapa final'!$AD$92="Leve"),CONCATENATE("R29C",'Mapa final'!$R$92),"")</f>
        <v/>
      </c>
      <c r="L35" s="83" t="str">
        <f>IF(AND('Mapa final'!$AB$93="Muy Alta",'Mapa final'!$AD$93="Leve"),CONCATENATE("R29C",'Mapa final'!$R$93),"")</f>
        <v/>
      </c>
      <c r="M35" s="82" t="str">
        <f>IF(AND('Mapa final'!$AB$91="Muy Alta",'Mapa final'!$AD$91="Menor"),CONCATENATE("R29C",'Mapa final'!$R$91),"")</f>
        <v/>
      </c>
      <c r="N35" s="141" t="str">
        <f>IF(AND('Mapa final'!$AB$92="Muy Alta",'Mapa final'!$AD$92="Menor"),CONCATENATE("R29C",'Mapa final'!$R$92),"")</f>
        <v/>
      </c>
      <c r="O35" s="83" t="str">
        <f>IF(AND('Mapa final'!$AB$93="Muy Alta",'Mapa final'!$AD$93="Menor"),CONCATENATE("R29C",'Mapa final'!$R$93),"")</f>
        <v/>
      </c>
      <c r="P35" s="82" t="str">
        <f>IF(AND('Mapa final'!$AB$91="Muy Alta",'Mapa final'!$AD$91="Moderado"),CONCATENATE("R29C",'Mapa final'!$R$91),"")</f>
        <v/>
      </c>
      <c r="Q35" s="141" t="str">
        <f>IF(AND('Mapa final'!$AB$92="Muy Alta",'Mapa final'!$AD$92="Moderado"),CONCATENATE("R29C",'Mapa final'!$R$92),"")</f>
        <v/>
      </c>
      <c r="R35" s="83" t="str">
        <f>IF(AND('Mapa final'!$AB$93="Muy Alta",'Mapa final'!$AD$93="Moderado"),CONCATENATE("R29C",'Mapa final'!$R$93),"")</f>
        <v/>
      </c>
      <c r="S35" s="82" t="str">
        <f>IF(AND('Mapa final'!$AB$91="Muy Alta",'Mapa final'!$AD$91="Mayor"),CONCATENATE("R29C",'Mapa final'!$R$91),"")</f>
        <v/>
      </c>
      <c r="T35" s="141" t="str">
        <f>IF(AND('Mapa final'!$AB$92="Muy Alta",'Mapa final'!$AD$92="Mayor"),CONCATENATE("R29C",'Mapa final'!$R$92),"")</f>
        <v/>
      </c>
      <c r="U35" s="83" t="str">
        <f>IF(AND('Mapa final'!$AB$93="Muy Alta",'Mapa final'!$AD$93="Mayor"),CONCATENATE("R29C",'Mapa final'!$R$93),"")</f>
        <v/>
      </c>
      <c r="V35" s="114" t="str">
        <f>IF(AND('Mapa final'!$AB$91="Muy Alta",'Mapa final'!$AD$91="Catastrófico"),CONCATENATE("R29C",'Mapa final'!$R$91),"")</f>
        <v/>
      </c>
      <c r="W35" s="142" t="str">
        <f>IF(AND('Mapa final'!$AB$92="Muy Alta",'Mapa final'!$AD$92="Catastrófico"),CONCATENATE("R29C",'Mapa final'!$R$92),"")</f>
        <v/>
      </c>
      <c r="X35" s="115" t="str">
        <f>IF(AND('Mapa final'!$AB$93="Muy Alta",'Mapa final'!$AD$93="Catastrófico"),CONCATENATE("R29C",'Mapa final'!$R$93),"")</f>
        <v/>
      </c>
      <c r="Y35" s="38"/>
      <c r="Z35" s="294"/>
      <c r="AA35" s="295"/>
      <c r="AB35" s="295"/>
      <c r="AC35" s="295"/>
      <c r="AD35" s="295"/>
      <c r="AE35" s="296"/>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row>
    <row r="36" spans="1:61" ht="15" customHeight="1" x14ac:dyDescent="0.3">
      <c r="A36" s="38"/>
      <c r="B36" s="306"/>
      <c r="C36" s="307"/>
      <c r="D36" s="308"/>
      <c r="E36" s="290"/>
      <c r="F36" s="289"/>
      <c r="G36" s="289"/>
      <c r="H36" s="289"/>
      <c r="I36" s="289"/>
      <c r="J36" s="82" t="str">
        <f>IF(AND('Mapa final'!$AB$94="Muy Alta",'Mapa final'!$AD$94="Leve"),CONCATENATE("R30C",'Mapa final'!$R$94),"")</f>
        <v/>
      </c>
      <c r="K36" s="141" t="str">
        <f>IF(AND('Mapa final'!$AB$95="Muy Alta",'Mapa final'!$AD$95="Leve"),CONCATENATE("R30C",'Mapa final'!$R$95),"")</f>
        <v/>
      </c>
      <c r="L36" s="83" t="str">
        <f>IF(AND('Mapa final'!$AB$96="Muy Alta",'Mapa final'!$AD$96="Leve"),CONCATENATE("R30C",'Mapa final'!$R$96),"")</f>
        <v/>
      </c>
      <c r="M36" s="82" t="str">
        <f>IF(AND('Mapa final'!$AB$94="Muy Alta",'Mapa final'!$AD$94="Menor"),CONCATENATE("R30C",'Mapa final'!$R$94),"")</f>
        <v/>
      </c>
      <c r="N36" s="141" t="str">
        <f>IF(AND('Mapa final'!$AB$95="Muy Alta",'Mapa final'!$AD$95="Menor"),CONCATENATE("R30C",'Mapa final'!$R$95),"")</f>
        <v/>
      </c>
      <c r="O36" s="83" t="str">
        <f>IF(AND('Mapa final'!$AB$96="Muy Alta",'Mapa final'!$AD$96="Menor"),CONCATENATE("R30C",'Mapa final'!$R$96),"")</f>
        <v/>
      </c>
      <c r="P36" s="82" t="str">
        <f>IF(AND('Mapa final'!$AB$94="Muy Alta",'Mapa final'!$AD$94="Moderado"),CONCATENATE("R30C",'Mapa final'!$R$94),"")</f>
        <v/>
      </c>
      <c r="Q36" s="141" t="str">
        <f>IF(AND('Mapa final'!$AB$95="Muy Alta",'Mapa final'!$AD$95="Moderado"),CONCATENATE("R30C",'Mapa final'!$R$95),"")</f>
        <v/>
      </c>
      <c r="R36" s="83" t="str">
        <f>IF(AND('Mapa final'!$AB$96="Muy Alta",'Mapa final'!$AD$96="Moderado"),CONCATENATE("R30C",'Mapa final'!$R$96),"")</f>
        <v/>
      </c>
      <c r="S36" s="82" t="str">
        <f>IF(AND('Mapa final'!$AB$94="Muy Alta",'Mapa final'!$AD$94="Mayor"),CONCATENATE("R30C",'Mapa final'!$R$94),"")</f>
        <v/>
      </c>
      <c r="T36" s="141" t="str">
        <f>IF(AND('Mapa final'!$AB$95="Muy Alta",'Mapa final'!$AD$95="Mayor"),CONCATENATE("R30C",'Mapa final'!$R$95),"")</f>
        <v/>
      </c>
      <c r="U36" s="83" t="str">
        <f>IF(AND('Mapa final'!$AB$96="Muy Alta",'Mapa final'!$AD$96="Mayor"),CONCATENATE("R30C",'Mapa final'!$R$96),"")</f>
        <v/>
      </c>
      <c r="V36" s="114" t="str">
        <f>IF(AND('Mapa final'!$AB$94="Muy Alta",'Mapa final'!$AD$94="Catastrófico"),CONCATENATE("R30C",'Mapa final'!$R$94),"")</f>
        <v/>
      </c>
      <c r="W36" s="142" t="str">
        <f>IF(AND('Mapa final'!$AB$95="Muy Alta",'Mapa final'!$AD$95="Catastrófico"),CONCATENATE("R30C",'Mapa final'!$R$95),"")</f>
        <v/>
      </c>
      <c r="X36" s="115" t="str">
        <f>IF(AND('Mapa final'!$AB$96="Muy Alta",'Mapa final'!$AD$96="Catastrófico"),CONCATENATE("R30C",'Mapa final'!$R$96),"")</f>
        <v/>
      </c>
      <c r="Y36" s="38"/>
      <c r="Z36" s="294"/>
      <c r="AA36" s="295"/>
      <c r="AB36" s="295"/>
      <c r="AC36" s="295"/>
      <c r="AD36" s="295"/>
      <c r="AE36" s="296"/>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row>
    <row r="37" spans="1:61" ht="15" customHeight="1" x14ac:dyDescent="0.3">
      <c r="A37" s="38"/>
      <c r="B37" s="306"/>
      <c r="C37" s="307"/>
      <c r="D37" s="308"/>
      <c r="E37" s="290"/>
      <c r="F37" s="289"/>
      <c r="G37" s="289"/>
      <c r="H37" s="289"/>
      <c r="I37" s="289"/>
      <c r="J37" s="82" t="str">
        <f>IF(AND('Mapa final'!$AB$97="Muy Alta",'Mapa final'!$AD$97="Leve"),CONCATENATE("R31C",'Mapa final'!$R$97),"")</f>
        <v/>
      </c>
      <c r="K37" s="141" t="str">
        <f>IF(AND('Mapa final'!$AB$98="Muy Alta",'Mapa final'!$AD$98="Leve"),CONCATENATE("R31C",'Mapa final'!$R$98),"")</f>
        <v/>
      </c>
      <c r="L37" s="83" t="str">
        <f>IF(AND('Mapa final'!$AB$99="Muy Alta",'Mapa final'!$AD$99="Leve"),CONCATENATE("R31C",'Mapa final'!$R$99),"")</f>
        <v/>
      </c>
      <c r="M37" s="82" t="str">
        <f>IF(AND('Mapa final'!$AB$97="Muy Alta",'Mapa final'!$AD$97="Menor"),CONCATENATE("R31C",'Mapa final'!$R$97),"")</f>
        <v/>
      </c>
      <c r="N37" s="141" t="str">
        <f>IF(AND('Mapa final'!$AB$98="Muy Alta",'Mapa final'!$AD$98="Menor"),CONCATENATE("R31C",'Mapa final'!$R$98),"")</f>
        <v/>
      </c>
      <c r="O37" s="83" t="str">
        <f>IF(AND('Mapa final'!$AB$99="Muy Alta",'Mapa final'!$AD$99="Menor"),CONCATENATE("R31C",'Mapa final'!$R$99),"")</f>
        <v/>
      </c>
      <c r="P37" s="82" t="str">
        <f>IF(AND('Mapa final'!$AB$97="Muy Alta",'Mapa final'!$AD$97="Moderado"),CONCATENATE("R31C",'Mapa final'!$R$97),"")</f>
        <v/>
      </c>
      <c r="Q37" s="141" t="str">
        <f>IF(AND('Mapa final'!$AB$98="Muy Alta",'Mapa final'!$AD$98="Moderado"),CONCATENATE("R31C",'Mapa final'!$R$98),"")</f>
        <v/>
      </c>
      <c r="R37" s="83" t="str">
        <f>IF(AND('Mapa final'!$AB$99="Muy Alta",'Mapa final'!$AD$99="Moderado"),CONCATENATE("R31C",'Mapa final'!$R$99),"")</f>
        <v/>
      </c>
      <c r="S37" s="82" t="str">
        <f>IF(AND('Mapa final'!$AB$97="Muy Alta",'Mapa final'!$AD$97="Mayor"),CONCATENATE("R31C",'Mapa final'!$R$97),"")</f>
        <v/>
      </c>
      <c r="T37" s="141" t="str">
        <f>IF(AND('Mapa final'!$AB$98="Muy Alta",'Mapa final'!$AD$98="Mayor"),CONCATENATE("R31C",'Mapa final'!$R$98),"")</f>
        <v/>
      </c>
      <c r="U37" s="83" t="str">
        <f>IF(AND('Mapa final'!$AB$99="Muy Alta",'Mapa final'!$AD$99="Mayor"),CONCATENATE("R31C",'Mapa final'!$R$99),"")</f>
        <v/>
      </c>
      <c r="V37" s="114" t="str">
        <f>IF(AND('Mapa final'!$AB$97="Muy Alta",'Mapa final'!$AD$97="Catastrófico"),CONCATENATE("R31C",'Mapa final'!$R$97),"")</f>
        <v/>
      </c>
      <c r="W37" s="142" t="str">
        <f>IF(AND('Mapa final'!$AB$98="Muy Alta",'Mapa final'!$AD$98="Catastrófico"),CONCATENATE("R31C",'Mapa final'!$R$98),"")</f>
        <v/>
      </c>
      <c r="X37" s="115" t="str">
        <f>IF(AND('Mapa final'!$AB$99="Muy Alta",'Mapa final'!$AD$99="Catastrófico"),CONCATENATE("R31C",'Mapa final'!$R$99),"")</f>
        <v/>
      </c>
      <c r="Y37" s="38"/>
      <c r="Z37" s="294"/>
      <c r="AA37" s="295"/>
      <c r="AB37" s="295"/>
      <c r="AC37" s="295"/>
      <c r="AD37" s="295"/>
      <c r="AE37" s="296"/>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row>
    <row r="38" spans="1:61" ht="15" customHeight="1" x14ac:dyDescent="0.3">
      <c r="A38" s="38"/>
      <c r="B38" s="306"/>
      <c r="C38" s="307"/>
      <c r="D38" s="308"/>
      <c r="E38" s="290"/>
      <c r="F38" s="289"/>
      <c r="G38" s="289"/>
      <c r="H38" s="289"/>
      <c r="I38" s="289"/>
      <c r="J38" s="82" t="str">
        <f>IF(AND('Mapa final'!$AB$100="Muy Alta",'Mapa final'!$AD$100="Leve"),CONCATENATE("R32C",'Mapa final'!$R$100),"")</f>
        <v/>
      </c>
      <c r="K38" s="141" t="str">
        <f>IF(AND('Mapa final'!$AB$101="Muy Alta",'Mapa final'!$AD$101="Leve"),CONCATENATE("R32C",'Mapa final'!$R$101),"")</f>
        <v/>
      </c>
      <c r="L38" s="83" t="str">
        <f>IF(AND('Mapa final'!$AB$102="Muy Alta",'Mapa final'!$AD$102="Leve"),CONCATENATE("R32C",'Mapa final'!$R$102),"")</f>
        <v/>
      </c>
      <c r="M38" s="82" t="str">
        <f>IF(AND('Mapa final'!$AB$100="Muy Alta",'Mapa final'!$AD$100="Menor"),CONCATENATE("R32C",'Mapa final'!$R$100),"")</f>
        <v/>
      </c>
      <c r="N38" s="141" t="str">
        <f>IF(AND('Mapa final'!$AB$101="Muy Alta",'Mapa final'!$AD$101="Menor"),CONCATENATE("R32C",'Mapa final'!$R$101),"")</f>
        <v/>
      </c>
      <c r="O38" s="83" t="str">
        <f>IF(AND('Mapa final'!$AB$102="Muy Alta",'Mapa final'!$AD$102="Menor"),CONCATENATE("R32C",'Mapa final'!$R$102),"")</f>
        <v/>
      </c>
      <c r="P38" s="82" t="str">
        <f>IF(AND('Mapa final'!$AB$100="Muy Alta",'Mapa final'!$AD$100="Moderado"),CONCATENATE("R32C",'Mapa final'!$R$100),"")</f>
        <v/>
      </c>
      <c r="Q38" s="141" t="str">
        <f>IF(AND('Mapa final'!$AB$101="Muy Alta",'Mapa final'!$AD$101="Moderado"),CONCATENATE("R32C",'Mapa final'!$R$101),"")</f>
        <v/>
      </c>
      <c r="R38" s="83" t="str">
        <f>IF(AND('Mapa final'!$AB$102="Muy Alta",'Mapa final'!$AD$102="Moderado"),CONCATENATE("R32C",'Mapa final'!$R$102),"")</f>
        <v/>
      </c>
      <c r="S38" s="82" t="str">
        <f>IF(AND('Mapa final'!$AB$100="Muy Alta",'Mapa final'!$AD$100="Mayor"),CONCATENATE("R32C",'Mapa final'!$R$100),"")</f>
        <v/>
      </c>
      <c r="T38" s="141" t="str">
        <f>IF(AND('Mapa final'!$AB$101="Muy Alta",'Mapa final'!$AD$101="Mayor"),CONCATENATE("R32C",'Mapa final'!$R$101),"")</f>
        <v/>
      </c>
      <c r="U38" s="83" t="str">
        <f>IF(AND('Mapa final'!$AB$102="Muy Alta",'Mapa final'!$AD$102="Mayor"),CONCATENATE("R32C",'Mapa final'!$R$102),"")</f>
        <v/>
      </c>
      <c r="V38" s="114" t="str">
        <f>IF(AND('Mapa final'!$AB$100="Muy Alta",'Mapa final'!$AD$100="Catastrófico"),CONCATENATE("R32C",'Mapa final'!$R$100),"")</f>
        <v/>
      </c>
      <c r="W38" s="142" t="str">
        <f>IF(AND('Mapa final'!$AB$101="Muy Alta",'Mapa final'!$AD$101="Catastrófico"),CONCATENATE("R32C",'Mapa final'!$R$101),"")</f>
        <v/>
      </c>
      <c r="X38" s="115" t="str">
        <f>IF(AND('Mapa final'!$AB$102="Muy Alta",'Mapa final'!$AD$102="Catastrófico"),CONCATENATE("R32C",'Mapa final'!$R$102),"")</f>
        <v/>
      </c>
      <c r="Y38" s="38"/>
      <c r="Z38" s="294"/>
      <c r="AA38" s="295"/>
      <c r="AB38" s="295"/>
      <c r="AC38" s="295"/>
      <c r="AD38" s="295"/>
      <c r="AE38" s="296"/>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row>
    <row r="39" spans="1:61" ht="15" customHeight="1" x14ac:dyDescent="0.3">
      <c r="A39" s="38"/>
      <c r="B39" s="306"/>
      <c r="C39" s="307"/>
      <c r="D39" s="308"/>
      <c r="E39" s="290"/>
      <c r="F39" s="289"/>
      <c r="G39" s="289"/>
      <c r="H39" s="289"/>
      <c r="I39" s="289"/>
      <c r="J39" s="82" t="str">
        <f>IF(AND('Mapa final'!$AB$103="Muy Alta",'Mapa final'!$AD$103="Leve"),CONCATENATE("R33C",'Mapa final'!$R$103),"")</f>
        <v/>
      </c>
      <c r="K39" s="141" t="str">
        <f>IF(AND('Mapa final'!$AB$104="Muy Alta",'Mapa final'!$AD$104="Leve"),CONCATENATE("R33C",'Mapa final'!$R$104),"")</f>
        <v/>
      </c>
      <c r="L39" s="83" t="str">
        <f>IF(AND('Mapa final'!$AB$105="Muy Alta",'Mapa final'!$AD$105="Leve"),CONCATENATE("R33C",'Mapa final'!$R$105),"")</f>
        <v/>
      </c>
      <c r="M39" s="82" t="str">
        <f>IF(AND('Mapa final'!$AB$103="Muy Alta",'Mapa final'!$AD$103="Menor"),CONCATENATE("R33C",'Mapa final'!$R$103),"")</f>
        <v/>
      </c>
      <c r="N39" s="141" t="str">
        <f>IF(AND('Mapa final'!$AB$104="Muy Alta",'Mapa final'!$AD$104="Menor"),CONCATENATE("R33C",'Mapa final'!$R$104),"")</f>
        <v/>
      </c>
      <c r="O39" s="83" t="str">
        <f>IF(AND('Mapa final'!$AB$105="Muy Alta",'Mapa final'!$AD$105="Menor"),CONCATENATE("R33C",'Mapa final'!$R$105),"")</f>
        <v/>
      </c>
      <c r="P39" s="82" t="str">
        <f>IF(AND('Mapa final'!$AB$103="Muy Alta",'Mapa final'!$AD$103="Moderado"),CONCATENATE("R33C",'Mapa final'!$R$103),"")</f>
        <v/>
      </c>
      <c r="Q39" s="141" t="str">
        <f>IF(AND('Mapa final'!$AB$104="Muy Alta",'Mapa final'!$AD$104="Moderado"),CONCATENATE("R33C",'Mapa final'!$R$104),"")</f>
        <v/>
      </c>
      <c r="R39" s="83" t="str">
        <f>IF(AND('Mapa final'!$AB$105="Muy Alta",'Mapa final'!$AD$105="Moderado"),CONCATENATE("R33C",'Mapa final'!$R$105),"")</f>
        <v/>
      </c>
      <c r="S39" s="82" t="str">
        <f>IF(AND('Mapa final'!$AB$103="Muy Alta",'Mapa final'!$AD$103="Mayor"),CONCATENATE("R33C",'Mapa final'!$R$103),"")</f>
        <v/>
      </c>
      <c r="T39" s="141" t="str">
        <f>IF(AND('Mapa final'!$AB$104="Muy Alta",'Mapa final'!$AD$104="Mayor"),CONCATENATE("R33C",'Mapa final'!$R$104),"")</f>
        <v/>
      </c>
      <c r="U39" s="83" t="str">
        <f>IF(AND('Mapa final'!$AB$105="Muy Alta",'Mapa final'!$AD$105="Mayor"),CONCATENATE("R33C",'Mapa final'!$R$105),"")</f>
        <v/>
      </c>
      <c r="V39" s="114" t="str">
        <f>IF(AND('Mapa final'!$AB$103="Muy Alta",'Mapa final'!$AD$103="Catastrófico"),CONCATENATE("R33C",'Mapa final'!$R$103),"")</f>
        <v/>
      </c>
      <c r="W39" s="142" t="str">
        <f>IF(AND('Mapa final'!$AB$104="Muy Alta",'Mapa final'!$AD$104="Catastrófico"),CONCATENATE("R33C",'Mapa final'!$R$104),"")</f>
        <v/>
      </c>
      <c r="X39" s="115" t="str">
        <f>IF(AND('Mapa final'!$AB$105="Muy Alta",'Mapa final'!$AD$105="Catastrófico"),CONCATENATE("R33C",'Mapa final'!$R$105),"")</f>
        <v/>
      </c>
      <c r="Y39" s="38"/>
      <c r="Z39" s="294"/>
      <c r="AA39" s="295"/>
      <c r="AB39" s="295"/>
      <c r="AC39" s="295"/>
      <c r="AD39" s="295"/>
      <c r="AE39" s="296"/>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row>
    <row r="40" spans="1:61" ht="15" customHeight="1" x14ac:dyDescent="0.3">
      <c r="A40" s="38"/>
      <c r="B40" s="306"/>
      <c r="C40" s="307"/>
      <c r="D40" s="308"/>
      <c r="E40" s="290"/>
      <c r="F40" s="289"/>
      <c r="G40" s="289"/>
      <c r="H40" s="289"/>
      <c r="I40" s="289"/>
      <c r="J40" s="82" t="str">
        <f>IF(AND('Mapa final'!$AB$106="Muy Alta",'Mapa final'!$AD$106="Leve"),CONCATENATE("R34C",'Mapa final'!$R$106),"")</f>
        <v/>
      </c>
      <c r="K40" s="141" t="str">
        <f>IF(AND('Mapa final'!$AB$107="Muy Alta",'Mapa final'!$AD$107="Leve"),CONCATENATE("R34C",'Mapa final'!$R$107),"")</f>
        <v/>
      </c>
      <c r="L40" s="83" t="str">
        <f>IF(AND('Mapa final'!$AB$108="Muy Alta",'Mapa final'!$AD$108="Leve"),CONCATENATE("R34C",'Mapa final'!$R$108),"")</f>
        <v/>
      </c>
      <c r="M40" s="82" t="str">
        <f>IF(AND('Mapa final'!$AB$106="Muy Alta",'Mapa final'!$AD$106="Menor"),CONCATENATE("R34C",'Mapa final'!$R$106),"")</f>
        <v/>
      </c>
      <c r="N40" s="141" t="str">
        <f>IF(AND('Mapa final'!$AB$107="Muy Alta",'Mapa final'!$AD$107="Menor"),CONCATENATE("R34C",'Mapa final'!$R$107),"")</f>
        <v/>
      </c>
      <c r="O40" s="83" t="str">
        <f>IF(AND('Mapa final'!$AB$108="Muy Alta",'Mapa final'!$AD$108="Menor"),CONCATENATE("R34C",'Mapa final'!$R$108),"")</f>
        <v/>
      </c>
      <c r="P40" s="82" t="str">
        <f>IF(AND('Mapa final'!$AB$106="Muy Alta",'Mapa final'!$AD$106="Moderado"),CONCATENATE("R34C",'Mapa final'!$R$106),"")</f>
        <v/>
      </c>
      <c r="Q40" s="141" t="str">
        <f>IF(AND('Mapa final'!$AB$107="Muy Alta",'Mapa final'!$AD$107="Moderado"),CONCATENATE("R34C",'Mapa final'!$R$107),"")</f>
        <v/>
      </c>
      <c r="R40" s="83" t="str">
        <f>IF(AND('Mapa final'!$AB$108="Muy Alta",'Mapa final'!$AD$108="Moderado"),CONCATENATE("R34C",'Mapa final'!$R$108),"")</f>
        <v/>
      </c>
      <c r="S40" s="82" t="str">
        <f>IF(AND('Mapa final'!$AB$106="Muy Alta",'Mapa final'!$AD$106="Mayor"),CONCATENATE("R34C",'Mapa final'!$R$106),"")</f>
        <v/>
      </c>
      <c r="T40" s="141" t="str">
        <f>IF(AND('Mapa final'!$AB$107="Muy Alta",'Mapa final'!$AD$107="Mayor"),CONCATENATE("R34C",'Mapa final'!$R$107),"")</f>
        <v/>
      </c>
      <c r="U40" s="83" t="str">
        <f>IF(AND('Mapa final'!$AB$108="Muy Alta",'Mapa final'!$AD$108="Mayor"),CONCATENATE("R34C",'Mapa final'!$R$108),"")</f>
        <v/>
      </c>
      <c r="V40" s="114" t="str">
        <f>IF(AND('Mapa final'!$AB$106="Muy Alta",'Mapa final'!$AD$106="Catastrófico"),CONCATENATE("R34C",'Mapa final'!$R$106),"")</f>
        <v/>
      </c>
      <c r="W40" s="142" t="str">
        <f>IF(AND('Mapa final'!$AB$107="Muy Alta",'Mapa final'!$AD$107="Catastrófico"),CONCATENATE("R34C",'Mapa final'!$R$107),"")</f>
        <v/>
      </c>
      <c r="X40" s="115" t="str">
        <f>IF(AND('Mapa final'!$AB$108="Muy Alta",'Mapa final'!$AD$108="Catastrófico"),CONCATENATE("R34C",'Mapa final'!$R$108),"")</f>
        <v/>
      </c>
      <c r="Y40" s="38"/>
      <c r="Z40" s="294"/>
      <c r="AA40" s="295"/>
      <c r="AB40" s="295"/>
      <c r="AC40" s="295"/>
      <c r="AD40" s="295"/>
      <c r="AE40" s="296"/>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8"/>
    </row>
    <row r="41" spans="1:61" ht="15" customHeight="1" x14ac:dyDescent="0.3">
      <c r="A41" s="38"/>
      <c r="B41" s="306"/>
      <c r="C41" s="307"/>
      <c r="D41" s="308"/>
      <c r="E41" s="290"/>
      <c r="F41" s="289"/>
      <c r="G41" s="289"/>
      <c r="H41" s="289"/>
      <c r="I41" s="289"/>
      <c r="J41" s="82" t="str">
        <f>IF(AND('Mapa final'!$AB$109="Muy Alta",'Mapa final'!$AD$109="Leve"),CONCATENATE("R35C",'Mapa final'!$R$109),"")</f>
        <v/>
      </c>
      <c r="K41" s="141" t="str">
        <f>IF(AND('Mapa final'!$AB$110="Muy Alta",'Mapa final'!$AD$110="Leve"),CONCATENATE("R35C",'Mapa final'!$R$110),"")</f>
        <v/>
      </c>
      <c r="L41" s="83" t="str">
        <f>IF(AND('Mapa final'!$AB$111="Muy Alta",'Mapa final'!$AD$111="Leve"),CONCATENATE("R35C",'Mapa final'!$R$111),"")</f>
        <v/>
      </c>
      <c r="M41" s="82" t="str">
        <f>IF(AND('Mapa final'!$AB$109="Muy Alta",'Mapa final'!$AD$109="Menor"),CONCATENATE("R35C",'Mapa final'!$R$109),"")</f>
        <v/>
      </c>
      <c r="N41" s="141" t="str">
        <f>IF(AND('Mapa final'!$AB$110="Muy Alta",'Mapa final'!$AD$110="Menor"),CONCATENATE("R35C",'Mapa final'!$R$110),"")</f>
        <v/>
      </c>
      <c r="O41" s="83" t="str">
        <f>IF(AND('Mapa final'!$AB$111="Muy Alta",'Mapa final'!$AD$111="Menor"),CONCATENATE("R35C",'Mapa final'!$R$111),"")</f>
        <v/>
      </c>
      <c r="P41" s="82" t="str">
        <f>IF(AND('Mapa final'!$AB$109="Muy Alta",'Mapa final'!$AD$109="Moderado"),CONCATENATE("R35C",'Mapa final'!$R$109),"")</f>
        <v/>
      </c>
      <c r="Q41" s="141" t="str">
        <f>IF(AND('Mapa final'!$AB$110="Muy Alta",'Mapa final'!$AD$110="Moderado"),CONCATENATE("R35C",'Mapa final'!$R$110),"")</f>
        <v/>
      </c>
      <c r="R41" s="83" t="str">
        <f>IF(AND('Mapa final'!$AB$111="Muy Alta",'Mapa final'!$AD$111="Moderado"),CONCATENATE("R35C",'Mapa final'!$R$111),"")</f>
        <v/>
      </c>
      <c r="S41" s="82" t="str">
        <f>IF(AND('Mapa final'!$AB$109="Muy Alta",'Mapa final'!$AD$109="Mayor"),CONCATENATE("R35C",'Mapa final'!$R$109),"")</f>
        <v/>
      </c>
      <c r="T41" s="141" t="str">
        <f>IF(AND('Mapa final'!$AB$110="Muy Alta",'Mapa final'!$AD$110="Mayor"),CONCATENATE("R35C",'Mapa final'!$R$110),"")</f>
        <v/>
      </c>
      <c r="U41" s="83" t="str">
        <f>IF(AND('Mapa final'!$AB$111="Muy Alta",'Mapa final'!$AD$111="Mayor"),CONCATENATE("R35C",'Mapa final'!$R$111),"")</f>
        <v/>
      </c>
      <c r="V41" s="114" t="str">
        <f>IF(AND('Mapa final'!$AB$109="Muy Alta",'Mapa final'!$AD$109="Catastrófico"),CONCATENATE("R35C",'Mapa final'!$R$109),"")</f>
        <v/>
      </c>
      <c r="W41" s="142" t="str">
        <f>IF(AND('Mapa final'!$AB$110="Muy Alta",'Mapa final'!$AD$110="Catastrófico"),CONCATENATE("R35C",'Mapa final'!$R$110),"")</f>
        <v/>
      </c>
      <c r="X41" s="115" t="str">
        <f>IF(AND('Mapa final'!$AB$111="Muy Alta",'Mapa final'!$AD$111="Catastrófico"),CONCATENATE("R35C",'Mapa final'!$R$111),"")</f>
        <v/>
      </c>
      <c r="Y41" s="38"/>
      <c r="Z41" s="294"/>
      <c r="AA41" s="295"/>
      <c r="AB41" s="295"/>
      <c r="AC41" s="295"/>
      <c r="AD41" s="295"/>
      <c r="AE41" s="296"/>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row>
    <row r="42" spans="1:61" ht="15" customHeight="1" x14ac:dyDescent="0.3">
      <c r="A42" s="38"/>
      <c r="B42" s="306"/>
      <c r="C42" s="307"/>
      <c r="D42" s="308"/>
      <c r="E42" s="290"/>
      <c r="F42" s="289"/>
      <c r="G42" s="289"/>
      <c r="H42" s="289"/>
      <c r="I42" s="289"/>
      <c r="J42" s="82" t="str">
        <f>IF(AND('Mapa final'!$AB$112="Muy Alta",'Mapa final'!$AD$112="Leve"),CONCATENATE("R36C",'Mapa final'!$R$112),"")</f>
        <v/>
      </c>
      <c r="K42" s="141" t="str">
        <f>IF(AND('Mapa final'!$AB$113="Muy Alta",'Mapa final'!$AD$113="Leve"),CONCATENATE("R36C",'Mapa final'!$R$113),"")</f>
        <v/>
      </c>
      <c r="L42" s="83" t="str">
        <f>IF(AND('Mapa final'!$AB$114="Muy Alta",'Mapa final'!$AD$114="Leve"),CONCATENATE("R36C",'Mapa final'!$R$114),"")</f>
        <v/>
      </c>
      <c r="M42" s="82" t="str">
        <f>IF(AND('Mapa final'!$AB$112="Muy Alta",'Mapa final'!$AD$112="Menor"),CONCATENATE("R36C",'Mapa final'!$R$112),"")</f>
        <v/>
      </c>
      <c r="N42" s="141" t="str">
        <f>IF(AND('Mapa final'!$AB$113="Muy Alta",'Mapa final'!$AD$113="Menor"),CONCATENATE("R36C",'Mapa final'!$R$113),"")</f>
        <v/>
      </c>
      <c r="O42" s="83" t="str">
        <f>IF(AND('Mapa final'!$AB$114="Muy Alta",'Mapa final'!$AD$114="Menor"),CONCATENATE("R36C",'Mapa final'!$R$114),"")</f>
        <v/>
      </c>
      <c r="P42" s="82" t="str">
        <f>IF(AND('Mapa final'!$AB$112="Muy Alta",'Mapa final'!$AD$112="Moderado"),CONCATENATE("R36C",'Mapa final'!$R$112),"")</f>
        <v/>
      </c>
      <c r="Q42" s="141" t="str">
        <f>IF(AND('Mapa final'!$AB$113="Muy Alta",'Mapa final'!$AD$113="Moderado"),CONCATENATE("R36C",'Mapa final'!$R$113),"")</f>
        <v/>
      </c>
      <c r="R42" s="83" t="str">
        <f>IF(AND('Mapa final'!$AB$114="Muy Alta",'Mapa final'!$AD$114="Moderado"),CONCATENATE("R36C",'Mapa final'!$R$114),"")</f>
        <v/>
      </c>
      <c r="S42" s="82" t="str">
        <f>IF(AND('Mapa final'!$AB$112="Muy Alta",'Mapa final'!$AD$112="Mayor"),CONCATENATE("R36C",'Mapa final'!$R$112),"")</f>
        <v/>
      </c>
      <c r="T42" s="141" t="str">
        <f>IF(AND('Mapa final'!$AB$113="Muy Alta",'Mapa final'!$AD$113="Mayor"),CONCATENATE("R36C",'Mapa final'!$R$113),"")</f>
        <v/>
      </c>
      <c r="U42" s="83" t="str">
        <f>IF(AND('Mapa final'!$AB$114="Muy Alta",'Mapa final'!$AD$114="Mayor"),CONCATENATE("R36C",'Mapa final'!$R$114),"")</f>
        <v/>
      </c>
      <c r="V42" s="114" t="str">
        <f>IF(AND('Mapa final'!$AB$112="Muy Alta",'Mapa final'!$AD$112="Catastrófico"),CONCATENATE("R36C",'Mapa final'!$R$112),"")</f>
        <v/>
      </c>
      <c r="W42" s="142" t="str">
        <f>IF(AND('Mapa final'!$AB$113="Muy Alta",'Mapa final'!$AD$113="Catastrófico"),CONCATENATE("R36C",'Mapa final'!$R$113),"")</f>
        <v/>
      </c>
      <c r="X42" s="115" t="str">
        <f>IF(AND('Mapa final'!$AB$114="Muy Alta",'Mapa final'!$AD$114="Catastrófico"),CONCATENATE("R36C",'Mapa final'!$R$114),"")</f>
        <v/>
      </c>
      <c r="Y42" s="38"/>
      <c r="Z42" s="294"/>
      <c r="AA42" s="295"/>
      <c r="AB42" s="295"/>
      <c r="AC42" s="295"/>
      <c r="AD42" s="295"/>
      <c r="AE42" s="296"/>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row>
    <row r="43" spans="1:61" ht="15" customHeight="1" x14ac:dyDescent="0.3">
      <c r="A43" s="38"/>
      <c r="B43" s="306"/>
      <c r="C43" s="307"/>
      <c r="D43" s="308"/>
      <c r="E43" s="290"/>
      <c r="F43" s="289"/>
      <c r="G43" s="289"/>
      <c r="H43" s="289"/>
      <c r="I43" s="289"/>
      <c r="J43" s="82" t="str">
        <f>IF(AND('Mapa final'!$AB$115="Muy Alta",'Mapa final'!$AD$115="Leve"),CONCATENATE("R37C",'Mapa final'!$R$115),"")</f>
        <v/>
      </c>
      <c r="K43" s="141" t="str">
        <f>IF(AND('Mapa final'!$AB$116="Muy Alta",'Mapa final'!$AD$116="Leve"),CONCATENATE("R37C",'Mapa final'!$R$116),"")</f>
        <v/>
      </c>
      <c r="L43" s="83" t="str">
        <f>IF(AND('Mapa final'!$AB$117="Muy Alta",'Mapa final'!$AD$117="Leve"),CONCATENATE("R37C",'Mapa final'!$R$117),"")</f>
        <v/>
      </c>
      <c r="M43" s="82" t="str">
        <f>IF(AND('Mapa final'!$AB$115="Muy Alta",'Mapa final'!$AD$115="Menor"),CONCATENATE("R37C",'Mapa final'!$R$115),"")</f>
        <v/>
      </c>
      <c r="N43" s="141" t="str">
        <f>IF(AND('Mapa final'!$AB$116="Muy Alta",'Mapa final'!$AD$116="Menor"),CONCATENATE("R37C",'Mapa final'!$R$116),"")</f>
        <v/>
      </c>
      <c r="O43" s="83" t="str">
        <f>IF(AND('Mapa final'!$AB$117="Muy Alta",'Mapa final'!$AD$117="Menor"),CONCATENATE("R37C",'Mapa final'!$R$117),"")</f>
        <v/>
      </c>
      <c r="P43" s="82" t="str">
        <f>IF(AND('Mapa final'!$AB$115="Muy Alta",'Mapa final'!$AD$115="Moderado"),CONCATENATE("R37C",'Mapa final'!$R$115),"")</f>
        <v/>
      </c>
      <c r="Q43" s="141" t="str">
        <f>IF(AND('Mapa final'!$AB$116="Muy Alta",'Mapa final'!$AD$116="Moderado"),CONCATENATE("R37C",'Mapa final'!$R$116),"")</f>
        <v/>
      </c>
      <c r="R43" s="83" t="str">
        <f>IF(AND('Mapa final'!$AB$117="Muy Alta",'Mapa final'!$AD$117="Moderado"),CONCATENATE("R37C",'Mapa final'!$R$117),"")</f>
        <v/>
      </c>
      <c r="S43" s="82" t="str">
        <f>IF(AND('Mapa final'!$AB$115="Muy Alta",'Mapa final'!$AD$115="Mayor"),CONCATENATE("R37C",'Mapa final'!$R$115),"")</f>
        <v/>
      </c>
      <c r="T43" s="141" t="str">
        <f>IF(AND('Mapa final'!$AB$116="Muy Alta",'Mapa final'!$AD$116="Mayor"),CONCATENATE("R37C",'Mapa final'!$R$116),"")</f>
        <v/>
      </c>
      <c r="U43" s="83" t="str">
        <f>IF(AND('Mapa final'!$AB$117="Muy Alta",'Mapa final'!$AD$117="Mayor"),CONCATENATE("R37C",'Mapa final'!$R$117),"")</f>
        <v/>
      </c>
      <c r="V43" s="114" t="str">
        <f>IF(AND('Mapa final'!$AB$115="Muy Alta",'Mapa final'!$AD$115="Catastrófico"),CONCATENATE("R37C",'Mapa final'!$R$115),"")</f>
        <v/>
      </c>
      <c r="W43" s="142" t="str">
        <f>IF(AND('Mapa final'!$AB$116="Muy Alta",'Mapa final'!$AD$116="Catastrófico"),CONCATENATE("R37C",'Mapa final'!$R$116),"")</f>
        <v/>
      </c>
      <c r="X43" s="115" t="str">
        <f>IF(AND('Mapa final'!$AB$117="Muy Alta",'Mapa final'!$AD$117="Catastrófico"),CONCATENATE("R37C",'Mapa final'!$R$117),"")</f>
        <v/>
      </c>
      <c r="Y43" s="38"/>
      <c r="Z43" s="294"/>
      <c r="AA43" s="295"/>
      <c r="AB43" s="295"/>
      <c r="AC43" s="295"/>
      <c r="AD43" s="295"/>
      <c r="AE43" s="296"/>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row>
    <row r="44" spans="1:61" ht="15" customHeight="1" x14ac:dyDescent="0.3">
      <c r="A44" s="38"/>
      <c r="B44" s="306"/>
      <c r="C44" s="307"/>
      <c r="D44" s="308"/>
      <c r="E44" s="290"/>
      <c r="F44" s="289"/>
      <c r="G44" s="289"/>
      <c r="H44" s="289"/>
      <c r="I44" s="289"/>
      <c r="J44" s="82" t="str">
        <f>IF(AND('Mapa final'!$AB$118="Muy Alta",'Mapa final'!$AD$118="Leve"),CONCATENATE("R38C",'Mapa final'!$R$118),"")</f>
        <v/>
      </c>
      <c r="K44" s="141" t="str">
        <f>IF(AND('Mapa final'!$AB$119="Muy Alta",'Mapa final'!$AD$119="Leve"),CONCATENATE("R38C",'Mapa final'!$R$119),"")</f>
        <v/>
      </c>
      <c r="L44" s="83" t="str">
        <f>IF(AND('Mapa final'!$AB$120="Muy Alta",'Mapa final'!$AD$120="Leve"),CONCATENATE("R38C",'Mapa final'!$R$120),"")</f>
        <v/>
      </c>
      <c r="M44" s="82" t="str">
        <f>IF(AND('Mapa final'!$AB$118="Muy Alta",'Mapa final'!$AD$118="Menor"),CONCATENATE("R38C",'Mapa final'!$R$118),"")</f>
        <v/>
      </c>
      <c r="N44" s="141" t="str">
        <f>IF(AND('Mapa final'!$AB$119="Muy Alta",'Mapa final'!$AD$119="Menor"),CONCATENATE("R38C",'Mapa final'!$R$119),"")</f>
        <v/>
      </c>
      <c r="O44" s="83" t="str">
        <f>IF(AND('Mapa final'!$AB$120="Muy Alta",'Mapa final'!$AD$120="Menor"),CONCATENATE("R38C",'Mapa final'!$R$120),"")</f>
        <v/>
      </c>
      <c r="P44" s="82" t="str">
        <f>IF(AND('Mapa final'!$AB$118="Muy Alta",'Mapa final'!$AD$118="Moderado"),CONCATENATE("R38C",'Mapa final'!$R$118),"")</f>
        <v/>
      </c>
      <c r="Q44" s="141" t="str">
        <f>IF(AND('Mapa final'!$AB$119="Muy Alta",'Mapa final'!$AD$119="Moderado"),CONCATENATE("R38C",'Mapa final'!$R$119),"")</f>
        <v/>
      </c>
      <c r="R44" s="83" t="str">
        <f>IF(AND('Mapa final'!$AB$120="Muy Alta",'Mapa final'!$AD$120="Moderado"),CONCATENATE("R38C",'Mapa final'!$R$120),"")</f>
        <v/>
      </c>
      <c r="S44" s="82" t="str">
        <f>IF(AND('Mapa final'!$AB$118="Muy Alta",'Mapa final'!$AD$118="Mayor"),CONCATENATE("R38C",'Mapa final'!$R$118),"")</f>
        <v/>
      </c>
      <c r="T44" s="141" t="str">
        <f>IF(AND('Mapa final'!$AB$119="Muy Alta",'Mapa final'!$AD$119="Mayor"),CONCATENATE("R38C",'Mapa final'!$R$119),"")</f>
        <v/>
      </c>
      <c r="U44" s="83" t="str">
        <f>IF(AND('Mapa final'!$AB$120="Muy Alta",'Mapa final'!$AD$120="Mayor"),CONCATENATE("R38C",'Mapa final'!$R$120),"")</f>
        <v/>
      </c>
      <c r="V44" s="114" t="str">
        <f>IF(AND('Mapa final'!$AB$118="Muy Alta",'Mapa final'!$AD$118="Catastrófico"),CONCATENATE("R38C",'Mapa final'!$R$118),"")</f>
        <v/>
      </c>
      <c r="W44" s="142" t="str">
        <f>IF(AND('Mapa final'!$AB$119="Muy Alta",'Mapa final'!$AD$119="Catastrófico"),CONCATENATE("R38C",'Mapa final'!$R$119),"")</f>
        <v/>
      </c>
      <c r="X44" s="115" t="str">
        <f>IF(AND('Mapa final'!$AB$120="Muy Alta",'Mapa final'!$AD$120="Catastrófico"),CONCATENATE("R38C",'Mapa final'!$R$120),"")</f>
        <v/>
      </c>
      <c r="Y44" s="38"/>
      <c r="Z44" s="294"/>
      <c r="AA44" s="295"/>
      <c r="AB44" s="295"/>
      <c r="AC44" s="295"/>
      <c r="AD44" s="295"/>
      <c r="AE44" s="296"/>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row>
    <row r="45" spans="1:61" ht="15" customHeight="1" x14ac:dyDescent="0.3">
      <c r="A45" s="38"/>
      <c r="B45" s="306"/>
      <c r="C45" s="307"/>
      <c r="D45" s="308"/>
      <c r="E45" s="290"/>
      <c r="F45" s="289"/>
      <c r="G45" s="289"/>
      <c r="H45" s="289"/>
      <c r="I45" s="289"/>
      <c r="J45" s="82" t="str">
        <f>IF(AND('Mapa final'!$AB$121="Muy Alta",'Mapa final'!$AD$121="Leve"),CONCATENATE("R39C",'Mapa final'!$R$121),"")</f>
        <v/>
      </c>
      <c r="K45" s="141" t="str">
        <f>IF(AND('Mapa final'!$AB$122="Muy Alta",'Mapa final'!$AD$122="Leve"),CONCATENATE("R39C",'Mapa final'!$R$122),"")</f>
        <v/>
      </c>
      <c r="L45" s="83" t="str">
        <f>IF(AND('Mapa final'!$AB$123="Muy Alta",'Mapa final'!$AD$123="Leve"),CONCATENATE("R39C",'Mapa final'!$R$123),"")</f>
        <v/>
      </c>
      <c r="M45" s="82" t="str">
        <f>IF(AND('Mapa final'!$AB$121="Muy Alta",'Mapa final'!$AD$121="Menor"),CONCATENATE("R39C",'Mapa final'!$R$121),"")</f>
        <v/>
      </c>
      <c r="N45" s="141" t="str">
        <f>IF(AND('Mapa final'!$AB$122="Muy Alta",'Mapa final'!$AD$122="Menor"),CONCATENATE("R39C",'Mapa final'!$R$122),"")</f>
        <v/>
      </c>
      <c r="O45" s="83" t="str">
        <f>IF(AND('Mapa final'!$AB$123="Muy Alta",'Mapa final'!$AD$123="Menor"),CONCATENATE("R39C",'Mapa final'!$R$123),"")</f>
        <v/>
      </c>
      <c r="P45" s="82" t="str">
        <f>IF(AND('Mapa final'!$AB$121="Muy Alta",'Mapa final'!$AD$121="Moderado"),CONCATENATE("R39C",'Mapa final'!$R$121),"")</f>
        <v/>
      </c>
      <c r="Q45" s="141" t="str">
        <f>IF(AND('Mapa final'!$AB$122="Muy Alta",'Mapa final'!$AD$122="Moderado"),CONCATENATE("R39C",'Mapa final'!$R$122),"")</f>
        <v/>
      </c>
      <c r="R45" s="83" t="str">
        <f>IF(AND('Mapa final'!$AB$123="Muy Alta",'Mapa final'!$AD$123="Moderado"),CONCATENATE("R39C",'Mapa final'!$R$123),"")</f>
        <v/>
      </c>
      <c r="S45" s="82" t="str">
        <f>IF(AND('Mapa final'!$AB$121="Muy Alta",'Mapa final'!$AD$121="Mayor"),CONCATENATE("R39C",'Mapa final'!$R$121),"")</f>
        <v/>
      </c>
      <c r="T45" s="141" t="str">
        <f>IF(AND('Mapa final'!$AB$122="Muy Alta",'Mapa final'!$AD$122="Mayor"),CONCATENATE("R39C",'Mapa final'!$R$122),"")</f>
        <v/>
      </c>
      <c r="U45" s="83" t="str">
        <f>IF(AND('Mapa final'!$AB$123="Muy Alta",'Mapa final'!$AD$123="Mayor"),CONCATENATE("R39C",'Mapa final'!$R$123),"")</f>
        <v/>
      </c>
      <c r="V45" s="114" t="str">
        <f>IF(AND('Mapa final'!$AB$121="Muy Alta",'Mapa final'!$AD$121="Catastrófico"),CONCATENATE("R39C",'Mapa final'!$R$121),"")</f>
        <v/>
      </c>
      <c r="W45" s="142" t="str">
        <f>IF(AND('Mapa final'!$AB$122="Muy Alta",'Mapa final'!$AD$122="Catastrófico"),CONCATENATE("R39C",'Mapa final'!$R$122),"")</f>
        <v/>
      </c>
      <c r="X45" s="115" t="str">
        <f>IF(AND('Mapa final'!$AB$123="Muy Alta",'Mapa final'!$AD$123="Catastrófico"),CONCATENATE("R39C",'Mapa final'!$R$123),"")</f>
        <v/>
      </c>
      <c r="Y45" s="38"/>
      <c r="Z45" s="294"/>
      <c r="AA45" s="295"/>
      <c r="AB45" s="295"/>
      <c r="AC45" s="295"/>
      <c r="AD45" s="295"/>
      <c r="AE45" s="296"/>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row>
    <row r="46" spans="1:61" ht="15" customHeight="1" x14ac:dyDescent="0.3">
      <c r="A46" s="38"/>
      <c r="B46" s="306"/>
      <c r="C46" s="307"/>
      <c r="D46" s="308"/>
      <c r="E46" s="290"/>
      <c r="F46" s="289"/>
      <c r="G46" s="289"/>
      <c r="H46" s="289"/>
      <c r="I46" s="289"/>
      <c r="J46" s="82" t="str">
        <f>IF(AND('Mapa final'!$AB$124="Muy Alta",'Mapa final'!$AD$124="Leve"),CONCATENATE("R40C",'Mapa final'!$R$124),"")</f>
        <v/>
      </c>
      <c r="K46" s="141" t="str">
        <f>IF(AND('Mapa final'!$AB$125="Muy Alta",'Mapa final'!$AD$125="Leve"),CONCATENATE("R40C",'Mapa final'!$R$125),"")</f>
        <v/>
      </c>
      <c r="L46" s="83" t="str">
        <f>IF(AND('Mapa final'!$AB$126="Muy Alta",'Mapa final'!$AD$126="Leve"),CONCATENATE("R40C",'Mapa final'!$R$126),"")</f>
        <v/>
      </c>
      <c r="M46" s="82" t="str">
        <f>IF(AND('Mapa final'!$AB$124="Muy Alta",'Mapa final'!$AD$124="Menor"),CONCATENATE("R40C",'Mapa final'!$R$124),"")</f>
        <v/>
      </c>
      <c r="N46" s="141" t="str">
        <f>IF(AND('Mapa final'!$AB$125="Muy Alta",'Mapa final'!$AD$125="Menor"),CONCATENATE("R40C",'Mapa final'!$R$125),"")</f>
        <v/>
      </c>
      <c r="O46" s="83" t="str">
        <f>IF(AND('Mapa final'!$AB$126="Muy Alta",'Mapa final'!$AD$126="Menor"),CONCATENATE("R40C",'Mapa final'!$R$126),"")</f>
        <v/>
      </c>
      <c r="P46" s="82" t="str">
        <f>IF(AND('Mapa final'!$AB$124="Muy Alta",'Mapa final'!$AD$124="Moderado"),CONCATENATE("R40C",'Mapa final'!$R$124),"")</f>
        <v/>
      </c>
      <c r="Q46" s="141" t="str">
        <f>IF(AND('Mapa final'!$AB$125="Muy Alta",'Mapa final'!$AD$125="Moderado"),CONCATENATE("R40C",'Mapa final'!$R$125),"")</f>
        <v/>
      </c>
      <c r="R46" s="83" t="str">
        <f>IF(AND('Mapa final'!$AB$126="Muy Alta",'Mapa final'!$AD$126="Moderado"),CONCATENATE("R40C",'Mapa final'!$R$126),"")</f>
        <v/>
      </c>
      <c r="S46" s="82" t="str">
        <f>IF(AND('Mapa final'!$AB$124="Muy Alta",'Mapa final'!$AD$124="Mayor"),CONCATENATE("R40C",'Mapa final'!$R$124),"")</f>
        <v/>
      </c>
      <c r="T46" s="141" t="str">
        <f>IF(AND('Mapa final'!$AB$125="Muy Alta",'Mapa final'!$AD$125="Mayor"),CONCATENATE("R40C",'Mapa final'!$R$125),"")</f>
        <v/>
      </c>
      <c r="U46" s="83" t="str">
        <f>IF(AND('Mapa final'!$AB$126="Muy Alta",'Mapa final'!$AD$126="Mayor"),CONCATENATE("R40C",'Mapa final'!$R$126),"")</f>
        <v/>
      </c>
      <c r="V46" s="114" t="str">
        <f>IF(AND('Mapa final'!$AB$124="Muy Alta",'Mapa final'!$AD$124="Catastrófico"),CONCATENATE("R40C",'Mapa final'!$R$124),"")</f>
        <v/>
      </c>
      <c r="W46" s="142" t="str">
        <f>IF(AND('Mapa final'!$AB$125="Muy Alta",'Mapa final'!$AD$125="Catastrófico"),CONCATENATE("R40C",'Mapa final'!$R$125),"")</f>
        <v/>
      </c>
      <c r="X46" s="115" t="str">
        <f>IF(AND('Mapa final'!$AB$126="Muy Alta",'Mapa final'!$AD$126="Catastrófico"),CONCATENATE("R40C",'Mapa final'!$R$126),"")</f>
        <v/>
      </c>
      <c r="Y46" s="38"/>
      <c r="Z46" s="294"/>
      <c r="AA46" s="295"/>
      <c r="AB46" s="295"/>
      <c r="AC46" s="295"/>
      <c r="AD46" s="295"/>
      <c r="AE46" s="296"/>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row>
    <row r="47" spans="1:61" ht="15" customHeight="1" x14ac:dyDescent="0.3">
      <c r="A47" s="38"/>
      <c r="B47" s="306"/>
      <c r="C47" s="307"/>
      <c r="D47" s="308"/>
      <c r="E47" s="290"/>
      <c r="F47" s="289"/>
      <c r="G47" s="289"/>
      <c r="H47" s="289"/>
      <c r="I47" s="289"/>
      <c r="J47" s="82" t="str">
        <f>IF(AND('Mapa final'!$AB$130="Muy Alta",'Mapa final'!$AD$130="Leve"),CONCATENATE("R41C",'Mapa final'!$R$130),"")</f>
        <v/>
      </c>
      <c r="K47" s="141" t="str">
        <f>IF(AND('Mapa final'!$AB$131="Muy Alta",'Mapa final'!$AD$131="Leve"),CONCATENATE("R41C",'Mapa final'!$R$131),"")</f>
        <v/>
      </c>
      <c r="L47" s="83" t="str">
        <f>IF(AND('Mapa final'!$AB$132="Muy Alta",'Mapa final'!$AD$132="Leve"),CONCATENATE("R41C",'Mapa final'!$R$132),"")</f>
        <v/>
      </c>
      <c r="M47" s="82" t="str">
        <f>IF(AND('Mapa final'!$AB$130="Muy Alta",'Mapa final'!$AD$130="Menor"),CONCATENATE("R41C",'Mapa final'!$R$130),"")</f>
        <v/>
      </c>
      <c r="N47" s="141" t="str">
        <f>IF(AND('Mapa final'!$AB$131="Muy Alta",'Mapa final'!$AD$131="Menor"),CONCATENATE("R41C",'Mapa final'!$R$131),"")</f>
        <v/>
      </c>
      <c r="O47" s="83" t="str">
        <f>IF(AND('Mapa final'!$AB$132="Muy Alta",'Mapa final'!$AD$132="Menor"),CONCATENATE("R41C",'Mapa final'!$R$132),"")</f>
        <v/>
      </c>
      <c r="P47" s="82" t="str">
        <f>IF(AND('Mapa final'!$AB$130="Muy Alta",'Mapa final'!$AD$130="Moderado"),CONCATENATE("R41C",'Mapa final'!$R$130),"")</f>
        <v/>
      </c>
      <c r="Q47" s="141" t="str">
        <f>IF(AND('Mapa final'!$AB$131="Muy Alta",'Mapa final'!$AD$131="Moderado"),CONCATENATE("R41C",'Mapa final'!$R$131),"")</f>
        <v/>
      </c>
      <c r="R47" s="83" t="str">
        <f>IF(AND('Mapa final'!$AB$132="Muy Alta",'Mapa final'!$AD$132="Moderado"),CONCATENATE("R41C",'Mapa final'!$R$132),"")</f>
        <v/>
      </c>
      <c r="S47" s="82" t="str">
        <f>IF(AND('Mapa final'!$AB$130="Muy Alta",'Mapa final'!$AD$130="Mayor"),CONCATENATE("R41C",'Mapa final'!$R$130),"")</f>
        <v/>
      </c>
      <c r="T47" s="141" t="str">
        <f>IF(AND('Mapa final'!$AB$131="Muy Alta",'Mapa final'!$AD$131="Mayor"),CONCATENATE("R41C",'Mapa final'!$R$131),"")</f>
        <v/>
      </c>
      <c r="U47" s="83" t="str">
        <f>IF(AND('Mapa final'!$AB$132="Muy Alta",'Mapa final'!$AD$132="Mayor"),CONCATENATE("R41C",'Mapa final'!$R$132),"")</f>
        <v/>
      </c>
      <c r="V47" s="114" t="str">
        <f>IF(AND('Mapa final'!$AB$130="Muy Alta",'Mapa final'!$AD$130="Catastrófico"),CONCATENATE("R41C",'Mapa final'!$R$130),"")</f>
        <v/>
      </c>
      <c r="W47" s="142" t="str">
        <f>IF(AND('Mapa final'!$AB$131="Muy Alta",'Mapa final'!$AD$131="Catastrófico"),CONCATENATE("R41C",'Mapa final'!$R$131),"")</f>
        <v/>
      </c>
      <c r="X47" s="115" t="str">
        <f>IF(AND('Mapa final'!$AB$132="Muy Alta",'Mapa final'!$AD$132="Catastrófico"),CONCATENATE("R41C",'Mapa final'!$R$132),"")</f>
        <v/>
      </c>
      <c r="Y47" s="38"/>
      <c r="Z47" s="294"/>
      <c r="AA47" s="295"/>
      <c r="AB47" s="295"/>
      <c r="AC47" s="295"/>
      <c r="AD47" s="295"/>
      <c r="AE47" s="296"/>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row>
    <row r="48" spans="1:61" ht="15" customHeight="1" x14ac:dyDescent="0.3">
      <c r="A48" s="38"/>
      <c r="B48" s="306"/>
      <c r="C48" s="307"/>
      <c r="D48" s="308"/>
      <c r="E48" s="290"/>
      <c r="F48" s="289"/>
      <c r="G48" s="289"/>
      <c r="H48" s="289"/>
      <c r="I48" s="289"/>
      <c r="J48" s="82" t="str">
        <f>IF(AND('Mapa final'!$AB$133="Muy Alta",'Mapa final'!$AD$133="Leve"),CONCATENATE("R42C",'Mapa final'!$R$133),"")</f>
        <v/>
      </c>
      <c r="K48" s="141" t="str">
        <f>IF(AND('Mapa final'!$AB$134="Muy Alta",'Mapa final'!$AD$134="Leve"),CONCATENATE("R42C",'Mapa final'!$R$134),"")</f>
        <v/>
      </c>
      <c r="L48" s="83" t="str">
        <f>IF(AND('Mapa final'!$AB$135="Muy Alta",'Mapa final'!$AD$135="Leve"),CONCATENATE("R42C",'Mapa final'!$R$135),"")</f>
        <v/>
      </c>
      <c r="M48" s="82" t="str">
        <f>IF(AND('Mapa final'!$AB$133="Muy Alta",'Mapa final'!$AD$133="Menor"),CONCATENATE("R42C",'Mapa final'!$R$133),"")</f>
        <v/>
      </c>
      <c r="N48" s="141" t="str">
        <f>IF(AND('Mapa final'!$AB$134="Muy Alta",'Mapa final'!$AD$134="Menor"),CONCATENATE("R42C",'Mapa final'!$R$134),"")</f>
        <v/>
      </c>
      <c r="O48" s="83" t="str">
        <f>IF(AND('Mapa final'!$AB$135="Muy Alta",'Mapa final'!$AD$135="Menor"),CONCATENATE("R42C",'Mapa final'!$R$135),"")</f>
        <v/>
      </c>
      <c r="P48" s="82" t="str">
        <f>IF(AND('Mapa final'!$AB$133="Muy Alta",'Mapa final'!$AD$133="Moderado"),CONCATENATE("R42C",'Mapa final'!$R$133),"")</f>
        <v/>
      </c>
      <c r="Q48" s="141" t="str">
        <f>IF(AND('Mapa final'!$AB$134="Muy Alta",'Mapa final'!$AD$134="Moderado"),CONCATENATE("R42C",'Mapa final'!$R$134),"")</f>
        <v/>
      </c>
      <c r="R48" s="83" t="str">
        <f>IF(AND('Mapa final'!$AB$135="Muy Alta",'Mapa final'!$AD$135="Moderado"),CONCATENATE("R42C",'Mapa final'!$R$135),"")</f>
        <v/>
      </c>
      <c r="S48" s="82" t="str">
        <f>IF(AND('Mapa final'!$AB$133="Muy Alta",'Mapa final'!$AD$133="Mayor"),CONCATENATE("R42C",'Mapa final'!$R$133),"")</f>
        <v/>
      </c>
      <c r="T48" s="141" t="str">
        <f>IF(AND('Mapa final'!$AB$134="Muy Alta",'Mapa final'!$AD$134="Mayor"),CONCATENATE("R42C",'Mapa final'!$R$134),"")</f>
        <v/>
      </c>
      <c r="U48" s="83" t="str">
        <f>IF(AND('Mapa final'!$AB$135="Muy Alta",'Mapa final'!$AD$135="Mayor"),CONCATENATE("R42C",'Mapa final'!$R$135),"")</f>
        <v/>
      </c>
      <c r="V48" s="114" t="str">
        <f>IF(AND('Mapa final'!$AB$133="Muy Alta",'Mapa final'!$AD$133="Catastrófico"),CONCATENATE("R42C",'Mapa final'!$R$133),"")</f>
        <v/>
      </c>
      <c r="W48" s="142" t="str">
        <f>IF(AND('Mapa final'!$AB$134="Muy Alta",'Mapa final'!$AD$134="Catastrófico"),CONCATENATE("R42C",'Mapa final'!$R$134),"")</f>
        <v/>
      </c>
      <c r="X48" s="115" t="str">
        <f>IF(AND('Mapa final'!$AB$135="Muy Alta",'Mapa final'!$AD$135="Catastrófico"),CONCATENATE("R42C",'Mapa final'!$R$135),"")</f>
        <v/>
      </c>
      <c r="Y48" s="38"/>
      <c r="Z48" s="294"/>
      <c r="AA48" s="295"/>
      <c r="AB48" s="295"/>
      <c r="AC48" s="295"/>
      <c r="AD48" s="295"/>
      <c r="AE48" s="296"/>
      <c r="AF48" s="38"/>
      <c r="AG48" s="38"/>
      <c r="AH48" s="38"/>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row>
    <row r="49" spans="1:61" ht="15" customHeight="1" thickBot="1" x14ac:dyDescent="0.35">
      <c r="A49" s="38"/>
      <c r="B49" s="306"/>
      <c r="C49" s="307"/>
      <c r="D49" s="308"/>
      <c r="E49" s="290"/>
      <c r="F49" s="289"/>
      <c r="G49" s="289"/>
      <c r="H49" s="289"/>
      <c r="I49" s="289"/>
      <c r="J49" s="82" t="str">
        <f>IF(AND('Mapa final'!$AB$136="Muy Alta",'Mapa final'!$AD$136="Leve"),CONCATENATE("R43C",'Mapa final'!$R$136),"")</f>
        <v/>
      </c>
      <c r="K49" s="141" t="str">
        <f>IF(AND('Mapa final'!$AB$137="Muy Alta",'Mapa final'!$AD$137="Leve"),CONCATENATE("R43C",'Mapa final'!$R$137),"")</f>
        <v/>
      </c>
      <c r="L49" s="83" t="str">
        <f>IF(AND('Mapa final'!$AB$138="Muy Alta",'Mapa final'!$AD$138="Leve"),CONCATENATE("R43C",'Mapa final'!$R$138),"")</f>
        <v/>
      </c>
      <c r="M49" s="82" t="str">
        <f>IF(AND('Mapa final'!$AB$136="Muy Alta",'Mapa final'!$AD$136="Menor"),CONCATENATE("R43C",'Mapa final'!$R$136),"")</f>
        <v/>
      </c>
      <c r="N49" s="141" t="str">
        <f>IF(AND('Mapa final'!$AB$137="Muy Alta",'Mapa final'!$AD$137="Menor"),CONCATENATE("R43C",'Mapa final'!$R$137),"")</f>
        <v/>
      </c>
      <c r="O49" s="83" t="str">
        <f>IF(AND('Mapa final'!$AB$138="Muy Alta",'Mapa final'!$AD$138="Menor"),CONCATENATE("R43C",'Mapa final'!$R$138),"")</f>
        <v/>
      </c>
      <c r="P49" s="82" t="str">
        <f>IF(AND('Mapa final'!$AB$136="Muy Alta",'Mapa final'!$AD$136="Moderado"),CONCATENATE("R43C",'Mapa final'!$R$136),"")</f>
        <v/>
      </c>
      <c r="Q49" s="141" t="str">
        <f>IF(AND('Mapa final'!$AB$137="Muy Alta",'Mapa final'!$AD$137="Moderado"),CONCATENATE("R43C",'Mapa final'!$R$137),"")</f>
        <v/>
      </c>
      <c r="R49" s="83" t="str">
        <f>IF(AND('Mapa final'!$AB$138="Muy Alta",'Mapa final'!$AD$138="Moderado"),CONCATENATE("R43C",'Mapa final'!$R$138),"")</f>
        <v/>
      </c>
      <c r="S49" s="82" t="str">
        <f>IF(AND('Mapa final'!$AB$136="Muy Alta",'Mapa final'!$AD$136="Mayor"),CONCATENATE("R43C",'Mapa final'!$R$136),"")</f>
        <v/>
      </c>
      <c r="T49" s="141" t="str">
        <f>IF(AND('Mapa final'!$AB$137="Muy Alta",'Mapa final'!$AD$137="Mayor"),CONCATENATE("R43C",'Mapa final'!$R$137),"")</f>
        <v/>
      </c>
      <c r="U49" s="83" t="str">
        <f>IF(AND('Mapa final'!$AB$138="Muy Alta",'Mapa final'!$AD$138="Mayor"),CONCATENATE("R43C",'Mapa final'!$R$138),"")</f>
        <v/>
      </c>
      <c r="V49" s="114" t="str">
        <f>IF(AND('Mapa final'!$AB$136="Muy Alta",'Mapa final'!$AD$136="Catastrófico"),CONCATENATE("R43C",'Mapa final'!$R$136),"")</f>
        <v/>
      </c>
      <c r="W49" s="142" t="str">
        <f>IF(AND('Mapa final'!$AB$137="Muy Alta",'Mapa final'!$AD$137="Catastrófico"),CONCATENATE("R43C",'Mapa final'!$R$137),"")</f>
        <v/>
      </c>
      <c r="X49" s="115" t="str">
        <f>IF(AND('Mapa final'!$AB$138="Muy Alta",'Mapa final'!$AD$138="Catastrófico"),CONCATENATE("R43C",'Mapa final'!$R$138),"")</f>
        <v/>
      </c>
      <c r="Y49" s="38"/>
      <c r="Z49" s="297"/>
      <c r="AA49" s="298"/>
      <c r="AB49" s="298"/>
      <c r="AC49" s="298"/>
      <c r="AD49" s="298"/>
      <c r="AE49" s="299"/>
      <c r="AF49" s="38"/>
      <c r="AG49" s="38"/>
      <c r="AH49" s="38"/>
      <c r="AI49" s="38"/>
      <c r="AJ49" s="38"/>
      <c r="AK49" s="38"/>
      <c r="AL49" s="38"/>
      <c r="AM49" s="38"/>
      <c r="AN49" s="38"/>
      <c r="AO49" s="38"/>
      <c r="AP49" s="38"/>
      <c r="AQ49" s="38"/>
      <c r="AR49" s="38"/>
      <c r="AS49" s="38"/>
      <c r="AT49" s="38"/>
      <c r="AU49" s="38"/>
      <c r="AV49" s="38"/>
      <c r="AW49" s="38"/>
      <c r="AX49" s="38"/>
      <c r="AY49" s="38"/>
      <c r="AZ49" s="38"/>
      <c r="BA49" s="38"/>
      <c r="BB49" s="38"/>
      <c r="BC49" s="38"/>
      <c r="BD49" s="38"/>
      <c r="BE49" s="38"/>
      <c r="BF49" s="38"/>
      <c r="BG49" s="38"/>
      <c r="BH49" s="38"/>
      <c r="BI49" s="38"/>
    </row>
    <row r="50" spans="1:61" ht="15" customHeight="1" x14ac:dyDescent="0.3">
      <c r="A50" s="38"/>
      <c r="B50" s="306"/>
      <c r="C50" s="307"/>
      <c r="D50" s="308"/>
      <c r="E50" s="286" t="s">
        <v>106</v>
      </c>
      <c r="F50" s="287"/>
      <c r="G50" s="287"/>
      <c r="H50" s="287"/>
      <c r="I50" s="287"/>
      <c r="J50" s="116" t="str">
        <f>IF(AND('Mapa final'!$AB$7="Alta",'Mapa final'!$AD$7="Leve"),CONCATENATE("R1C",'Mapa final'!$R$7),"")</f>
        <v/>
      </c>
      <c r="K50" s="117" t="str">
        <f>IF(AND('Mapa final'!$AB$8="Alta",'Mapa final'!$AD$8="Leve"),CONCATENATE("R1C",'Mapa final'!$R$8),"")</f>
        <v/>
      </c>
      <c r="L50" s="118" t="str">
        <f>IF(AND('Mapa final'!$AB$9="Alta",'Mapa final'!$AD$9="Leve"),CONCATENATE("R1C",'Mapa final'!$R$9),"")</f>
        <v/>
      </c>
      <c r="M50" s="116" t="str">
        <f>IF(AND('Mapa final'!$AB$7="Alta",'Mapa final'!$AD$7="Menor"),CONCATENATE("R1C",'Mapa final'!$R$7),"")</f>
        <v/>
      </c>
      <c r="N50" s="117" t="str">
        <f>IF(AND('Mapa final'!$AB$8="Alta",'Mapa final'!$AD$8="Menor"),CONCATENATE("R1C",'Mapa final'!$R$8),"")</f>
        <v/>
      </c>
      <c r="O50" s="118" t="str">
        <f>IF(AND('Mapa final'!$AB$9="Alta",'Mapa final'!$AD$9="Menor"),CONCATENATE("R1C",'Mapa final'!$R$9),"")</f>
        <v/>
      </c>
      <c r="P50" s="145" t="str">
        <f>IF(AND('Mapa final'!$AB$7="Alta",'Mapa final'!$AD$7="Moderado"),CONCATENATE("R1C",'Mapa final'!$R$7),"")</f>
        <v/>
      </c>
      <c r="Q50" s="146" t="str">
        <f>IF(AND('Mapa final'!$AB$8="Alta",'Mapa final'!$AD$8="Moderado"),CONCATENATE("R1C",'Mapa final'!$R$8),"")</f>
        <v/>
      </c>
      <c r="R50" s="147" t="str">
        <f>IF(AND('Mapa final'!$AB$9="Alta",'Mapa final'!$AD$9="Moderado"),CONCATENATE("R1C",'Mapa final'!$R$9),"")</f>
        <v/>
      </c>
      <c r="S50" s="145" t="str">
        <f>IF(AND('Mapa final'!$AB$7="Alta",'Mapa final'!$AD$7="Mayor"),CONCATENATE("R1C",'Mapa final'!$R$7),"")</f>
        <v/>
      </c>
      <c r="T50" s="146" t="str">
        <f>IF(AND('Mapa final'!$AB$8="Alta",'Mapa final'!$AD$8="Mayor"),CONCATENATE("R1C",'Mapa final'!$R$8),"")</f>
        <v/>
      </c>
      <c r="U50" s="147" t="str">
        <f>IF(AND('Mapa final'!$AB$9="Alta",'Mapa final'!$AD$9="Mayor"),CONCATENATE("R1C",'Mapa final'!$R$9),"")</f>
        <v/>
      </c>
      <c r="V50" s="111" t="str">
        <f>IF(AND('Mapa final'!$AB$7="Alta",'Mapa final'!$AD$7="Catastrófico"),CONCATENATE("R1C",'Mapa final'!$R$7),"")</f>
        <v/>
      </c>
      <c r="W50" s="112" t="str">
        <f>IF(AND('Mapa final'!$AB$8="Alta",'Mapa final'!$AD$8="Catastrófico"),CONCATENATE("R1C",'Mapa final'!$R$8),"")</f>
        <v/>
      </c>
      <c r="X50" s="113" t="str">
        <f>IF(AND('Mapa final'!$AB$9="Alta",'Mapa final'!$AD$9="Catastrófico"),CONCATENATE("R1C",'Mapa final'!$R$9),"")</f>
        <v/>
      </c>
      <c r="Y50" s="38"/>
      <c r="Z50" s="277" t="s">
        <v>74</v>
      </c>
      <c r="AA50" s="278"/>
      <c r="AB50" s="278"/>
      <c r="AC50" s="278"/>
      <c r="AD50" s="278"/>
      <c r="AE50" s="279"/>
      <c r="AF50" s="38"/>
      <c r="AG50" s="38"/>
      <c r="AH50" s="38"/>
      <c r="AI50" s="38"/>
      <c r="AJ50" s="38"/>
      <c r="AK50" s="38"/>
      <c r="AL50" s="38"/>
      <c r="AM50" s="38"/>
      <c r="AN50" s="38"/>
      <c r="AO50" s="38"/>
      <c r="AP50" s="38"/>
      <c r="AQ50" s="38"/>
      <c r="AR50" s="38"/>
      <c r="AS50" s="38"/>
      <c r="AT50" s="38"/>
      <c r="AU50" s="38"/>
      <c r="AV50" s="38"/>
      <c r="AW50" s="38"/>
      <c r="AX50" s="38"/>
      <c r="AY50" s="38"/>
      <c r="AZ50" s="38"/>
      <c r="BA50" s="38"/>
      <c r="BB50" s="38"/>
      <c r="BC50" s="38"/>
      <c r="BD50" s="38"/>
      <c r="BE50" s="38"/>
      <c r="BF50" s="38"/>
      <c r="BG50" s="38"/>
      <c r="BH50" s="38"/>
      <c r="BI50" s="38"/>
    </row>
    <row r="51" spans="1:61" ht="15" customHeight="1" x14ac:dyDescent="0.3">
      <c r="A51" s="38"/>
      <c r="B51" s="306"/>
      <c r="C51" s="307"/>
      <c r="D51" s="308"/>
      <c r="E51" s="288"/>
      <c r="F51" s="289"/>
      <c r="G51" s="289"/>
      <c r="H51" s="289"/>
      <c r="I51" s="289"/>
      <c r="J51" s="119" t="str">
        <f>IF(AND('Mapa final'!$AB$10="Alta",'Mapa final'!$AD$10="Leve"),CONCATENATE("R2C",'Mapa final'!$R$10),"")</f>
        <v/>
      </c>
      <c r="K51" s="143" t="str">
        <f>IF(AND('Mapa final'!$AB$11="Alta",'Mapa final'!$AD$11="Leve"),CONCATENATE("R2C",'Mapa final'!$R$11),"")</f>
        <v/>
      </c>
      <c r="L51" s="120" t="str">
        <f>IF(AND('Mapa final'!$AB$12="Alta",'Mapa final'!$AD$12="Leve"),CONCATENATE("R2C",'Mapa final'!$R$12),"")</f>
        <v/>
      </c>
      <c r="M51" s="119" t="str">
        <f>IF(AND('Mapa final'!$AB$10="Alta",'Mapa final'!$AD$10="Menor"),CONCATENATE("R2C",'Mapa final'!$R$10),"")</f>
        <v/>
      </c>
      <c r="N51" s="143" t="str">
        <f>IF(AND('Mapa final'!$AB$11="Alta",'Mapa final'!$AD$11="Menor"),CONCATENATE("R2C",'Mapa final'!$R$11),"")</f>
        <v/>
      </c>
      <c r="O51" s="120" t="str">
        <f>IF(AND('Mapa final'!$AB$12="Alta",'Mapa final'!$AD$12="Menor"),CONCATENATE("R2C",'Mapa final'!$R$12),"")</f>
        <v/>
      </c>
      <c r="P51" s="148" t="str">
        <f>IF(AND('Mapa final'!$AB$10="Alta",'Mapa final'!$AD$10="Moderado"),CONCATENATE("R2C",'Mapa final'!$R$10),"")</f>
        <v/>
      </c>
      <c r="Q51" s="149" t="str">
        <f>IF(AND('Mapa final'!$AB$11="Alta",'Mapa final'!$AD$11="Moderado"),CONCATENATE("R2C",'Mapa final'!$R$11),"")</f>
        <v/>
      </c>
      <c r="R51" s="150" t="str">
        <f>IF(AND('Mapa final'!$AB$12="Alta",'Mapa final'!$AD$12="Moderado"),CONCATENATE("R2C",'Mapa final'!$R$12),"")</f>
        <v/>
      </c>
      <c r="S51" s="148" t="str">
        <f>IF(AND('Mapa final'!$AB$10="Alta",'Mapa final'!$AD$10="Mayor"),CONCATENATE("R2C",'Mapa final'!$R$10),"")</f>
        <v/>
      </c>
      <c r="T51" s="149" t="str">
        <f>IF(AND('Mapa final'!$AB$11="Alta",'Mapa final'!$AD$11="Mayor"),CONCATENATE("R2C",'Mapa final'!$R$11),"")</f>
        <v/>
      </c>
      <c r="U51" s="150" t="str">
        <f>IF(AND('Mapa final'!$AB$12="Alta",'Mapa final'!$AD$12="Mayor"),CONCATENATE("R2C",'Mapa final'!$R$12),"")</f>
        <v/>
      </c>
      <c r="V51" s="114" t="str">
        <f>IF(AND('Mapa final'!$AB$10="Alta",'Mapa final'!$AD$10="Catastrófico"),CONCATENATE("R2C",'Mapa final'!$R$10),"")</f>
        <v/>
      </c>
      <c r="W51" s="142" t="str">
        <f>IF(AND('Mapa final'!$AB$11="Alta",'Mapa final'!$AD$11="Catastrófico"),CONCATENATE("R2C",'Mapa final'!$R$11),"")</f>
        <v/>
      </c>
      <c r="X51" s="115" t="str">
        <f>IF(AND('Mapa final'!$AB$12="Alta",'Mapa final'!$AD$12="Catastrófico"),CONCATENATE("R2C",'Mapa final'!$R$12),"")</f>
        <v/>
      </c>
      <c r="Y51" s="38"/>
      <c r="Z51" s="280"/>
      <c r="AA51" s="281"/>
      <c r="AB51" s="281"/>
      <c r="AC51" s="281"/>
      <c r="AD51" s="281"/>
      <c r="AE51" s="282"/>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38"/>
      <c r="BG51" s="38"/>
      <c r="BH51" s="38"/>
      <c r="BI51" s="38"/>
    </row>
    <row r="52" spans="1:61" ht="15" customHeight="1" x14ac:dyDescent="0.3">
      <c r="A52" s="38"/>
      <c r="B52" s="306"/>
      <c r="C52" s="307"/>
      <c r="D52" s="308"/>
      <c r="E52" s="290"/>
      <c r="F52" s="289"/>
      <c r="G52" s="289"/>
      <c r="H52" s="289"/>
      <c r="I52" s="289"/>
      <c r="J52" s="119" t="e">
        <f>IF(AND('Mapa final'!#REF!="Alta",'Mapa final'!#REF!="Leve"),CONCATENATE("R3C",'Mapa final'!#REF!),"")</f>
        <v>#REF!</v>
      </c>
      <c r="K52" s="143" t="e">
        <f>IF(AND('Mapa final'!#REF!="Alta",'Mapa final'!#REF!="Leve"),CONCATENATE("R3C",'Mapa final'!#REF!),"")</f>
        <v>#REF!</v>
      </c>
      <c r="L52" s="120" t="e">
        <f>IF(AND('Mapa final'!#REF!="Alta",'Mapa final'!#REF!="Leve"),CONCATENATE("R3C",'Mapa final'!#REF!),"")</f>
        <v>#REF!</v>
      </c>
      <c r="M52" s="119" t="e">
        <f>IF(AND('Mapa final'!#REF!="Alta",'Mapa final'!#REF!="Menor"),CONCATENATE("R3C",'Mapa final'!#REF!),"")</f>
        <v>#REF!</v>
      </c>
      <c r="N52" s="143" t="e">
        <f>IF(AND('Mapa final'!#REF!="Alta",'Mapa final'!#REF!="Menor"),CONCATENATE("R3C",'Mapa final'!#REF!),"")</f>
        <v>#REF!</v>
      </c>
      <c r="O52" s="120" t="e">
        <f>IF(AND('Mapa final'!#REF!="Alta",'Mapa final'!#REF!="Menor"),CONCATENATE("R3C",'Mapa final'!#REF!),"")</f>
        <v>#REF!</v>
      </c>
      <c r="P52" s="148" t="e">
        <f>IF(AND('Mapa final'!#REF!="Alta",'Mapa final'!#REF!="Moderado"),CONCATENATE("R3C",'Mapa final'!#REF!),"")</f>
        <v>#REF!</v>
      </c>
      <c r="Q52" s="149" t="e">
        <f>IF(AND('Mapa final'!#REF!="Alta",'Mapa final'!#REF!="Moderado"),CONCATENATE("R3C",'Mapa final'!#REF!),"")</f>
        <v>#REF!</v>
      </c>
      <c r="R52" s="150" t="e">
        <f>IF(AND('Mapa final'!#REF!="Alta",'Mapa final'!#REF!="Moderado"),CONCATENATE("R3C",'Mapa final'!#REF!),"")</f>
        <v>#REF!</v>
      </c>
      <c r="S52" s="148" t="e">
        <f>IF(AND('Mapa final'!#REF!="Alta",'Mapa final'!#REF!="Mayor"),CONCATENATE("R3C",'Mapa final'!#REF!),"")</f>
        <v>#REF!</v>
      </c>
      <c r="T52" s="149" t="e">
        <f>IF(AND('Mapa final'!#REF!="Alta",'Mapa final'!#REF!="Mayor"),CONCATENATE("R3C",'Mapa final'!#REF!),"")</f>
        <v>#REF!</v>
      </c>
      <c r="U52" s="150" t="e">
        <f>IF(AND('Mapa final'!#REF!="Alta",'Mapa final'!#REF!="Mayor"),CONCATENATE("R3C",'Mapa final'!#REF!),"")</f>
        <v>#REF!</v>
      </c>
      <c r="V52" s="114" t="e">
        <f>IF(AND('Mapa final'!#REF!="Alta",'Mapa final'!#REF!="Catastrófico"),CONCATENATE("R3C",'Mapa final'!#REF!),"")</f>
        <v>#REF!</v>
      </c>
      <c r="W52" s="142" t="e">
        <f>IF(AND('Mapa final'!#REF!="Alta",'Mapa final'!#REF!="Catastrófico"),CONCATENATE("R3C",'Mapa final'!#REF!),"")</f>
        <v>#REF!</v>
      </c>
      <c r="X52" s="115" t="e">
        <f>IF(AND('Mapa final'!#REF!="Alta",'Mapa final'!#REF!="Catastrófico"),CONCATENATE("R3C",'Mapa final'!#REF!),"")</f>
        <v>#REF!</v>
      </c>
      <c r="Y52" s="38"/>
      <c r="Z52" s="280"/>
      <c r="AA52" s="281"/>
      <c r="AB52" s="281"/>
      <c r="AC52" s="281"/>
      <c r="AD52" s="281"/>
      <c r="AE52" s="282"/>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row>
    <row r="53" spans="1:61" ht="15" customHeight="1" x14ac:dyDescent="0.3">
      <c r="A53" s="38"/>
      <c r="B53" s="306"/>
      <c r="C53" s="307"/>
      <c r="D53" s="308"/>
      <c r="E53" s="290"/>
      <c r="F53" s="289"/>
      <c r="G53" s="289"/>
      <c r="H53" s="289"/>
      <c r="I53" s="289"/>
      <c r="J53" s="119" t="str">
        <f>IF(AND('Mapa final'!$AB$13="Alta",'Mapa final'!$AD$13="Leve"),CONCATENATE("R4C",'Mapa final'!$R$13),"")</f>
        <v/>
      </c>
      <c r="K53" s="143" t="str">
        <f>IF(AND('Mapa final'!$AB$14="Alta",'Mapa final'!$AD$14="Leve"),CONCATENATE("R4C",'Mapa final'!$R$14),"")</f>
        <v/>
      </c>
      <c r="L53" s="120" t="str">
        <f>IF(AND('Mapa final'!$AB$15="Alta",'Mapa final'!$AD$15="Leve"),CONCATENATE("R4C",'Mapa final'!$R$15),"")</f>
        <v/>
      </c>
      <c r="M53" s="119" t="str">
        <f>IF(AND('Mapa final'!$AB$13="Alta",'Mapa final'!$AD$13="Menor"),CONCATENATE("R4C",'Mapa final'!$R$13),"")</f>
        <v/>
      </c>
      <c r="N53" s="143" t="str">
        <f>IF(AND('Mapa final'!$AB$14="Alta",'Mapa final'!$AD$14="Menor"),CONCATENATE("R4C",'Mapa final'!$R$14),"")</f>
        <v/>
      </c>
      <c r="O53" s="120" t="str">
        <f>IF(AND('Mapa final'!$AB$15="Alta",'Mapa final'!$AD$15="Menor"),CONCATENATE("R4C",'Mapa final'!$R$15),"")</f>
        <v/>
      </c>
      <c r="P53" s="148" t="str">
        <f>IF(AND('Mapa final'!$AB$13="Alta",'Mapa final'!$AD$13="Moderado"),CONCATENATE("R4C",'Mapa final'!$R$13),"")</f>
        <v/>
      </c>
      <c r="Q53" s="149" t="str">
        <f>IF(AND('Mapa final'!$AB$14="Alta",'Mapa final'!$AD$14="Moderado"),CONCATENATE("R4C",'Mapa final'!$R$14),"")</f>
        <v/>
      </c>
      <c r="R53" s="150" t="str">
        <f>IF(AND('Mapa final'!$AB$15="Alta",'Mapa final'!$AD$15="Moderado"),CONCATENATE("R4C",'Mapa final'!$R$15),"")</f>
        <v/>
      </c>
      <c r="S53" s="148" t="str">
        <f>IF(AND('Mapa final'!$AB$13="Alta",'Mapa final'!$AD$13="Mayor"),CONCATENATE("R4C",'Mapa final'!$R$13),"")</f>
        <v/>
      </c>
      <c r="T53" s="149" t="str">
        <f>IF(AND('Mapa final'!$AB$14="Alta",'Mapa final'!$AD$14="Mayor"),CONCATENATE("R4C",'Mapa final'!$R$14),"")</f>
        <v/>
      </c>
      <c r="U53" s="150" t="str">
        <f>IF(AND('Mapa final'!$AB$15="Alta",'Mapa final'!$AD$15="Mayor"),CONCATENATE("R4C",'Mapa final'!$R$15),"")</f>
        <v/>
      </c>
      <c r="V53" s="114" t="str">
        <f>IF(AND('Mapa final'!$AB$13="Alta",'Mapa final'!$AD$13="Catastrófico"),CONCATENATE("R4C",'Mapa final'!$R$13),"")</f>
        <v/>
      </c>
      <c r="W53" s="142" t="str">
        <f>IF(AND('Mapa final'!$AB$14="Alta",'Mapa final'!$AD$14="Catastrófico"),CONCATENATE("R4C",'Mapa final'!$R$14),"")</f>
        <v/>
      </c>
      <c r="X53" s="115" t="str">
        <f>IF(AND('Mapa final'!$AB$15="Alta",'Mapa final'!$AD$15="Catastrófico"),CONCATENATE("R4C",'Mapa final'!$R$15),"")</f>
        <v/>
      </c>
      <c r="Y53" s="38"/>
      <c r="Z53" s="280"/>
      <c r="AA53" s="281"/>
      <c r="AB53" s="281"/>
      <c r="AC53" s="281"/>
      <c r="AD53" s="281"/>
      <c r="AE53" s="282"/>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row>
    <row r="54" spans="1:61" ht="12" customHeight="1" x14ac:dyDescent="0.3">
      <c r="A54" s="38"/>
      <c r="B54" s="306"/>
      <c r="C54" s="307"/>
      <c r="D54" s="308"/>
      <c r="E54" s="290"/>
      <c r="F54" s="289"/>
      <c r="G54" s="289"/>
      <c r="H54" s="289"/>
      <c r="I54" s="289"/>
      <c r="J54" s="119" t="str">
        <f>IF(AND('Mapa final'!$AB$16="Alta",'Mapa final'!$AD$16="Leve"),CONCATENATE("R5C",'Mapa final'!$R$16),"")</f>
        <v/>
      </c>
      <c r="K54" s="143" t="str">
        <f>IF(AND('Mapa final'!$AB$17="Alta",'Mapa final'!$AD$17="Leve"),CONCATENATE("R5C",'Mapa final'!$R$17),"")</f>
        <v/>
      </c>
      <c r="L54" s="120" t="str">
        <f>IF(AND('Mapa final'!$AB$18="Alta",'Mapa final'!$AD$18="Leve"),CONCATENATE("R5C",'Mapa final'!$R$18),"")</f>
        <v/>
      </c>
      <c r="M54" s="119" t="str">
        <f>IF(AND('Mapa final'!$AB$16="Alta",'Mapa final'!$AD$16="Menor"),CONCATENATE("R5C",'Mapa final'!$R$16),"")</f>
        <v/>
      </c>
      <c r="N54" s="143" t="str">
        <f>IF(AND('Mapa final'!$AB$17="Alta",'Mapa final'!$AD$17="Menor"),CONCATENATE("R5C",'Mapa final'!$R$17),"")</f>
        <v/>
      </c>
      <c r="O54" s="120" t="str">
        <f>IF(AND('Mapa final'!$AB$18="Alta",'Mapa final'!$AD$18="Menor"),CONCATENATE("R5C",'Mapa final'!$R$18),"")</f>
        <v/>
      </c>
      <c r="P54" s="148" t="str">
        <f>IF(AND('Mapa final'!$AB$16="Alta",'Mapa final'!$AD$16="Moderado"),CONCATENATE("R5C",'Mapa final'!$R$16),"")</f>
        <v/>
      </c>
      <c r="Q54" s="149" t="str">
        <f>IF(AND('Mapa final'!$AB$17="Alta",'Mapa final'!$AD$17="Moderado"),CONCATENATE("R5C",'Mapa final'!$R$17),"")</f>
        <v/>
      </c>
      <c r="R54" s="150" t="str">
        <f>IF(AND('Mapa final'!$AB$18="Alta",'Mapa final'!$AD$18="Moderado"),CONCATENATE("R5C",'Mapa final'!$R$18),"")</f>
        <v/>
      </c>
      <c r="S54" s="148" t="str">
        <f>IF(AND('Mapa final'!$AB$16="Alta",'Mapa final'!$AD$16="Mayor"),CONCATENATE("R5C",'Mapa final'!$R$16),"")</f>
        <v/>
      </c>
      <c r="T54" s="149" t="str">
        <f>IF(AND('Mapa final'!$AB$17="Alta",'Mapa final'!$AD$17="Mayor"),CONCATENATE("R5C",'Mapa final'!$R$17),"")</f>
        <v/>
      </c>
      <c r="U54" s="150" t="str">
        <f>IF(AND('Mapa final'!$AB$18="Alta",'Mapa final'!$AD$18="Mayor"),CONCATENATE("R5C",'Mapa final'!$R$18),"")</f>
        <v/>
      </c>
      <c r="V54" s="114" t="str">
        <f>IF(AND('Mapa final'!$AB$16="Alta",'Mapa final'!$AD$16="Catastrófico"),CONCATENATE("R5C",'Mapa final'!$R$16),"")</f>
        <v/>
      </c>
      <c r="W54" s="142" t="str">
        <f>IF(AND('Mapa final'!$AB$17="Alta",'Mapa final'!$AD$17="Catastrófico"),CONCATENATE("R5C",'Mapa final'!$R$17),"")</f>
        <v/>
      </c>
      <c r="X54" s="115" t="str">
        <f>IF(AND('Mapa final'!$AB$18="Alta",'Mapa final'!$AD$18="Catastrófico"),CONCATENATE("R5C",'Mapa final'!$R$18),"")</f>
        <v/>
      </c>
      <c r="Y54" s="38"/>
      <c r="Z54" s="280"/>
      <c r="AA54" s="281"/>
      <c r="AB54" s="281"/>
      <c r="AC54" s="281"/>
      <c r="AD54" s="281"/>
      <c r="AE54" s="282"/>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row>
    <row r="55" spans="1:61" ht="12" customHeight="1" x14ac:dyDescent="0.3">
      <c r="A55" s="38"/>
      <c r="B55" s="306"/>
      <c r="C55" s="307"/>
      <c r="D55" s="308"/>
      <c r="E55" s="290"/>
      <c r="F55" s="289"/>
      <c r="G55" s="289"/>
      <c r="H55" s="289"/>
      <c r="I55" s="289"/>
      <c r="J55" s="119" t="str">
        <f>IF(AND('Mapa final'!$AB$19="Alta",'Mapa final'!$AD$19="Leve"),CONCATENATE("R6C",'Mapa final'!$R$19),"")</f>
        <v/>
      </c>
      <c r="K55" s="143" t="str">
        <f>IF(AND('Mapa final'!$AB$20="Alta",'Mapa final'!$AD$20="Leve"),CONCATENATE("R6C",'Mapa final'!$R$20),"")</f>
        <v/>
      </c>
      <c r="L55" s="120" t="str">
        <f>IF(AND('Mapa final'!$AB$21="Alta",'Mapa final'!$AD$21="Leve"),CONCATENATE("R6C",'Mapa final'!$R$21),"")</f>
        <v/>
      </c>
      <c r="M55" s="119" t="str">
        <f>IF(AND('Mapa final'!$AB$19="Alta",'Mapa final'!$AD$19="Menor"),CONCATENATE("R6C",'Mapa final'!$R$19),"")</f>
        <v/>
      </c>
      <c r="N55" s="143" t="str">
        <f>IF(AND('Mapa final'!$AB$20="Alta",'Mapa final'!$AD$20="Menor"),CONCATENATE("R6C",'Mapa final'!$R$20),"")</f>
        <v/>
      </c>
      <c r="O55" s="120" t="str">
        <f>IF(AND('Mapa final'!$AB$21="Alta",'Mapa final'!$AD$21="Menor"),CONCATENATE("R6C",'Mapa final'!$R$21),"")</f>
        <v/>
      </c>
      <c r="P55" s="148" t="str">
        <f>IF(AND('Mapa final'!$AB$19="Alta",'Mapa final'!$AD$19="Moderado"),CONCATENATE("R6C",'Mapa final'!$R$19),"")</f>
        <v/>
      </c>
      <c r="Q55" s="149" t="str">
        <f>IF(AND('Mapa final'!$AB$20="Alta",'Mapa final'!$AD$20="Moderado"),CONCATENATE("R6C",'Mapa final'!$R$20),"")</f>
        <v/>
      </c>
      <c r="R55" s="150" t="str">
        <f>IF(AND('Mapa final'!$AB$21="Alta",'Mapa final'!$AD$21="Moderado"),CONCATENATE("R6C",'Mapa final'!$R$21),"")</f>
        <v/>
      </c>
      <c r="S55" s="148" t="str">
        <f>IF(AND('Mapa final'!$AB$19="Alta",'Mapa final'!$AD$19="Mayor"),CONCATENATE("R6C",'Mapa final'!$R$19),"")</f>
        <v/>
      </c>
      <c r="T55" s="149" t="str">
        <f>IF(AND('Mapa final'!$AB$20="Alta",'Mapa final'!$AD$20="Mayor"),CONCATENATE("R6C",'Mapa final'!$R$20),"")</f>
        <v/>
      </c>
      <c r="U55" s="150" t="str">
        <f>IF(AND('Mapa final'!$AB$21="Alta",'Mapa final'!$AD$21="Mayor"),CONCATENATE("R6C",'Mapa final'!$R$21),"")</f>
        <v/>
      </c>
      <c r="V55" s="114" t="str">
        <f>IF(AND('Mapa final'!$AB$19="Alta",'Mapa final'!$AD$19="Catastrófico"),CONCATENATE("R6C",'Mapa final'!$R$19),"")</f>
        <v/>
      </c>
      <c r="W55" s="142" t="str">
        <f>IF(AND('Mapa final'!$AB$20="Alta",'Mapa final'!$AD$20="Catastrófico"),CONCATENATE("R6C",'Mapa final'!$R$20),"")</f>
        <v/>
      </c>
      <c r="X55" s="115" t="str">
        <f>IF(AND('Mapa final'!$AB$21="Alta",'Mapa final'!$AD$21="Catastrófico"),CONCATENATE("R6C",'Mapa final'!$R$21),"")</f>
        <v/>
      </c>
      <c r="Y55" s="38"/>
      <c r="Z55" s="280"/>
      <c r="AA55" s="281"/>
      <c r="AB55" s="281"/>
      <c r="AC55" s="281"/>
      <c r="AD55" s="281"/>
      <c r="AE55" s="282"/>
      <c r="AF55" s="38"/>
      <c r="AG55" s="38"/>
      <c r="AH55" s="38"/>
      <c r="AI55" s="38"/>
      <c r="AJ55" s="38"/>
      <c r="AK55" s="38"/>
      <c r="AL55" s="38"/>
      <c r="AM55" s="38"/>
      <c r="AN55" s="38"/>
      <c r="AO55" s="38"/>
      <c r="AP55" s="38"/>
      <c r="AQ55" s="38"/>
      <c r="AR55" s="38"/>
      <c r="AS55" s="38"/>
      <c r="AT55" s="38"/>
      <c r="AU55" s="38"/>
      <c r="AV55" s="38"/>
      <c r="AW55" s="38"/>
      <c r="AX55" s="38"/>
      <c r="AY55" s="38"/>
      <c r="AZ55" s="38"/>
      <c r="BA55" s="38"/>
      <c r="BB55" s="38"/>
      <c r="BC55" s="38"/>
      <c r="BD55" s="38"/>
      <c r="BE55" s="38"/>
      <c r="BF55" s="38"/>
      <c r="BG55" s="38"/>
      <c r="BH55" s="38"/>
      <c r="BI55" s="38"/>
    </row>
    <row r="56" spans="1:61" ht="12" customHeight="1" x14ac:dyDescent="0.3">
      <c r="A56" s="38"/>
      <c r="B56" s="306"/>
      <c r="C56" s="307"/>
      <c r="D56" s="308"/>
      <c r="E56" s="290"/>
      <c r="F56" s="289"/>
      <c r="G56" s="289"/>
      <c r="H56" s="289"/>
      <c r="I56" s="289"/>
      <c r="J56" s="119" t="str">
        <f>IF(AND('Mapa final'!$AB$22="Alta",'Mapa final'!$AD$22="Leve"),CONCATENATE("R7C",'Mapa final'!$R$22),"")</f>
        <v/>
      </c>
      <c r="K56" s="143" t="str">
        <f>IF(AND('Mapa final'!$AB$23="Alta",'Mapa final'!$AD$23="Leve"),CONCATENATE("R7C",'Mapa final'!$R$23),"")</f>
        <v/>
      </c>
      <c r="L56" s="120" t="str">
        <f>IF(AND('Mapa final'!$AB$24="Alta",'Mapa final'!$AD$24="Leve"),CONCATENATE("R7C",'Mapa final'!$R$24),"")</f>
        <v/>
      </c>
      <c r="M56" s="119" t="str">
        <f>IF(AND('Mapa final'!$AB$22="Alta",'Mapa final'!$AD$22="Menor"),CONCATENATE("R7C",'Mapa final'!$R$22),"")</f>
        <v/>
      </c>
      <c r="N56" s="143" t="str">
        <f>IF(AND('Mapa final'!$AB$23="Alta",'Mapa final'!$AD$23="Menor"),CONCATENATE("R7C",'Mapa final'!$R$23),"")</f>
        <v/>
      </c>
      <c r="O56" s="120" t="str">
        <f>IF(AND('Mapa final'!$AB$24="Alta",'Mapa final'!$AD$24="Menor"),CONCATENATE("R7C",'Mapa final'!$R$24),"")</f>
        <v/>
      </c>
      <c r="P56" s="148" t="str">
        <f>IF(AND('Mapa final'!$AB$22="Alta",'Mapa final'!$AD$22="Moderado"),CONCATENATE("R7C",'Mapa final'!$R$22),"")</f>
        <v/>
      </c>
      <c r="Q56" s="149" t="str">
        <f>IF(AND('Mapa final'!$AB$23="Alta",'Mapa final'!$AD$23="Moderado"),CONCATENATE("R7C",'Mapa final'!$R$23),"")</f>
        <v/>
      </c>
      <c r="R56" s="150" t="str">
        <f>IF(AND('Mapa final'!$AB$24="Alta",'Mapa final'!$AD$24="Moderado"),CONCATENATE("R7C",'Mapa final'!$R$24),"")</f>
        <v/>
      </c>
      <c r="S56" s="148" t="str">
        <f>IF(AND('Mapa final'!$AB$22="Alta",'Mapa final'!$AD$22="Mayor"),CONCATENATE("R7C",'Mapa final'!$R$22),"")</f>
        <v/>
      </c>
      <c r="T56" s="149" t="str">
        <f>IF(AND('Mapa final'!$AB$23="Alta",'Mapa final'!$AD$23="Mayor"),CONCATENATE("R7C",'Mapa final'!$R$23),"")</f>
        <v/>
      </c>
      <c r="U56" s="150" t="str">
        <f>IF(AND('Mapa final'!$AB$24="Alta",'Mapa final'!$AD$24="Mayor"),CONCATENATE("R7C",'Mapa final'!$R$24),"")</f>
        <v/>
      </c>
      <c r="V56" s="114" t="str">
        <f>IF(AND('Mapa final'!$AB$22="Alta",'Mapa final'!$AD$22="Catastrófico"),CONCATENATE("R7C",'Mapa final'!$R$22),"")</f>
        <v/>
      </c>
      <c r="W56" s="142" t="str">
        <f>IF(AND('Mapa final'!$AB$23="Alta",'Mapa final'!$AD$23="Catastrófico"),CONCATENATE("R7C",'Mapa final'!$R$23),"")</f>
        <v/>
      </c>
      <c r="X56" s="115" t="str">
        <f>IF(AND('Mapa final'!$AB$24="Alta",'Mapa final'!$AD$24="Catastrófico"),CONCATENATE("R7C",'Mapa final'!$R$24),"")</f>
        <v/>
      </c>
      <c r="Y56" s="38"/>
      <c r="Z56" s="280"/>
      <c r="AA56" s="281"/>
      <c r="AB56" s="281"/>
      <c r="AC56" s="281"/>
      <c r="AD56" s="281"/>
      <c r="AE56" s="282"/>
      <c r="AF56" s="38"/>
      <c r="AG56" s="38"/>
      <c r="AH56" s="38"/>
      <c r="AI56" s="38"/>
      <c r="AJ56" s="38"/>
      <c r="AK56" s="38"/>
      <c r="AL56" s="38"/>
      <c r="AM56" s="38"/>
      <c r="AN56" s="38"/>
      <c r="AO56" s="38"/>
      <c r="AP56" s="38"/>
      <c r="AQ56" s="38"/>
      <c r="AR56" s="38"/>
      <c r="AS56" s="38"/>
      <c r="AT56" s="38"/>
      <c r="AU56" s="38"/>
      <c r="AV56" s="38"/>
      <c r="AW56" s="38"/>
      <c r="AX56" s="38"/>
      <c r="AY56" s="38"/>
      <c r="AZ56" s="38"/>
      <c r="BA56" s="38"/>
      <c r="BB56" s="38"/>
      <c r="BC56" s="38"/>
      <c r="BD56" s="38"/>
      <c r="BE56" s="38"/>
      <c r="BF56" s="38"/>
      <c r="BG56" s="38"/>
      <c r="BH56" s="38"/>
      <c r="BI56" s="38"/>
    </row>
    <row r="57" spans="1:61" ht="12" customHeight="1" x14ac:dyDescent="0.3">
      <c r="A57" s="38"/>
      <c r="B57" s="306"/>
      <c r="C57" s="307"/>
      <c r="D57" s="308"/>
      <c r="E57" s="290"/>
      <c r="F57" s="289"/>
      <c r="G57" s="289"/>
      <c r="H57" s="289"/>
      <c r="I57" s="289"/>
      <c r="J57" s="119" t="str">
        <f>IF(AND('Mapa final'!$AB$25="Alta",'Mapa final'!$AD$25="Leve"),CONCATENATE("R8C",'Mapa final'!$R$25),"")</f>
        <v/>
      </c>
      <c r="K57" s="143" t="str">
        <f>IF(AND('Mapa final'!$AB$26="Alta",'Mapa final'!$AD$26="Leve"),CONCATENATE("R8C",'Mapa final'!$R$26),"")</f>
        <v/>
      </c>
      <c r="L57" s="120" t="str">
        <f>IF(AND('Mapa final'!$AB$27="Alta",'Mapa final'!$AD$27="Leve"),CONCATENATE("R8C",'Mapa final'!$R$27),"")</f>
        <v/>
      </c>
      <c r="M57" s="119" t="str">
        <f>IF(AND('Mapa final'!$AB$25="Alta",'Mapa final'!$AD$25="Menor"),CONCATENATE("R8C",'Mapa final'!$R$25),"")</f>
        <v/>
      </c>
      <c r="N57" s="143" t="str">
        <f>IF(AND('Mapa final'!$AB$26="Alta",'Mapa final'!$AD$26="Menor"),CONCATENATE("R8C",'Mapa final'!$R$26),"")</f>
        <v/>
      </c>
      <c r="O57" s="120" t="str">
        <f>IF(AND('Mapa final'!$AB$27="Alta",'Mapa final'!$AD$27="Menor"),CONCATENATE("R8C",'Mapa final'!$R$27),"")</f>
        <v/>
      </c>
      <c r="P57" s="148" t="str">
        <f>IF(AND('Mapa final'!$AB$25="Alta",'Mapa final'!$AD$25="Moderado"),CONCATENATE("R8C",'Mapa final'!$R$25),"")</f>
        <v/>
      </c>
      <c r="Q57" s="149" t="str">
        <f>IF(AND('Mapa final'!$AB$26="Alta",'Mapa final'!$AD$26="Moderado"),CONCATENATE("R8C",'Mapa final'!$R$26),"")</f>
        <v/>
      </c>
      <c r="R57" s="150" t="str">
        <f>IF(AND('Mapa final'!$AB$27="Alta",'Mapa final'!$AD$27="Moderado"),CONCATENATE("R8C",'Mapa final'!$R$27),"")</f>
        <v/>
      </c>
      <c r="S57" s="148" t="str">
        <f>IF(AND('Mapa final'!$AB$25="Alta",'Mapa final'!$AD$25="Mayor"),CONCATENATE("R8C",'Mapa final'!$R$25),"")</f>
        <v/>
      </c>
      <c r="T57" s="149" t="str">
        <f>IF(AND('Mapa final'!$AB$26="Alta",'Mapa final'!$AD$26="Mayor"),CONCATENATE("R8C",'Mapa final'!$R$26),"")</f>
        <v/>
      </c>
      <c r="U57" s="150" t="str">
        <f>IF(AND('Mapa final'!$AB$27="Alta",'Mapa final'!$AD$27="Mayor"),CONCATENATE("R8C",'Mapa final'!$R$27),"")</f>
        <v/>
      </c>
      <c r="V57" s="114" t="str">
        <f>IF(AND('Mapa final'!$AB$25="Alta",'Mapa final'!$AD$25="Catastrófico"),CONCATENATE("R8C",'Mapa final'!$R$25),"")</f>
        <v/>
      </c>
      <c r="W57" s="142" t="str">
        <f>IF(AND('Mapa final'!$AB$26="Alta",'Mapa final'!$AD$26="Catastrófico"),CONCATENATE("R8C",'Mapa final'!$R$26),"")</f>
        <v/>
      </c>
      <c r="X57" s="115" t="str">
        <f>IF(AND('Mapa final'!$AB$27="Alta",'Mapa final'!$AD$27="Catastrófico"),CONCATENATE("R8C",'Mapa final'!$R$27),"")</f>
        <v/>
      </c>
      <c r="Y57" s="38"/>
      <c r="Z57" s="280"/>
      <c r="AA57" s="281"/>
      <c r="AB57" s="281"/>
      <c r="AC57" s="281"/>
      <c r="AD57" s="281"/>
      <c r="AE57" s="282"/>
      <c r="AF57" s="38"/>
      <c r="AG57" s="38"/>
      <c r="AH57" s="38"/>
      <c r="AI57" s="38"/>
      <c r="AJ57" s="38"/>
      <c r="AK57" s="38"/>
      <c r="AL57" s="38"/>
      <c r="AM57" s="38"/>
      <c r="AN57" s="38"/>
      <c r="AO57" s="38"/>
      <c r="AP57" s="38"/>
      <c r="AQ57" s="38"/>
      <c r="AR57" s="38"/>
      <c r="AS57" s="38"/>
      <c r="AT57" s="38"/>
      <c r="AU57" s="38"/>
      <c r="AV57" s="38"/>
      <c r="AW57" s="38"/>
      <c r="AX57" s="38"/>
      <c r="AY57" s="38"/>
      <c r="AZ57" s="38"/>
      <c r="BA57" s="38"/>
      <c r="BB57" s="38"/>
      <c r="BC57" s="38"/>
      <c r="BD57" s="38"/>
      <c r="BE57" s="38"/>
      <c r="BF57" s="38"/>
      <c r="BG57" s="38"/>
      <c r="BH57" s="38"/>
      <c r="BI57" s="38"/>
    </row>
    <row r="58" spans="1:61" ht="12" customHeight="1" x14ac:dyDescent="0.3">
      <c r="A58" s="38"/>
      <c r="B58" s="306"/>
      <c r="C58" s="307"/>
      <c r="D58" s="308"/>
      <c r="E58" s="290"/>
      <c r="F58" s="289"/>
      <c r="G58" s="289"/>
      <c r="H58" s="289"/>
      <c r="I58" s="289"/>
      <c r="J58" s="119" t="str">
        <f>IF(AND('Mapa final'!$AB$28="Alta",'Mapa final'!$AD$28="Leve"),CONCATENATE("R9C",'Mapa final'!$R$28),"")</f>
        <v/>
      </c>
      <c r="K58" s="143" t="str">
        <f>IF(AND('Mapa final'!$AB$29="Alta",'Mapa final'!$AD$29="Leve"),CONCATENATE("R9C",'Mapa final'!$R$29),"")</f>
        <v/>
      </c>
      <c r="L58" s="120" t="str">
        <f>IF(AND('Mapa final'!$AB$30="Alta",'Mapa final'!$AD$30="Leve"),CONCATENATE("R9C",'Mapa final'!$R$30),"")</f>
        <v/>
      </c>
      <c r="M58" s="119" t="str">
        <f>IF(AND('Mapa final'!$AB$28="Alta",'Mapa final'!$AD$28="Menor"),CONCATENATE("R9C",'Mapa final'!$R$28),"")</f>
        <v/>
      </c>
      <c r="N58" s="143" t="str">
        <f>IF(AND('Mapa final'!$AB$29="Alta",'Mapa final'!$AD$29="Menor"),CONCATENATE("R9C",'Mapa final'!$R$29),"")</f>
        <v/>
      </c>
      <c r="O58" s="120" t="str">
        <f>IF(AND('Mapa final'!$AB$30="Alta",'Mapa final'!$AD$30="Menor"),CONCATENATE("R9C",'Mapa final'!$R$30),"")</f>
        <v/>
      </c>
      <c r="P58" s="148" t="str">
        <f>IF(AND('Mapa final'!$AB$28="Alta",'Mapa final'!$AD$28="Moderado"),CONCATENATE("R9C",'Mapa final'!$R$28),"")</f>
        <v/>
      </c>
      <c r="Q58" s="149" t="str">
        <f>IF(AND('Mapa final'!$AB$29="Alta",'Mapa final'!$AD$29="Moderado"),CONCATENATE("R9C",'Mapa final'!$R$29),"")</f>
        <v/>
      </c>
      <c r="R58" s="150" t="str">
        <f>IF(AND('Mapa final'!$AB$30="Alta",'Mapa final'!$AD$30="Moderado"),CONCATENATE("R9C",'Mapa final'!$R$30),"")</f>
        <v/>
      </c>
      <c r="S58" s="148" t="str">
        <f>IF(AND('Mapa final'!$AB$28="Alta",'Mapa final'!$AD$28="Mayor"),CONCATENATE("R9C",'Mapa final'!$R$28),"")</f>
        <v/>
      </c>
      <c r="T58" s="149" t="str">
        <f>IF(AND('Mapa final'!$AB$29="Alta",'Mapa final'!$AD$29="Mayor"),CONCATENATE("R9C",'Mapa final'!$R$29),"")</f>
        <v/>
      </c>
      <c r="U58" s="150" t="str">
        <f>IF(AND('Mapa final'!$AB$30="Alta",'Mapa final'!$AD$30="Mayor"),CONCATENATE("R9C",'Mapa final'!$R$30),"")</f>
        <v/>
      </c>
      <c r="V58" s="114" t="str">
        <f>IF(AND('Mapa final'!$AB$28="Alta",'Mapa final'!$AD$28="Catastrófico"),CONCATENATE("R9C",'Mapa final'!$R$28),"")</f>
        <v/>
      </c>
      <c r="W58" s="142" t="str">
        <f>IF(AND('Mapa final'!$AB$29="Alta",'Mapa final'!$AD$29="Catastrófico"),CONCATENATE("R9C",'Mapa final'!$R$29),"")</f>
        <v/>
      </c>
      <c r="X58" s="115" t="str">
        <f>IF(AND('Mapa final'!$AB$30="Alta",'Mapa final'!$AD$30="Catastrófico"),CONCATENATE("R9C",'Mapa final'!$R$30),"")</f>
        <v/>
      </c>
      <c r="Y58" s="38"/>
      <c r="Z58" s="280"/>
      <c r="AA58" s="281"/>
      <c r="AB58" s="281"/>
      <c r="AC58" s="281"/>
      <c r="AD58" s="281"/>
      <c r="AE58" s="282"/>
      <c r="AF58" s="38"/>
      <c r="AG58" s="38"/>
      <c r="AH58" s="38"/>
      <c r="AI58" s="38"/>
      <c r="AJ58" s="38"/>
      <c r="AK58" s="38"/>
      <c r="AL58" s="38"/>
      <c r="AM58" s="38"/>
      <c r="AN58" s="38"/>
      <c r="AO58" s="38"/>
      <c r="AP58" s="38"/>
      <c r="AQ58" s="38"/>
      <c r="AR58" s="38"/>
      <c r="AS58" s="38"/>
      <c r="AT58" s="38"/>
      <c r="AU58" s="38"/>
      <c r="AV58" s="38"/>
      <c r="AW58" s="38"/>
      <c r="AX58" s="38"/>
      <c r="AY58" s="38"/>
      <c r="AZ58" s="38"/>
      <c r="BA58" s="38"/>
      <c r="BB58" s="38"/>
      <c r="BC58" s="38"/>
      <c r="BD58" s="38"/>
      <c r="BE58" s="38"/>
      <c r="BF58" s="38"/>
      <c r="BG58" s="38"/>
      <c r="BH58" s="38"/>
      <c r="BI58" s="38"/>
    </row>
    <row r="59" spans="1:61" ht="12" customHeight="1" x14ac:dyDescent="0.3">
      <c r="A59" s="38"/>
      <c r="B59" s="306"/>
      <c r="C59" s="307"/>
      <c r="D59" s="308"/>
      <c r="E59" s="290"/>
      <c r="F59" s="289"/>
      <c r="G59" s="289"/>
      <c r="H59" s="289"/>
      <c r="I59" s="289"/>
      <c r="J59" s="119" t="str">
        <f>IF(AND('Mapa final'!$AB$31="Alta",'Mapa final'!$AD$31="Leve"),CONCATENATE("R10C",'Mapa final'!$R$31),"")</f>
        <v/>
      </c>
      <c r="K59" s="143" t="str">
        <f>IF(AND('Mapa final'!$AB$32="Alta",'Mapa final'!$AD$32="Leve"),CONCATENATE("R10C",'Mapa final'!$R$32),"")</f>
        <v/>
      </c>
      <c r="L59" s="120" t="str">
        <f>IF(AND('Mapa final'!$AB$33="Alta",'Mapa final'!$AD$33="Leve"),CONCATENATE("R10C",'Mapa final'!$R$33),"")</f>
        <v/>
      </c>
      <c r="M59" s="119" t="str">
        <f>IF(AND('Mapa final'!$AB$31="Alta",'Mapa final'!$AD$31="Menor"),CONCATENATE("R10C",'Mapa final'!$R$31),"")</f>
        <v/>
      </c>
      <c r="N59" s="143" t="str">
        <f>IF(AND('Mapa final'!$AB$32="Alta",'Mapa final'!$AD$32="Menor"),CONCATENATE("R10C",'Mapa final'!$R$32),"")</f>
        <v/>
      </c>
      <c r="O59" s="120" t="str">
        <f>IF(AND('Mapa final'!$AB$33="Alta",'Mapa final'!$AD$33="Menor"),CONCATENATE("R10C",'Mapa final'!$R$33),"")</f>
        <v/>
      </c>
      <c r="P59" s="148" t="str">
        <f>IF(AND('Mapa final'!$AB$31="Alta",'Mapa final'!$AD$31="Moderado"),CONCATENATE("R10C",'Mapa final'!$R$31),"")</f>
        <v/>
      </c>
      <c r="Q59" s="149" t="str">
        <f>IF(AND('Mapa final'!$AB$32="Alta",'Mapa final'!$AD$32="Moderado"),CONCATENATE("R10C",'Mapa final'!$R$32),"")</f>
        <v/>
      </c>
      <c r="R59" s="150" t="str">
        <f>IF(AND('Mapa final'!$AB$33="Alta",'Mapa final'!$AD$33="Moderado"),CONCATENATE("R10C",'Mapa final'!$R$33),"")</f>
        <v/>
      </c>
      <c r="S59" s="148" t="str">
        <f>IF(AND('Mapa final'!$AB$31="Alta",'Mapa final'!$AD$31="Mayor"),CONCATENATE("R10C",'Mapa final'!$R$31),"")</f>
        <v/>
      </c>
      <c r="T59" s="149" t="str">
        <f>IF(AND('Mapa final'!$AB$32="Alta",'Mapa final'!$AD$32="Mayor"),CONCATENATE("R10C",'Mapa final'!$R$32),"")</f>
        <v/>
      </c>
      <c r="U59" s="150" t="str">
        <f>IF(AND('Mapa final'!$AB$33="Alta",'Mapa final'!$AD$33="Mayor"),CONCATENATE("R10C",'Mapa final'!$R$33),"")</f>
        <v/>
      </c>
      <c r="V59" s="114" t="str">
        <f>IF(AND('Mapa final'!$AB$31="Alta",'Mapa final'!$AD$31="Catastrófico"),CONCATENATE("R10C",'Mapa final'!$R$31),"")</f>
        <v/>
      </c>
      <c r="W59" s="142" t="str">
        <f>IF(AND('Mapa final'!$AB$32="Alta",'Mapa final'!$AD$32="Catastrófico"),CONCATENATE("R10C",'Mapa final'!$R$32),"")</f>
        <v/>
      </c>
      <c r="X59" s="115" t="str">
        <f>IF(AND('Mapa final'!$AB$33="Alta",'Mapa final'!$AD$33="Catastrófico"),CONCATENATE("R10C",'Mapa final'!$R$33),"")</f>
        <v/>
      </c>
      <c r="Y59" s="38"/>
      <c r="Z59" s="280"/>
      <c r="AA59" s="281"/>
      <c r="AB59" s="281"/>
      <c r="AC59" s="281"/>
      <c r="AD59" s="281"/>
      <c r="AE59" s="282"/>
      <c r="AF59" s="38"/>
      <c r="AG59" s="38"/>
      <c r="AH59" s="38"/>
      <c r="AI59" s="38"/>
      <c r="AJ59" s="38"/>
      <c r="AK59" s="38"/>
      <c r="AL59" s="38"/>
      <c r="AM59" s="38"/>
      <c r="AN59" s="38"/>
      <c r="AO59" s="38"/>
      <c r="AP59" s="38"/>
      <c r="AQ59" s="38"/>
      <c r="AR59" s="38"/>
      <c r="AS59" s="38"/>
      <c r="AT59" s="38"/>
      <c r="AU59" s="38"/>
      <c r="AV59" s="38"/>
      <c r="AW59" s="38"/>
      <c r="AX59" s="38"/>
      <c r="AY59" s="38"/>
      <c r="AZ59" s="38"/>
      <c r="BA59" s="38"/>
      <c r="BB59" s="38"/>
      <c r="BC59" s="38"/>
      <c r="BD59" s="38"/>
      <c r="BE59" s="38"/>
      <c r="BF59" s="38"/>
      <c r="BG59" s="38"/>
      <c r="BH59" s="38"/>
      <c r="BI59" s="38"/>
    </row>
    <row r="60" spans="1:61" ht="12" customHeight="1" x14ac:dyDescent="0.3">
      <c r="A60" s="38"/>
      <c r="B60" s="306"/>
      <c r="C60" s="307"/>
      <c r="D60" s="308"/>
      <c r="E60" s="290"/>
      <c r="F60" s="289"/>
      <c r="G60" s="289"/>
      <c r="H60" s="289"/>
      <c r="I60" s="289"/>
      <c r="J60" s="119" t="str">
        <f>IF(AND('Mapa final'!$AB$34="Alta",'Mapa final'!$AD$34="Leve"),CONCATENATE("R11C",'Mapa final'!$R$34),"")</f>
        <v/>
      </c>
      <c r="K60" s="143" t="str">
        <f>IF(AND('Mapa final'!$AB$35="Alta",'Mapa final'!$AD$35="Leve"),CONCATENATE("R11C",'Mapa final'!$R$35),"")</f>
        <v/>
      </c>
      <c r="L60" s="120" t="str">
        <f>IF(AND('Mapa final'!$AB$36="Alta",'Mapa final'!$AD$36="Leve"),CONCATENATE("R11C",'Mapa final'!$R$36),"")</f>
        <v/>
      </c>
      <c r="M60" s="119" t="str">
        <f>IF(AND('Mapa final'!$AB$34="Alta",'Mapa final'!$AD$34="Menor"),CONCATENATE("R11C",'Mapa final'!$R$34),"")</f>
        <v/>
      </c>
      <c r="N60" s="143" t="str">
        <f>IF(AND('Mapa final'!$AB$35="Alta",'Mapa final'!$AD$35="Menor"),CONCATENATE("R11C",'Mapa final'!$R$35),"")</f>
        <v/>
      </c>
      <c r="O60" s="120" t="str">
        <f>IF(AND('Mapa final'!$AB$36="Alta",'Mapa final'!$AD$36="Menor"),CONCATENATE("R11C",'Mapa final'!$R$36),"")</f>
        <v/>
      </c>
      <c r="P60" s="148" t="str">
        <f>IF(AND('Mapa final'!$AB$34="Alta",'Mapa final'!$AD$34="Moderado"),CONCATENATE("R11C",'Mapa final'!$R$34),"")</f>
        <v/>
      </c>
      <c r="Q60" s="149" t="str">
        <f>IF(AND('Mapa final'!$AB$35="Alta",'Mapa final'!$AD$35="Moderado"),CONCATENATE("R11C",'Mapa final'!$R$35),"")</f>
        <v/>
      </c>
      <c r="R60" s="150" t="str">
        <f>IF(AND('Mapa final'!$AB$36="Alta",'Mapa final'!$AD$36="Moderado"),CONCATENATE("R11C",'Mapa final'!$R$36),"")</f>
        <v/>
      </c>
      <c r="S60" s="148" t="str">
        <f>IF(AND('Mapa final'!$AB$34="Alta",'Mapa final'!$AD$34="Mayor"),CONCATENATE("R11C",'Mapa final'!$R$34),"")</f>
        <v/>
      </c>
      <c r="T60" s="149" t="str">
        <f>IF(AND('Mapa final'!$AB$35="Alta",'Mapa final'!$AD$35="Mayor"),CONCATENATE("R11C",'Mapa final'!$R$35),"")</f>
        <v/>
      </c>
      <c r="U60" s="150" t="str">
        <f>IF(AND('Mapa final'!$AB$36="Alta",'Mapa final'!$AD$36="Mayor"),CONCATENATE("R11C",'Mapa final'!$R$36),"")</f>
        <v/>
      </c>
      <c r="V60" s="114" t="str">
        <f>IF(AND('Mapa final'!$AB$34="Alta",'Mapa final'!$AD$34="Catastrófico"),CONCATENATE("R11C",'Mapa final'!$R$34),"")</f>
        <v/>
      </c>
      <c r="W60" s="142" t="str">
        <f>IF(AND('Mapa final'!$AB$35="Alta",'Mapa final'!$AD$35="Catastrófico"),CONCATENATE("R11C",'Mapa final'!$R$35),"")</f>
        <v/>
      </c>
      <c r="X60" s="115" t="str">
        <f>IF(AND('Mapa final'!$AB$36="Alta",'Mapa final'!$AD$36="Catastrófico"),CONCATENATE("R11C",'Mapa final'!$R$36),"")</f>
        <v/>
      </c>
      <c r="Y60" s="38"/>
      <c r="Z60" s="280"/>
      <c r="AA60" s="281"/>
      <c r="AB60" s="281"/>
      <c r="AC60" s="281"/>
      <c r="AD60" s="281"/>
      <c r="AE60" s="282"/>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row>
    <row r="61" spans="1:61" ht="12" customHeight="1" x14ac:dyDescent="0.3">
      <c r="A61" s="38"/>
      <c r="B61" s="306"/>
      <c r="C61" s="307"/>
      <c r="D61" s="308"/>
      <c r="E61" s="290"/>
      <c r="F61" s="289"/>
      <c r="G61" s="289"/>
      <c r="H61" s="289"/>
      <c r="I61" s="289"/>
      <c r="J61" s="119" t="str">
        <f>IF(AND('Mapa final'!$AB$37="Alta",'Mapa final'!$AD$37="Leve"),CONCATENATE("R12C",'Mapa final'!$R$37),"")</f>
        <v/>
      </c>
      <c r="K61" s="143" t="str">
        <f>IF(AND('Mapa final'!$AB$38="Alta",'Mapa final'!$AD$38="Leve"),CONCATENATE("R12C",'Mapa final'!$R$38),"")</f>
        <v/>
      </c>
      <c r="L61" s="120" t="str">
        <f>IF(AND('Mapa final'!$AB$39="Alta",'Mapa final'!$AD$39="Leve"),CONCATENATE("R12C",'Mapa final'!$R$39),"")</f>
        <v/>
      </c>
      <c r="M61" s="119" t="str">
        <f>IF(AND('Mapa final'!$AB$37="Alta",'Mapa final'!$AD$37="Menor"),CONCATENATE("R12C",'Mapa final'!$R$37),"")</f>
        <v/>
      </c>
      <c r="N61" s="143" t="str">
        <f>IF(AND('Mapa final'!$AB$38="Alta",'Mapa final'!$AD$38="Menor"),CONCATENATE("R12C",'Mapa final'!$R$38),"")</f>
        <v/>
      </c>
      <c r="O61" s="120" t="str">
        <f>IF(AND('Mapa final'!$AB$39="Alta",'Mapa final'!$AD$39="Menor"),CONCATENATE("R12C",'Mapa final'!$R$39),"")</f>
        <v/>
      </c>
      <c r="P61" s="148" t="str">
        <f>IF(AND('Mapa final'!$AB$37="Alta",'Mapa final'!$AD$37="Moderado"),CONCATENATE("R12C",'Mapa final'!$R$37),"")</f>
        <v/>
      </c>
      <c r="Q61" s="149" t="str">
        <f>IF(AND('Mapa final'!$AB$38="Alta",'Mapa final'!$AD$38="Moderado"),CONCATENATE("R12C",'Mapa final'!$R$38),"")</f>
        <v/>
      </c>
      <c r="R61" s="150" t="str">
        <f>IF(AND('Mapa final'!$AB$39="Alta",'Mapa final'!$AD$39="Moderado"),CONCATENATE("R12C",'Mapa final'!$R$39),"")</f>
        <v/>
      </c>
      <c r="S61" s="148" t="str">
        <f>IF(AND('Mapa final'!$AB$37="Alta",'Mapa final'!$AD$37="Mayor"),CONCATENATE("R12C",'Mapa final'!$R$37),"")</f>
        <v/>
      </c>
      <c r="T61" s="149" t="str">
        <f>IF(AND('Mapa final'!$AB$38="Alta",'Mapa final'!$AD$38="Mayor"),CONCATENATE("R12C",'Mapa final'!$R$38),"")</f>
        <v/>
      </c>
      <c r="U61" s="150" t="str">
        <f>IF(AND('Mapa final'!$AB$39="Alta",'Mapa final'!$AD$39="Mayor"),CONCATENATE("R12C",'Mapa final'!$R$39),"")</f>
        <v/>
      </c>
      <c r="V61" s="114" t="str">
        <f>IF(AND('Mapa final'!$AB$37="Alta",'Mapa final'!$AD$37="Catastrófico"),CONCATENATE("R12C",'Mapa final'!$R$37),"")</f>
        <v/>
      </c>
      <c r="W61" s="142" t="str">
        <f>IF(AND('Mapa final'!$AB$38="Alta",'Mapa final'!$AD$38="Catastrófico"),CONCATENATE("R12C",'Mapa final'!$R$38),"")</f>
        <v/>
      </c>
      <c r="X61" s="115" t="str">
        <f>IF(AND('Mapa final'!$AB$39="Alta",'Mapa final'!$AD$39="Catastrófico"),CONCATENATE("R12C",'Mapa final'!$R$39),"")</f>
        <v/>
      </c>
      <c r="Y61" s="38"/>
      <c r="Z61" s="280"/>
      <c r="AA61" s="281"/>
      <c r="AB61" s="281"/>
      <c r="AC61" s="281"/>
      <c r="AD61" s="281"/>
      <c r="AE61" s="282"/>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row>
    <row r="62" spans="1:61" ht="12" customHeight="1" x14ac:dyDescent="0.3">
      <c r="A62" s="38"/>
      <c r="B62" s="306"/>
      <c r="C62" s="307"/>
      <c r="D62" s="308"/>
      <c r="E62" s="290"/>
      <c r="F62" s="289"/>
      <c r="G62" s="289"/>
      <c r="H62" s="289"/>
      <c r="I62" s="289"/>
      <c r="J62" s="119" t="str">
        <f>IF(AND('Mapa final'!$AB$40="Alta",'Mapa final'!$AD$40="Leve"),CONCATENATE("R12C",'Mapa final'!$R$40),"")</f>
        <v/>
      </c>
      <c r="K62" s="143" t="str">
        <f>IF(AND('Mapa final'!$AB$41="Alta",'Mapa final'!$AD$41="Leve"),CONCATENATE("R13C",'Mapa final'!$R$41),"")</f>
        <v/>
      </c>
      <c r="L62" s="120" t="str">
        <f>IF(AND('Mapa final'!$AB$42="Alta",'Mapa final'!$AD$42="Leve"),CONCATENATE("R13C",'Mapa final'!$R$42),"")</f>
        <v/>
      </c>
      <c r="M62" s="119" t="str">
        <f>IF(AND('Mapa final'!$AB$40="Alta",'Mapa final'!$AD$40="Menor"),CONCATENATE("R12C",'Mapa final'!$R$40),"")</f>
        <v/>
      </c>
      <c r="N62" s="143" t="str">
        <f>IF(AND('Mapa final'!$AB$41="Alta",'Mapa final'!$AD$41="Menor"),CONCATENATE("R13C",'Mapa final'!$R$41),"")</f>
        <v/>
      </c>
      <c r="O62" s="120" t="str">
        <f>IF(AND('Mapa final'!$AB$42="Alta",'Mapa final'!$AD$42="Menor"),CONCATENATE("R13C",'Mapa final'!$R$42),"")</f>
        <v/>
      </c>
      <c r="P62" s="148" t="str">
        <f>IF(AND('Mapa final'!$AB$40="Alta",'Mapa final'!$AD$40="Moderado"),CONCATENATE("R12C",'Mapa final'!$R$40),"")</f>
        <v/>
      </c>
      <c r="Q62" s="149" t="str">
        <f>IF(AND('Mapa final'!$AB$41="Alta",'Mapa final'!$AD$41="Moderado"),CONCATENATE("R13C",'Mapa final'!$R$41),"")</f>
        <v/>
      </c>
      <c r="R62" s="150" t="str">
        <f>IF(AND('Mapa final'!$AB$42="Alta",'Mapa final'!$AD$42="Moderado"),CONCATENATE("R13C",'Mapa final'!$R$42),"")</f>
        <v/>
      </c>
      <c r="S62" s="148" t="str">
        <f>IF(AND('Mapa final'!$AB$40="Alta",'Mapa final'!$AD$40="Mayor"),CONCATENATE("R12C",'Mapa final'!$R$40),"")</f>
        <v/>
      </c>
      <c r="T62" s="149" t="str">
        <f>IF(AND('Mapa final'!$AB$41="Alta",'Mapa final'!$AD$41="Mayor"),CONCATENATE("R13C",'Mapa final'!$R$41),"")</f>
        <v/>
      </c>
      <c r="U62" s="150" t="str">
        <f>IF(AND('Mapa final'!$AB$42="Alta",'Mapa final'!$AD$42="Mayor"),CONCATENATE("R13C",'Mapa final'!$R$42),"")</f>
        <v/>
      </c>
      <c r="V62" s="114" t="str">
        <f>IF(AND('Mapa final'!$AB$40="Alta",'Mapa final'!$AD$40="Catastrófico"),CONCATENATE("R12C",'Mapa final'!$R$40),"")</f>
        <v/>
      </c>
      <c r="W62" s="142" t="str">
        <f>IF(AND('Mapa final'!$AB$41="Alta",'Mapa final'!$AD$41="Catastrófico"),CONCATENATE("R13C",'Mapa final'!$R$41),"")</f>
        <v/>
      </c>
      <c r="X62" s="115" t="str">
        <f>IF(AND('Mapa final'!$AB$42="Alta",'Mapa final'!$AD$42="Catastrófico"),CONCATENATE("R13C",'Mapa final'!$R$42),"")</f>
        <v/>
      </c>
      <c r="Y62" s="38"/>
      <c r="Z62" s="280"/>
      <c r="AA62" s="281"/>
      <c r="AB62" s="281"/>
      <c r="AC62" s="281"/>
      <c r="AD62" s="281"/>
      <c r="AE62" s="282"/>
      <c r="AF62" s="38"/>
      <c r="AG62" s="38"/>
      <c r="AH62" s="38"/>
      <c r="AI62" s="38"/>
      <c r="AJ62" s="38"/>
      <c r="AK62" s="38"/>
      <c r="AL62" s="38"/>
      <c r="AM62" s="38"/>
      <c r="AN62" s="38"/>
      <c r="AO62" s="38"/>
      <c r="AP62" s="38"/>
      <c r="AQ62" s="38"/>
      <c r="AR62" s="38"/>
      <c r="AS62" s="38"/>
      <c r="AT62" s="38"/>
      <c r="AU62" s="38"/>
      <c r="AV62" s="38"/>
      <c r="AW62" s="38"/>
      <c r="AX62" s="38"/>
      <c r="AY62" s="38"/>
      <c r="AZ62" s="38"/>
      <c r="BA62" s="38"/>
      <c r="BB62" s="38"/>
      <c r="BC62" s="38"/>
      <c r="BD62" s="38"/>
      <c r="BE62" s="38"/>
      <c r="BF62" s="38"/>
      <c r="BG62" s="38"/>
      <c r="BH62" s="38"/>
      <c r="BI62" s="38"/>
    </row>
    <row r="63" spans="1:61" ht="12" customHeight="1" x14ac:dyDescent="0.3">
      <c r="A63" s="38"/>
      <c r="B63" s="306"/>
      <c r="C63" s="307"/>
      <c r="D63" s="308"/>
      <c r="E63" s="290"/>
      <c r="F63" s="289"/>
      <c r="G63" s="289"/>
      <c r="H63" s="289"/>
      <c r="I63" s="289"/>
      <c r="J63" s="119" t="str">
        <f>IF(AND('Mapa final'!$AB$43="Alta",'Mapa final'!$AD$43="Leve"),CONCATENATE("R13C",'Mapa final'!$R$43),"")</f>
        <v/>
      </c>
      <c r="K63" s="143" t="str">
        <f>IF(AND('Mapa final'!$AB$44="Alta",'Mapa final'!$AD$44="Leve"),CONCATENATE("R14C",'Mapa final'!$R$44),"")</f>
        <v/>
      </c>
      <c r="L63" s="120" t="str">
        <f>IF(AND('Mapa final'!$AB$45="Alta",'Mapa final'!$AD$45="Leve"),CONCATENATE("R14C",'Mapa final'!$R$45),"")</f>
        <v/>
      </c>
      <c r="M63" s="119" t="str">
        <f>IF(AND('Mapa final'!$AB$43="Alta",'Mapa final'!$AD$43="Menor"),CONCATENATE("R13C",'Mapa final'!$R$43),"")</f>
        <v/>
      </c>
      <c r="N63" s="143" t="str">
        <f>IF(AND('Mapa final'!$AB$44="Alta",'Mapa final'!$AD$44="Menor"),CONCATENATE("R14C",'Mapa final'!$R$44),"")</f>
        <v/>
      </c>
      <c r="O63" s="120" t="str">
        <f>IF(AND('Mapa final'!$AB$45="Alta",'Mapa final'!$AD$45="Menor"),CONCATENATE("R14C",'Mapa final'!$R$45),"")</f>
        <v/>
      </c>
      <c r="P63" s="148" t="str">
        <f>IF(AND('Mapa final'!$AB$43="Alta",'Mapa final'!$AD$43="Moderado"),CONCATENATE("R13C",'Mapa final'!$R$43),"")</f>
        <v/>
      </c>
      <c r="Q63" s="149" t="str">
        <f>IF(AND('Mapa final'!$AB$44="Alta",'Mapa final'!$AD$44="Moderado"),CONCATENATE("R14C",'Mapa final'!$R$44),"")</f>
        <v/>
      </c>
      <c r="R63" s="150" t="str">
        <f>IF(AND('Mapa final'!$AB$45="Alta",'Mapa final'!$AD$45="Moderado"),CONCATENATE("R14C",'Mapa final'!$R$45),"")</f>
        <v/>
      </c>
      <c r="S63" s="148" t="str">
        <f>IF(AND('Mapa final'!$AB$43="Alta",'Mapa final'!$AD$43="Mayor"),CONCATENATE("R13C",'Mapa final'!$R$43),"")</f>
        <v/>
      </c>
      <c r="T63" s="149" t="str">
        <f>IF(AND('Mapa final'!$AB$44="Alta",'Mapa final'!$AD$44="Mayor"),CONCATENATE("R14C",'Mapa final'!$R$44),"")</f>
        <v/>
      </c>
      <c r="U63" s="150" t="str">
        <f>IF(AND('Mapa final'!$AB$45="Alta",'Mapa final'!$AD$45="Mayor"),CONCATENATE("R14C",'Mapa final'!$R$45),"")</f>
        <v/>
      </c>
      <c r="V63" s="114" t="str">
        <f>IF(AND('Mapa final'!$AB$43="Alta",'Mapa final'!$AD$43="Catastrófico"),CONCATENATE("R13C",'Mapa final'!$R$43),"")</f>
        <v/>
      </c>
      <c r="W63" s="142" t="str">
        <f>IF(AND('Mapa final'!$AB$44="Alta",'Mapa final'!$AD$44="Catastrófico"),CONCATENATE("R14C",'Mapa final'!$R$44),"")</f>
        <v/>
      </c>
      <c r="X63" s="115" t="str">
        <f>IF(AND('Mapa final'!$AB$45="Alta",'Mapa final'!$AD$45="Catastrófico"),CONCATENATE("R14C",'Mapa final'!$R$45),"")</f>
        <v/>
      </c>
      <c r="Y63" s="38"/>
      <c r="Z63" s="280"/>
      <c r="AA63" s="281"/>
      <c r="AB63" s="281"/>
      <c r="AC63" s="281"/>
      <c r="AD63" s="281"/>
      <c r="AE63" s="282"/>
      <c r="AF63" s="38"/>
      <c r="AG63" s="38"/>
      <c r="AH63" s="38"/>
      <c r="AI63" s="38"/>
      <c r="AJ63" s="38"/>
      <c r="AK63" s="38"/>
      <c r="AL63" s="38"/>
      <c r="AM63" s="38"/>
      <c r="AN63" s="38"/>
      <c r="AO63" s="38"/>
      <c r="AP63" s="38"/>
      <c r="AQ63" s="38"/>
      <c r="AR63" s="38"/>
      <c r="AS63" s="38"/>
      <c r="AT63" s="38"/>
      <c r="AU63" s="38"/>
      <c r="AV63" s="38"/>
      <c r="AW63" s="38"/>
      <c r="AX63" s="38"/>
      <c r="AY63" s="38"/>
      <c r="AZ63" s="38"/>
      <c r="BA63" s="38"/>
      <c r="BB63" s="38"/>
      <c r="BC63" s="38"/>
      <c r="BD63" s="38"/>
      <c r="BE63" s="38"/>
      <c r="BF63" s="38"/>
      <c r="BG63" s="38"/>
      <c r="BH63" s="38"/>
      <c r="BI63" s="38"/>
    </row>
    <row r="64" spans="1:61" ht="15" customHeight="1" x14ac:dyDescent="0.3">
      <c r="A64" s="38"/>
      <c r="B64" s="306"/>
      <c r="C64" s="307"/>
      <c r="D64" s="308"/>
      <c r="E64" s="290"/>
      <c r="F64" s="289"/>
      <c r="G64" s="289"/>
      <c r="H64" s="289"/>
      <c r="I64" s="289"/>
      <c r="J64" s="119" t="str">
        <f>IF(AND('Mapa final'!$AB$46="Alta",'Mapa final'!$AD$46="Leve"),CONCATENATE("R14C",'Mapa final'!$R$46),"")</f>
        <v/>
      </c>
      <c r="K64" s="143" t="str">
        <f>IF(AND('Mapa final'!$AB$47="Alta",'Mapa final'!$AD$47="Leve"),CONCATENATE("R14C",'Mapa final'!$R$47),"")</f>
        <v/>
      </c>
      <c r="L64" s="120" t="str">
        <f>IF(AND('Mapa final'!$AB$48="Alta",'Mapa final'!$AD$48="Leve"),CONCATENATE("R14C",'Mapa final'!$R$48),"")</f>
        <v/>
      </c>
      <c r="M64" s="119" t="str">
        <f>IF(AND('Mapa final'!$AB$46="Alta",'Mapa final'!$AD$46="Menor"),CONCATENATE("R14C",'Mapa final'!$R$46),"")</f>
        <v/>
      </c>
      <c r="N64" s="143" t="str">
        <f>IF(AND('Mapa final'!$AB$47="Alta",'Mapa final'!$AD$47="Menor"),CONCATENATE("R14C",'Mapa final'!$R$47),"")</f>
        <v/>
      </c>
      <c r="O64" s="120" t="str">
        <f>IF(AND('Mapa final'!$AB$48="Alta",'Mapa final'!$AD$48="Menor"),CONCATENATE("R14C",'Mapa final'!$R$48),"")</f>
        <v/>
      </c>
      <c r="P64" s="148" t="str">
        <f>IF(AND('Mapa final'!$AB$46="Alta",'Mapa final'!$AD$46="Moderado"),CONCATENATE("R14C",'Mapa final'!$R$46),"")</f>
        <v/>
      </c>
      <c r="Q64" s="149" t="str">
        <f>IF(AND('Mapa final'!$AB$47="Alta",'Mapa final'!$AD$47="Moderado"),CONCATENATE("R14C",'Mapa final'!$R$47),"")</f>
        <v/>
      </c>
      <c r="R64" s="150" t="str">
        <f>IF(AND('Mapa final'!$AB$48="Alta",'Mapa final'!$AD$48="Moderado"),CONCATENATE("R14C",'Mapa final'!$R$48),"")</f>
        <v/>
      </c>
      <c r="S64" s="148" t="str">
        <f>IF(AND('Mapa final'!$AB$46="Alta",'Mapa final'!$AD$46="Mayor"),CONCATENATE("R14C",'Mapa final'!$R$46),"")</f>
        <v/>
      </c>
      <c r="T64" s="149" t="str">
        <f>IF(AND('Mapa final'!$AB$47="Alta",'Mapa final'!$AD$47="Mayor"),CONCATENATE("R14C",'Mapa final'!$R$47),"")</f>
        <v/>
      </c>
      <c r="U64" s="150" t="str">
        <f>IF(AND('Mapa final'!$AB$48="Alta",'Mapa final'!$AD$48="Mayor"),CONCATENATE("R14C",'Mapa final'!$R$48),"")</f>
        <v/>
      </c>
      <c r="V64" s="114" t="str">
        <f>IF(AND('Mapa final'!$AB$46="Alta",'Mapa final'!$AD$46="Catastrófico"),CONCATENATE("R14C",'Mapa final'!$R$46),"")</f>
        <v/>
      </c>
      <c r="W64" s="142" t="str">
        <f>IF(AND('Mapa final'!$AB$47="Alta",'Mapa final'!$AD$47="Catastrófico"),CONCATENATE("R14C",'Mapa final'!$R$47),"")</f>
        <v/>
      </c>
      <c r="X64" s="115" t="str">
        <f>IF(AND('Mapa final'!$AB$48="Alta",'Mapa final'!$AD$48="Catastrófico"),CONCATENATE("R14C",'Mapa final'!$R$48),"")</f>
        <v/>
      </c>
      <c r="Y64" s="38"/>
      <c r="Z64" s="280"/>
      <c r="AA64" s="281"/>
      <c r="AB64" s="281"/>
      <c r="AC64" s="281"/>
      <c r="AD64" s="281"/>
      <c r="AE64" s="282"/>
      <c r="AF64" s="38"/>
      <c r="AG64" s="38"/>
      <c r="AH64" s="38"/>
      <c r="AI64" s="38"/>
      <c r="AJ64" s="38"/>
      <c r="AK64" s="38"/>
      <c r="AL64" s="38"/>
      <c r="AM64" s="38"/>
      <c r="AN64" s="38"/>
      <c r="AO64" s="38"/>
      <c r="AP64" s="38"/>
      <c r="AQ64" s="38"/>
      <c r="AR64" s="38"/>
      <c r="AS64" s="38"/>
      <c r="AT64" s="38"/>
      <c r="AU64" s="38"/>
      <c r="AV64" s="38"/>
      <c r="AW64" s="38"/>
      <c r="AX64" s="38"/>
      <c r="AY64" s="38"/>
      <c r="AZ64" s="38"/>
      <c r="BA64" s="38"/>
      <c r="BB64" s="38"/>
      <c r="BC64" s="38"/>
      <c r="BD64" s="38"/>
      <c r="BE64" s="38"/>
      <c r="BF64" s="38"/>
      <c r="BG64" s="38"/>
      <c r="BH64" s="38"/>
      <c r="BI64" s="38"/>
    </row>
    <row r="65" spans="1:61" ht="15" customHeight="1" x14ac:dyDescent="0.3">
      <c r="A65" s="38"/>
      <c r="B65" s="306"/>
      <c r="C65" s="307"/>
      <c r="D65" s="308"/>
      <c r="E65" s="290"/>
      <c r="F65" s="289"/>
      <c r="G65" s="289"/>
      <c r="H65" s="289"/>
      <c r="I65" s="289"/>
      <c r="J65" s="119" t="str">
        <f>IF(AND('Mapa final'!$AB$49="Alta",'Mapa final'!$AD$49="Leve"),CONCATENATE("R15C",'Mapa final'!$R$49),"")</f>
        <v/>
      </c>
      <c r="K65" s="143" t="str">
        <f>IF(AND('Mapa final'!$AB$50="Alta",'Mapa final'!$AD$50="Leve"),CONCATENATE("R15C",'Mapa final'!$R$50),"")</f>
        <v/>
      </c>
      <c r="L65" s="120" t="str">
        <f>IF(AND('Mapa final'!$AB$51="Alta",'Mapa final'!$AD$51="Leve"),CONCATENATE("R15C",'Mapa final'!$R$51),"")</f>
        <v/>
      </c>
      <c r="M65" s="119" t="str">
        <f>IF(AND('Mapa final'!$AB$49="Alta",'Mapa final'!$AD$49="Menor"),CONCATENATE("R15C",'Mapa final'!$R$49),"")</f>
        <v/>
      </c>
      <c r="N65" s="143" t="str">
        <f>IF(AND('Mapa final'!$AB$50="Alta",'Mapa final'!$AD$50="Menor"),CONCATENATE("R15C",'Mapa final'!$R$50),"")</f>
        <v/>
      </c>
      <c r="O65" s="120" t="str">
        <f>IF(AND('Mapa final'!$AB$51="Alta",'Mapa final'!$AD$51="Menor"),CONCATENATE("R15C",'Mapa final'!$R$51),"")</f>
        <v/>
      </c>
      <c r="P65" s="148" t="str">
        <f>IF(AND('Mapa final'!$AB$49="Alta",'Mapa final'!$AD$49="Moderado"),CONCATENATE("R15C",'Mapa final'!$R$49),"")</f>
        <v/>
      </c>
      <c r="Q65" s="149" t="str">
        <f>IF(AND('Mapa final'!$AB$50="Alta",'Mapa final'!$AD$50="Moderado"),CONCATENATE("R15C",'Mapa final'!$R$50),"")</f>
        <v/>
      </c>
      <c r="R65" s="150" t="str">
        <f>IF(AND('Mapa final'!$AB$51="Alta",'Mapa final'!$AD$51="Moderado"),CONCATENATE("R15C",'Mapa final'!$R$51),"")</f>
        <v/>
      </c>
      <c r="S65" s="148" t="str">
        <f>IF(AND('Mapa final'!$AB$49="Alta",'Mapa final'!$AD$49="Mayor"),CONCATENATE("R15C",'Mapa final'!$R$49),"")</f>
        <v/>
      </c>
      <c r="T65" s="149" t="str">
        <f>IF(AND('Mapa final'!$AB$50="Alta",'Mapa final'!$AD$50="Mayor"),CONCATENATE("R15C",'Mapa final'!$R$50),"")</f>
        <v/>
      </c>
      <c r="U65" s="150" t="str">
        <f>IF(AND('Mapa final'!$AB$51="Alta",'Mapa final'!$AD$51="Mayor"),CONCATENATE("R15C",'Mapa final'!$R$51),"")</f>
        <v/>
      </c>
      <c r="V65" s="114" t="str">
        <f>IF(AND('Mapa final'!$AB$49="Alta",'Mapa final'!$AD$49="Catastrófico"),CONCATENATE("R15C",'Mapa final'!$R$49),"")</f>
        <v/>
      </c>
      <c r="W65" s="142" t="str">
        <f>IF(AND('Mapa final'!$AB$50="Alta",'Mapa final'!$AD$50="Catastrófico"),CONCATENATE("R15C",'Mapa final'!$R$50),"")</f>
        <v/>
      </c>
      <c r="X65" s="115" t="str">
        <f>IF(AND('Mapa final'!$AB$51="Alta",'Mapa final'!$AD$51="Catastrófico"),CONCATENATE("R15C",'Mapa final'!$R$51),"")</f>
        <v/>
      </c>
      <c r="Y65" s="38"/>
      <c r="Z65" s="280"/>
      <c r="AA65" s="281"/>
      <c r="AB65" s="281"/>
      <c r="AC65" s="281"/>
      <c r="AD65" s="281"/>
      <c r="AE65" s="282"/>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38"/>
      <c r="BG65" s="38"/>
      <c r="BH65" s="38"/>
      <c r="BI65" s="38"/>
    </row>
    <row r="66" spans="1:61" ht="15" customHeight="1" x14ac:dyDescent="0.3">
      <c r="A66" s="38"/>
      <c r="B66" s="306"/>
      <c r="C66" s="307"/>
      <c r="D66" s="308"/>
      <c r="E66" s="290"/>
      <c r="F66" s="289"/>
      <c r="G66" s="289"/>
      <c r="H66" s="289"/>
      <c r="I66" s="289"/>
      <c r="J66" s="119" t="str">
        <f>IF(AND('Mapa final'!$AB$52="Alta",'Mapa final'!$AD$52="Leve"),CONCATENATE("R16C",'Mapa final'!$R$52),"")</f>
        <v/>
      </c>
      <c r="K66" s="143" t="str">
        <f>IF(AND('Mapa final'!$AB$53="Alta",'Mapa final'!$AD$53="Leve"),CONCATENATE("R16C",'Mapa final'!$R$53),"")</f>
        <v/>
      </c>
      <c r="L66" s="120" t="str">
        <f>IF(AND('Mapa final'!$AB$54="Alta",'Mapa final'!$AD$54="Leve"),CONCATENATE("R16C",'Mapa final'!$R$54),"")</f>
        <v/>
      </c>
      <c r="M66" s="119" t="str">
        <f>IF(AND('Mapa final'!$AB$52="Alta",'Mapa final'!$AD$52="Menor"),CONCATENATE("R16C",'Mapa final'!$R$52),"")</f>
        <v/>
      </c>
      <c r="N66" s="143" t="str">
        <f>IF(AND('Mapa final'!$AB$53="Alta",'Mapa final'!$AD$53="Menor"),CONCATENATE("R16C",'Mapa final'!$R$53),"")</f>
        <v/>
      </c>
      <c r="O66" s="120" t="str">
        <f>IF(AND('Mapa final'!$AB$54="Alta",'Mapa final'!$AD$54="Menor"),CONCATENATE("R16C",'Mapa final'!$R$54),"")</f>
        <v/>
      </c>
      <c r="P66" s="148" t="str">
        <f>IF(AND('Mapa final'!$AB$52="Alta",'Mapa final'!$AD$52="Moderado"),CONCATENATE("R16C",'Mapa final'!$R$52),"")</f>
        <v/>
      </c>
      <c r="Q66" s="149" t="str">
        <f>IF(AND('Mapa final'!$AB$53="Alta",'Mapa final'!$AD$53="Moderado"),CONCATENATE("R16C",'Mapa final'!$R$53),"")</f>
        <v/>
      </c>
      <c r="R66" s="150" t="str">
        <f>IF(AND('Mapa final'!$AB$54="Alta",'Mapa final'!$AD$54="Moderado"),CONCATENATE("R16C",'Mapa final'!$R$54),"")</f>
        <v/>
      </c>
      <c r="S66" s="148" t="str">
        <f>IF(AND('Mapa final'!$AB$52="Alta",'Mapa final'!$AD$52="Mayor"),CONCATENATE("R16C",'Mapa final'!$R$52),"")</f>
        <v/>
      </c>
      <c r="T66" s="149" t="str">
        <f>IF(AND('Mapa final'!$AB$53="Alta",'Mapa final'!$AD$53="Mayor"),CONCATENATE("R16C",'Mapa final'!$R$53),"")</f>
        <v/>
      </c>
      <c r="U66" s="150" t="str">
        <f>IF(AND('Mapa final'!$AB$54="Alta",'Mapa final'!$AD$54="Mayor"),CONCATENATE("R16C",'Mapa final'!$R$54),"")</f>
        <v/>
      </c>
      <c r="V66" s="114" t="str">
        <f>IF(AND('Mapa final'!$AB$52="Alta",'Mapa final'!$AD$52="Catastrófico"),CONCATENATE("R16C",'Mapa final'!$R$52),"")</f>
        <v/>
      </c>
      <c r="W66" s="142" t="str">
        <f>IF(AND('Mapa final'!$AB$53="Alta",'Mapa final'!$AD$53="Catastrófico"),CONCATENATE("R16C",'Mapa final'!$R$53),"")</f>
        <v/>
      </c>
      <c r="X66" s="115" t="str">
        <f>IF(AND('Mapa final'!$AB$54="Alta",'Mapa final'!$AD$54="Catastrófico"),CONCATENATE("R16C",'Mapa final'!$R$54),"")</f>
        <v/>
      </c>
      <c r="Y66" s="38"/>
      <c r="Z66" s="280"/>
      <c r="AA66" s="281"/>
      <c r="AB66" s="281"/>
      <c r="AC66" s="281"/>
      <c r="AD66" s="281"/>
      <c r="AE66" s="282"/>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row>
    <row r="67" spans="1:61" ht="15" customHeight="1" x14ac:dyDescent="0.3">
      <c r="A67" s="38"/>
      <c r="B67" s="306"/>
      <c r="C67" s="307"/>
      <c r="D67" s="308"/>
      <c r="E67" s="290"/>
      <c r="F67" s="289"/>
      <c r="G67" s="289"/>
      <c r="H67" s="289"/>
      <c r="I67" s="289"/>
      <c r="J67" s="119" t="str">
        <f>IF(AND('Mapa final'!$AB$55="Alta",'Mapa final'!$AD$55="Leve"),CONCATENATE("R17C",'Mapa final'!$R$55),"")</f>
        <v/>
      </c>
      <c r="K67" s="143" t="str">
        <f>IF(AND('Mapa final'!$AB$56="Alta",'Mapa final'!$AD$56="Leve"),CONCATENATE("R17C",'Mapa final'!$R$56),"")</f>
        <v/>
      </c>
      <c r="L67" s="120" t="str">
        <f>IF(AND('Mapa final'!$AB$57="Alta",'Mapa final'!$AD$57="Leve"),CONCATENATE("R17C",'Mapa final'!$R$57),"")</f>
        <v/>
      </c>
      <c r="M67" s="119" t="str">
        <f>IF(AND('Mapa final'!$AB$55="Alta",'Mapa final'!$AD$55="Menor"),CONCATENATE("R17C",'Mapa final'!$R$55),"")</f>
        <v/>
      </c>
      <c r="N67" s="143" t="str">
        <f>IF(AND('Mapa final'!$AB$56="Alta",'Mapa final'!$AD$56="Menor"),CONCATENATE("R17C",'Mapa final'!$R$56),"")</f>
        <v/>
      </c>
      <c r="O67" s="120" t="str">
        <f>IF(AND('Mapa final'!$AB$57="Alta",'Mapa final'!$AD$57="Menor"),CONCATENATE("R17C",'Mapa final'!$R$57),"")</f>
        <v/>
      </c>
      <c r="P67" s="148" t="str">
        <f>IF(AND('Mapa final'!$AB$55="Alta",'Mapa final'!$AD$55="Moderado"),CONCATENATE("R17C",'Mapa final'!$R$55),"")</f>
        <v/>
      </c>
      <c r="Q67" s="149" t="str">
        <f>IF(AND('Mapa final'!$AB$56="Alta",'Mapa final'!$AD$56="Moderado"),CONCATENATE("R17C",'Mapa final'!$R$56),"")</f>
        <v/>
      </c>
      <c r="R67" s="150" t="str">
        <f>IF(AND('Mapa final'!$AB$57="Alta",'Mapa final'!$AD$57="Moderado"),CONCATENATE("R17C",'Mapa final'!$R$57),"")</f>
        <v/>
      </c>
      <c r="S67" s="148" t="str">
        <f>IF(AND('Mapa final'!$AB$55="Alta",'Mapa final'!$AD$55="Mayor"),CONCATENATE("R17C",'Mapa final'!$R$55),"")</f>
        <v/>
      </c>
      <c r="T67" s="149" t="str">
        <f>IF(AND('Mapa final'!$AB$56="Alta",'Mapa final'!$AD$56="Mayor"),CONCATENATE("R17C",'Mapa final'!$R$56),"")</f>
        <v/>
      </c>
      <c r="U67" s="150" t="str">
        <f>IF(AND('Mapa final'!$AB$57="Alta",'Mapa final'!$AD$57="Mayor"),CONCATENATE("R17C",'Mapa final'!$R$57),"")</f>
        <v/>
      </c>
      <c r="V67" s="114" t="str">
        <f>IF(AND('Mapa final'!$AB$55="Alta",'Mapa final'!$AD$55="Catastrófico"),CONCATENATE("R17C",'Mapa final'!$R$55),"")</f>
        <v/>
      </c>
      <c r="W67" s="142" t="str">
        <f>IF(AND('Mapa final'!$AB$56="Alta",'Mapa final'!$AD$56="Catastrófico"),CONCATENATE("R17C",'Mapa final'!$R$56),"")</f>
        <v/>
      </c>
      <c r="X67" s="115" t="str">
        <f>IF(AND('Mapa final'!$AB$57="Alta",'Mapa final'!$AD$57="Catastrófico"),CONCATENATE("R17C",'Mapa final'!$R$57),"")</f>
        <v/>
      </c>
      <c r="Y67" s="38"/>
      <c r="Z67" s="280"/>
      <c r="AA67" s="281"/>
      <c r="AB67" s="281"/>
      <c r="AC67" s="281"/>
      <c r="AD67" s="281"/>
      <c r="AE67" s="282"/>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38"/>
      <c r="BF67" s="38"/>
      <c r="BG67" s="38"/>
      <c r="BH67" s="38"/>
      <c r="BI67" s="38"/>
    </row>
    <row r="68" spans="1:61" ht="15" customHeight="1" x14ac:dyDescent="0.3">
      <c r="A68" s="38"/>
      <c r="B68" s="306"/>
      <c r="C68" s="307"/>
      <c r="D68" s="308"/>
      <c r="E68" s="290"/>
      <c r="F68" s="289"/>
      <c r="G68" s="289"/>
      <c r="H68" s="289"/>
      <c r="I68" s="289"/>
      <c r="J68" s="119" t="str">
        <f>IF(AND('Mapa final'!$AB$58="Alta",'Mapa final'!$AD$58="Leve"),CONCATENATE("R18C",'Mapa final'!$R$58),"")</f>
        <v/>
      </c>
      <c r="K68" s="143" t="str">
        <f>IF(AND('Mapa final'!$AB$59="Alta",'Mapa final'!$AD$59="Leve"),CONCATENATE("R18C",'Mapa final'!$R$59),"")</f>
        <v/>
      </c>
      <c r="L68" s="120" t="str">
        <f>IF(AND('Mapa final'!$AB$60="Alta",'Mapa final'!$AD$60="Leve"),CONCATENATE("R18C",'Mapa final'!$R$60),"")</f>
        <v/>
      </c>
      <c r="M68" s="119" t="str">
        <f>IF(AND('Mapa final'!$AB$58="Alta",'Mapa final'!$AD$58="Menor"),CONCATENATE("R18C",'Mapa final'!$R$58),"")</f>
        <v/>
      </c>
      <c r="N68" s="143" t="str">
        <f>IF(AND('Mapa final'!$AB$59="Alta",'Mapa final'!$AD$59="Menor"),CONCATENATE("R18C",'Mapa final'!$R$59),"")</f>
        <v/>
      </c>
      <c r="O68" s="120" t="str">
        <f>IF(AND('Mapa final'!$AB$60="Alta",'Mapa final'!$AD$60="Menor"),CONCATENATE("R18C",'Mapa final'!$R$60),"")</f>
        <v/>
      </c>
      <c r="P68" s="148" t="str">
        <f>IF(AND('Mapa final'!$AB$58="Alta",'Mapa final'!$AD$58="Moderado"),CONCATENATE("R18C",'Mapa final'!$R$58),"")</f>
        <v/>
      </c>
      <c r="Q68" s="149" t="str">
        <f>IF(AND('Mapa final'!$AB$59="Alta",'Mapa final'!$AD$59="Moderado"),CONCATENATE("R18C",'Mapa final'!$R$59),"")</f>
        <v/>
      </c>
      <c r="R68" s="150" t="str">
        <f>IF(AND('Mapa final'!$AB$60="Alta",'Mapa final'!$AD$60="Moderado"),CONCATENATE("R18C",'Mapa final'!$R$60),"")</f>
        <v/>
      </c>
      <c r="S68" s="148" t="str">
        <f>IF(AND('Mapa final'!$AB$58="Alta",'Mapa final'!$AD$58="Mayor"),CONCATENATE("R18C",'Mapa final'!$R$58),"")</f>
        <v/>
      </c>
      <c r="T68" s="149" t="str">
        <f>IF(AND('Mapa final'!$AB$59="Alta",'Mapa final'!$AD$59="Mayor"),CONCATENATE("R18C",'Mapa final'!$R$59),"")</f>
        <v/>
      </c>
      <c r="U68" s="150" t="str">
        <f>IF(AND('Mapa final'!$AB$60="Alta",'Mapa final'!$AD$60="Mayor"),CONCATENATE("R18C",'Mapa final'!$R$60),"")</f>
        <v/>
      </c>
      <c r="V68" s="114" t="str">
        <f>IF(AND('Mapa final'!$AB$58="Alta",'Mapa final'!$AD$58="Catastrófico"),CONCATENATE("R18C",'Mapa final'!$R$58),"")</f>
        <v/>
      </c>
      <c r="W68" s="142" t="str">
        <f>IF(AND('Mapa final'!$AB$59="Alta",'Mapa final'!$AD$59="Catastrófico"),CONCATENATE("R18C",'Mapa final'!$R$59),"")</f>
        <v/>
      </c>
      <c r="X68" s="115" t="str">
        <f>IF(AND('Mapa final'!$AB$60="Alta",'Mapa final'!$AD$60="Catastrófico"),CONCATENATE("R18C",'Mapa final'!$R$60),"")</f>
        <v/>
      </c>
      <c r="Y68" s="38"/>
      <c r="Z68" s="280"/>
      <c r="AA68" s="281"/>
      <c r="AB68" s="281"/>
      <c r="AC68" s="281"/>
      <c r="AD68" s="281"/>
      <c r="AE68" s="282"/>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38"/>
      <c r="BI68" s="38"/>
    </row>
    <row r="69" spans="1:61" ht="15" customHeight="1" x14ac:dyDescent="0.3">
      <c r="A69" s="38"/>
      <c r="B69" s="306"/>
      <c r="C69" s="307"/>
      <c r="D69" s="308"/>
      <c r="E69" s="290"/>
      <c r="F69" s="289"/>
      <c r="G69" s="289"/>
      <c r="H69" s="289"/>
      <c r="I69" s="289"/>
      <c r="J69" s="119" t="str">
        <f>IF(AND('Mapa final'!$AB$61="Alta",'Mapa final'!$AD$61="Leve"),CONCATENATE("R19C",'Mapa final'!$R$61),"")</f>
        <v/>
      </c>
      <c r="K69" s="143" t="str">
        <f>IF(AND('Mapa final'!$AB$62="Alta",'Mapa final'!$AD$62="Leve"),CONCATENATE("R19C",'Mapa final'!$R$62),"")</f>
        <v/>
      </c>
      <c r="L69" s="120" t="str">
        <f>IF(AND('Mapa final'!$AB$63="Alta",'Mapa final'!$AD$63="Leve"),CONCATENATE("R19C",'Mapa final'!$R$63),"")</f>
        <v/>
      </c>
      <c r="M69" s="119" t="str">
        <f>IF(AND('Mapa final'!$AB$61="Alta",'Mapa final'!$AD$61="Menor"),CONCATENATE("R19C",'Mapa final'!$R$61),"")</f>
        <v/>
      </c>
      <c r="N69" s="143" t="str">
        <f>IF(AND('Mapa final'!$AB$62="Alta",'Mapa final'!$AD$62="Menor"),CONCATENATE("R19C",'Mapa final'!$R$62),"")</f>
        <v/>
      </c>
      <c r="O69" s="120" t="str">
        <f>IF(AND('Mapa final'!$AB$63="Alta",'Mapa final'!$AD$63="Menor"),CONCATENATE("R19C",'Mapa final'!$R$63),"")</f>
        <v/>
      </c>
      <c r="P69" s="148" t="str">
        <f>IF(AND('Mapa final'!$AB$61="Alta",'Mapa final'!$AD$61="Moderado"),CONCATENATE("R19C",'Mapa final'!$R$61),"")</f>
        <v/>
      </c>
      <c r="Q69" s="149" t="str">
        <f>IF(AND('Mapa final'!$AB$62="Alta",'Mapa final'!$AD$62="Moderado"),CONCATENATE("R19C",'Mapa final'!$R$62),"")</f>
        <v/>
      </c>
      <c r="R69" s="150" t="str">
        <f>IF(AND('Mapa final'!$AB$63="Alta",'Mapa final'!$AD$63="Moderado"),CONCATENATE("R19C",'Mapa final'!$R$63),"")</f>
        <v/>
      </c>
      <c r="S69" s="148" t="str">
        <f>IF(AND('Mapa final'!$AB$61="Alta",'Mapa final'!$AD$61="Mayor"),CONCATENATE("R19C",'Mapa final'!$R$61),"")</f>
        <v/>
      </c>
      <c r="T69" s="149" t="str">
        <f>IF(AND('Mapa final'!$AB$62="Alta",'Mapa final'!$AD$62="Mayor"),CONCATENATE("R19C",'Mapa final'!$R$62),"")</f>
        <v/>
      </c>
      <c r="U69" s="150" t="str">
        <f>IF(AND('Mapa final'!$AB$63="Alta",'Mapa final'!$AD$63="Mayor"),CONCATENATE("R19C",'Mapa final'!$R$63),"")</f>
        <v/>
      </c>
      <c r="V69" s="114" t="str">
        <f>IF(AND('Mapa final'!$AB$61="Alta",'Mapa final'!$AD$61="Catastrófico"),CONCATENATE("R19C",'Mapa final'!$R$61),"")</f>
        <v/>
      </c>
      <c r="W69" s="142" t="str">
        <f>IF(AND('Mapa final'!$AB$62="Alta",'Mapa final'!$AD$62="Catastrófico"),CONCATENATE("R19C",'Mapa final'!$R$62),"")</f>
        <v/>
      </c>
      <c r="X69" s="115" t="str">
        <f>IF(AND('Mapa final'!$AB$63="Alta",'Mapa final'!$AD$63="Catastrófico"),CONCATENATE("R19C",'Mapa final'!$R$63),"")</f>
        <v/>
      </c>
      <c r="Y69" s="38"/>
      <c r="Z69" s="280"/>
      <c r="AA69" s="281"/>
      <c r="AB69" s="281"/>
      <c r="AC69" s="281"/>
      <c r="AD69" s="281"/>
      <c r="AE69" s="282"/>
      <c r="AF69" s="38"/>
      <c r="AG69" s="38"/>
      <c r="AH69" s="38"/>
      <c r="AI69" s="38"/>
      <c r="AJ69" s="38"/>
      <c r="AK69" s="38"/>
      <c r="AL69" s="38"/>
      <c r="AM69" s="38"/>
      <c r="AN69" s="38"/>
      <c r="AO69" s="38"/>
      <c r="AP69" s="38"/>
      <c r="AQ69" s="38"/>
      <c r="AR69" s="38"/>
      <c r="AS69" s="38"/>
      <c r="AT69" s="38"/>
      <c r="AU69" s="38"/>
      <c r="AV69" s="38"/>
      <c r="AW69" s="38"/>
      <c r="AX69" s="38"/>
      <c r="AY69" s="38"/>
      <c r="AZ69" s="38"/>
      <c r="BA69" s="38"/>
      <c r="BB69" s="38"/>
      <c r="BC69" s="38"/>
      <c r="BD69" s="38"/>
      <c r="BE69" s="38"/>
      <c r="BF69" s="38"/>
      <c r="BG69" s="38"/>
      <c r="BH69" s="38"/>
      <c r="BI69" s="38"/>
    </row>
    <row r="70" spans="1:61" ht="15" customHeight="1" x14ac:dyDescent="0.3">
      <c r="A70" s="38"/>
      <c r="B70" s="306"/>
      <c r="C70" s="307"/>
      <c r="D70" s="308"/>
      <c r="E70" s="290"/>
      <c r="F70" s="289"/>
      <c r="G70" s="289"/>
      <c r="H70" s="289"/>
      <c r="I70" s="289"/>
      <c r="J70" s="119" t="str">
        <f>IF(AND('Mapa final'!$AB$64="Alta",'Mapa final'!$AD$64="Leve"),CONCATENATE("R20",'Mapa final'!$R$64),"")</f>
        <v/>
      </c>
      <c r="K70" s="143" t="str">
        <f>IF(AND('Mapa final'!$AB$65="Alta",'Mapa final'!$AD$65="Leve"),CONCATENATE("R20C",'Mapa final'!$R$65),"")</f>
        <v/>
      </c>
      <c r="L70" s="120" t="str">
        <f>IF(AND('Mapa final'!$AB$66="Alta",'Mapa final'!$AD$66="Leve"),CONCATENATE("R20C",'Mapa final'!$R$66),"")</f>
        <v/>
      </c>
      <c r="M70" s="119" t="str">
        <f>IF(AND('Mapa final'!$AB$64="Alta",'Mapa final'!$AD$64="Menor"),CONCATENATE("R20",'Mapa final'!$R$64),"")</f>
        <v/>
      </c>
      <c r="N70" s="143" t="str">
        <f>IF(AND('Mapa final'!$AB$65="Alta",'Mapa final'!$AD$65="Menor"),CONCATENATE("R20C",'Mapa final'!$R$65),"")</f>
        <v/>
      </c>
      <c r="O70" s="120" t="str">
        <f>IF(AND('Mapa final'!$AB$66="Alta",'Mapa final'!$AD$66="Menor"),CONCATENATE("R20C",'Mapa final'!$R$66),"")</f>
        <v/>
      </c>
      <c r="P70" s="148" t="str">
        <f>IF(AND('Mapa final'!$AB$64="Alta",'Mapa final'!$AD$64="Moderado"),CONCATENATE("R20",'Mapa final'!$R$64),"")</f>
        <v/>
      </c>
      <c r="Q70" s="149" t="str">
        <f>IF(AND('Mapa final'!$AB$65="Alta",'Mapa final'!$AD$65="Moderado"),CONCATENATE("R20C",'Mapa final'!$R$65),"")</f>
        <v/>
      </c>
      <c r="R70" s="150" t="str">
        <f>IF(AND('Mapa final'!$AB$66="Alta",'Mapa final'!$AD$66="Moderado"),CONCATENATE("R20C",'Mapa final'!$R$66),"")</f>
        <v/>
      </c>
      <c r="S70" s="148" t="str">
        <f>IF(AND('Mapa final'!$AB$64="Alta",'Mapa final'!$AD$64="Mayor"),CONCATENATE("R20",'Mapa final'!$R$64),"")</f>
        <v/>
      </c>
      <c r="T70" s="149" t="str">
        <f>IF(AND('Mapa final'!$AB$65="Alta",'Mapa final'!$AD$65="Mayor"),CONCATENATE("R20C",'Mapa final'!$R$65),"")</f>
        <v/>
      </c>
      <c r="U70" s="150" t="str">
        <f>IF(AND('Mapa final'!$AB$66="Alta",'Mapa final'!$AD$66="Mayor"),CONCATENATE("R20C",'Mapa final'!$R$66),"")</f>
        <v/>
      </c>
      <c r="V70" s="114" t="str">
        <f>IF(AND('Mapa final'!$AB$64="Alta",'Mapa final'!$AD$64="Catastrófico"),CONCATENATE("R20",'Mapa final'!$R$64),"")</f>
        <v/>
      </c>
      <c r="W70" s="142" t="str">
        <f>IF(AND('Mapa final'!$AB$65="Alta",'Mapa final'!$AD$65="Catastrófico"),CONCATENATE("R20C",'Mapa final'!$R$65),"")</f>
        <v/>
      </c>
      <c r="X70" s="115" t="str">
        <f>IF(AND('Mapa final'!$AB$66="Alta",'Mapa final'!$AD$66="Catastrófico"),CONCATENATE("R20C",'Mapa final'!$R$66),"")</f>
        <v/>
      </c>
      <c r="Y70" s="38"/>
      <c r="Z70" s="280"/>
      <c r="AA70" s="281"/>
      <c r="AB70" s="281"/>
      <c r="AC70" s="281"/>
      <c r="AD70" s="281"/>
      <c r="AE70" s="282"/>
      <c r="AF70" s="38"/>
      <c r="AG70" s="38"/>
      <c r="AH70" s="38"/>
      <c r="AI70" s="38"/>
      <c r="AJ70" s="38"/>
      <c r="AK70" s="38"/>
      <c r="AL70" s="38"/>
      <c r="AM70" s="38"/>
      <c r="AN70" s="38"/>
      <c r="AO70" s="38"/>
      <c r="AP70" s="38"/>
      <c r="AQ70" s="38"/>
      <c r="AR70" s="38"/>
      <c r="AS70" s="38"/>
      <c r="AT70" s="38"/>
      <c r="AU70" s="38"/>
      <c r="AV70" s="38"/>
      <c r="AW70" s="38"/>
      <c r="AX70" s="38"/>
      <c r="AY70" s="38"/>
      <c r="AZ70" s="38"/>
      <c r="BA70" s="38"/>
      <c r="BB70" s="38"/>
      <c r="BC70" s="38"/>
      <c r="BD70" s="38"/>
      <c r="BE70" s="38"/>
      <c r="BF70" s="38"/>
      <c r="BG70" s="38"/>
      <c r="BH70" s="38"/>
      <c r="BI70" s="38"/>
    </row>
    <row r="71" spans="1:61" ht="15" customHeight="1" x14ac:dyDescent="0.3">
      <c r="A71" s="38"/>
      <c r="B71" s="306"/>
      <c r="C71" s="307"/>
      <c r="D71" s="308"/>
      <c r="E71" s="290"/>
      <c r="F71" s="289"/>
      <c r="G71" s="289"/>
      <c r="H71" s="289"/>
      <c r="I71" s="289"/>
      <c r="J71" s="119" t="str">
        <f>IF(AND('Mapa final'!$AB$67="Alta",'Mapa final'!$AD$67="Leve"),CONCATENATE("R21C",'Mapa final'!$R$67),"")</f>
        <v/>
      </c>
      <c r="K71" s="143" t="str">
        <f>IF(AND('Mapa final'!$AB$68="Alta",'Mapa final'!$AD$68="Leve"),CONCATENATE("R21C",'Mapa final'!$R$68),"")</f>
        <v/>
      </c>
      <c r="L71" s="120" t="str">
        <f>IF(AND('Mapa final'!$AB$69="Alta",'Mapa final'!$AD$69="Leve"),CONCATENATE("R21C",'Mapa final'!$R$69),"")</f>
        <v/>
      </c>
      <c r="M71" s="119" t="str">
        <f>IF(AND('Mapa final'!$AB$67="Alta",'Mapa final'!$AD$67="Menor"),CONCATENATE("R21C",'Mapa final'!$R$67),"")</f>
        <v/>
      </c>
      <c r="N71" s="143" t="str">
        <f>IF(AND('Mapa final'!$AB$68="Alta",'Mapa final'!$AD$68="Menor"),CONCATENATE("R21C",'Mapa final'!$R$68),"")</f>
        <v/>
      </c>
      <c r="O71" s="120" t="str">
        <f>IF(AND('Mapa final'!$AB$69="Alta",'Mapa final'!$AD$69="Menor"),CONCATENATE("R21C",'Mapa final'!$R$69),"")</f>
        <v/>
      </c>
      <c r="P71" s="148" t="str">
        <f>IF(AND('Mapa final'!$AB$67="Alta",'Mapa final'!$AD$67="Moderado"),CONCATENATE("R21C",'Mapa final'!$R$67),"")</f>
        <v/>
      </c>
      <c r="Q71" s="149" t="str">
        <f>IF(AND('Mapa final'!$AB$68="Alta",'Mapa final'!$AD$68="Moderado"),CONCATENATE("R21C",'Mapa final'!$R$68),"")</f>
        <v/>
      </c>
      <c r="R71" s="150" t="str">
        <f>IF(AND('Mapa final'!$AB$69="Alta",'Mapa final'!$AD$69="Moderado"),CONCATENATE("R21C",'Mapa final'!$R$69),"")</f>
        <v/>
      </c>
      <c r="S71" s="148" t="str">
        <f>IF(AND('Mapa final'!$AB$67="Alta",'Mapa final'!$AD$67="Mayor"),CONCATENATE("R21C",'Mapa final'!$R$67),"")</f>
        <v/>
      </c>
      <c r="T71" s="149" t="str">
        <f>IF(AND('Mapa final'!$AB$68="Alta",'Mapa final'!$AD$68="Mayor"),CONCATENATE("R21C",'Mapa final'!$R$68),"")</f>
        <v/>
      </c>
      <c r="U71" s="150" t="str">
        <f>IF(AND('Mapa final'!$AB$69="Alta",'Mapa final'!$AD$69="Mayor"),CONCATENATE("R21C",'Mapa final'!$R$69),"")</f>
        <v/>
      </c>
      <c r="V71" s="114" t="str">
        <f>IF(AND('Mapa final'!$AB$67="Alta",'Mapa final'!$AD$67="Catastrófico"),CONCATENATE("R21C",'Mapa final'!$R$67),"")</f>
        <v/>
      </c>
      <c r="W71" s="142" t="str">
        <f>IF(AND('Mapa final'!$AB$68="Alta",'Mapa final'!$AD$68="Catastrófico"),CONCATENATE("R21C",'Mapa final'!$R$68),"")</f>
        <v/>
      </c>
      <c r="X71" s="115" t="str">
        <f>IF(AND('Mapa final'!$AB$69="Alta",'Mapa final'!$AD$69="Catastrófico"),CONCATENATE("R21C",'Mapa final'!$R$69),"")</f>
        <v/>
      </c>
      <c r="Y71" s="38"/>
      <c r="Z71" s="280"/>
      <c r="AA71" s="281"/>
      <c r="AB71" s="281"/>
      <c r="AC71" s="281"/>
      <c r="AD71" s="281"/>
      <c r="AE71" s="282"/>
      <c r="AF71" s="38"/>
      <c r="AG71" s="38"/>
      <c r="AH71" s="38"/>
      <c r="AI71" s="38"/>
      <c r="AJ71" s="38"/>
      <c r="AK71" s="38"/>
      <c r="AL71" s="38"/>
      <c r="AM71" s="38"/>
      <c r="AN71" s="38"/>
      <c r="AO71" s="38"/>
      <c r="AP71" s="38"/>
      <c r="AQ71" s="38"/>
      <c r="AR71" s="38"/>
      <c r="AS71" s="38"/>
      <c r="AT71" s="38"/>
      <c r="AU71" s="38"/>
      <c r="AV71" s="38"/>
      <c r="AW71" s="38"/>
      <c r="AX71" s="38"/>
      <c r="AY71" s="38"/>
      <c r="AZ71" s="38"/>
      <c r="BA71" s="38"/>
      <c r="BB71" s="38"/>
      <c r="BC71" s="38"/>
      <c r="BD71" s="38"/>
      <c r="BE71" s="38"/>
      <c r="BF71" s="38"/>
      <c r="BG71" s="38"/>
      <c r="BH71" s="38"/>
      <c r="BI71" s="38"/>
    </row>
    <row r="72" spans="1:61" ht="15" customHeight="1" x14ac:dyDescent="0.3">
      <c r="A72" s="38"/>
      <c r="B72" s="306"/>
      <c r="C72" s="307"/>
      <c r="D72" s="308"/>
      <c r="E72" s="290"/>
      <c r="F72" s="289"/>
      <c r="G72" s="289"/>
      <c r="H72" s="289"/>
      <c r="I72" s="289"/>
      <c r="J72" s="119" t="str">
        <f>IF(AND('Mapa final'!$AB$70="Alta",'Mapa final'!$AD$70="Leve"),CONCATENATE("R22C",'Mapa final'!$R$70),"")</f>
        <v/>
      </c>
      <c r="K72" s="143" t="str">
        <f>IF(AND('Mapa final'!$AB$71="Alta",'Mapa final'!$AD$71="Leve"),CONCATENATE("R22C",'Mapa final'!$R$71),"")</f>
        <v/>
      </c>
      <c r="L72" s="120" t="str">
        <f>IF(AND('Mapa final'!$AB$72="Alta",'Mapa final'!$AD$72="Leve"),CONCATENATE("R2C",'Mapa final'!$R$72),"")</f>
        <v/>
      </c>
      <c r="M72" s="119" t="str">
        <f>IF(AND('Mapa final'!$AB$70="Alta",'Mapa final'!$AD$70="Menor"),CONCATENATE("R22C",'Mapa final'!$R$70),"")</f>
        <v/>
      </c>
      <c r="N72" s="143" t="str">
        <f>IF(AND('Mapa final'!$AB$71="Alta",'Mapa final'!$AD$71="Menor"),CONCATENATE("R22C",'Mapa final'!$R$71),"")</f>
        <v/>
      </c>
      <c r="O72" s="120" t="str">
        <f>IF(AND('Mapa final'!$AB$72="Alta",'Mapa final'!$AD$72="Menor"),CONCATENATE("R2C",'Mapa final'!$R$72),"")</f>
        <v/>
      </c>
      <c r="P72" s="148" t="str">
        <f>IF(AND('Mapa final'!$AB$70="Alta",'Mapa final'!$AD$70="Moderado"),CONCATENATE("R22C",'Mapa final'!$R$70),"")</f>
        <v/>
      </c>
      <c r="Q72" s="149" t="str">
        <f>IF(AND('Mapa final'!$AB$71="Alta",'Mapa final'!$AD$71="Moderado"),CONCATENATE("R22C",'Mapa final'!$R$71),"")</f>
        <v/>
      </c>
      <c r="R72" s="150" t="str">
        <f>IF(AND('Mapa final'!$AB$72="Alta",'Mapa final'!$AD$72="Moderado"),CONCATENATE("R2C",'Mapa final'!$R$72),"")</f>
        <v/>
      </c>
      <c r="S72" s="148" t="str">
        <f>IF(AND('Mapa final'!$AB$70="Alta",'Mapa final'!$AD$70="Mayor"),CONCATENATE("R22C",'Mapa final'!$R$70),"")</f>
        <v/>
      </c>
      <c r="T72" s="149" t="str">
        <f>IF(AND('Mapa final'!$AB$71="Alta",'Mapa final'!$AD$71="Mayor"),CONCATENATE("R22C",'Mapa final'!$R$71),"")</f>
        <v/>
      </c>
      <c r="U72" s="150" t="str">
        <f>IF(AND('Mapa final'!$AB$72="Alta",'Mapa final'!$AD$72="Mayor"),CONCATENATE("R2C",'Mapa final'!$R$72),"")</f>
        <v/>
      </c>
      <c r="V72" s="114" t="str">
        <f>IF(AND('Mapa final'!$AB$70="Alta",'Mapa final'!$AD$70="Catastrófico"),CONCATENATE("R22C",'Mapa final'!$R$70),"")</f>
        <v/>
      </c>
      <c r="W72" s="142" t="str">
        <f>IF(AND('Mapa final'!$AB$71="Alta",'Mapa final'!$AD$71="Catastrófico"),CONCATENATE("R22C",'Mapa final'!$R$71),"")</f>
        <v/>
      </c>
      <c r="X72" s="115" t="str">
        <f>IF(AND('Mapa final'!$AB$72="Alta",'Mapa final'!$AD$72="Catastrófico"),CONCATENATE("R2C",'Mapa final'!$R$72),"")</f>
        <v/>
      </c>
      <c r="Y72" s="38"/>
      <c r="Z72" s="280"/>
      <c r="AA72" s="281"/>
      <c r="AB72" s="281"/>
      <c r="AC72" s="281"/>
      <c r="AD72" s="281"/>
      <c r="AE72" s="282"/>
      <c r="AF72" s="38"/>
      <c r="AG72" s="38"/>
      <c r="AH72" s="38"/>
      <c r="AI72" s="38"/>
      <c r="AJ72" s="38"/>
      <c r="AK72" s="38"/>
      <c r="AL72" s="38"/>
      <c r="AM72" s="38"/>
      <c r="AN72" s="38"/>
      <c r="AO72" s="38"/>
      <c r="AP72" s="38"/>
      <c r="AQ72" s="38"/>
      <c r="AR72" s="38"/>
      <c r="AS72" s="38"/>
      <c r="AT72" s="38"/>
      <c r="AU72" s="38"/>
      <c r="AV72" s="38"/>
      <c r="AW72" s="38"/>
      <c r="AX72" s="38"/>
      <c r="AY72" s="38"/>
      <c r="AZ72" s="38"/>
      <c r="BA72" s="38"/>
      <c r="BB72" s="38"/>
      <c r="BC72" s="38"/>
      <c r="BD72" s="38"/>
      <c r="BE72" s="38"/>
      <c r="BF72" s="38"/>
      <c r="BG72" s="38"/>
      <c r="BH72" s="38"/>
      <c r="BI72" s="38"/>
    </row>
    <row r="73" spans="1:61" ht="15" customHeight="1" x14ac:dyDescent="0.3">
      <c r="A73" s="38"/>
      <c r="B73" s="306"/>
      <c r="C73" s="307"/>
      <c r="D73" s="308"/>
      <c r="E73" s="290"/>
      <c r="F73" s="289"/>
      <c r="G73" s="289"/>
      <c r="H73" s="289"/>
      <c r="I73" s="289"/>
      <c r="J73" s="119" t="str">
        <f>IF(AND('Mapa final'!$AB$73="Alta",'Mapa final'!$AD$73="Leve"),CONCATENATE("R23C",'Mapa final'!$R$73),"")</f>
        <v/>
      </c>
      <c r="K73" s="143" t="str">
        <f>IF(AND('Mapa final'!$AB$74="Alta",'Mapa final'!$AD$74="Leve"),CONCATENATE("R23C",'Mapa final'!$R$74),"")</f>
        <v/>
      </c>
      <c r="L73" s="120" t="str">
        <f>IF(AND('Mapa final'!$AB$75="Alta",'Mapa final'!$AD$75="Leve"),CONCATENATE("R23C",'Mapa final'!$R$75),"")</f>
        <v/>
      </c>
      <c r="M73" s="119" t="str">
        <f>IF(AND('Mapa final'!$AB$73="Alta",'Mapa final'!$AD$73="Menor"),CONCATENATE("R23C",'Mapa final'!$R$73),"")</f>
        <v/>
      </c>
      <c r="N73" s="143" t="str">
        <f>IF(AND('Mapa final'!$AB$74="Alta",'Mapa final'!$AD$74="Menor"),CONCATENATE("R23C",'Mapa final'!$R$74),"")</f>
        <v/>
      </c>
      <c r="O73" s="120" t="str">
        <f>IF(AND('Mapa final'!$AB$75="Alta",'Mapa final'!$AD$75="Menor"),CONCATENATE("R23C",'Mapa final'!$R$75),"")</f>
        <v/>
      </c>
      <c r="P73" s="148" t="str">
        <f>IF(AND('Mapa final'!$AB$73="Alta",'Mapa final'!$AD$73="Moderado"),CONCATENATE("R23C",'Mapa final'!$R$73),"")</f>
        <v/>
      </c>
      <c r="Q73" s="149" t="str">
        <f>IF(AND('Mapa final'!$AB$74="Alta",'Mapa final'!$AD$74="Moderado"),CONCATENATE("R23C",'Mapa final'!$R$74),"")</f>
        <v/>
      </c>
      <c r="R73" s="150" t="str">
        <f>IF(AND('Mapa final'!$AB$75="Alta",'Mapa final'!$AD$75="Moderado"),CONCATENATE("R23C",'Mapa final'!$R$75),"")</f>
        <v/>
      </c>
      <c r="S73" s="148" t="str">
        <f>IF(AND('Mapa final'!$AB$73="Alta",'Mapa final'!$AD$73="Mayor"),CONCATENATE("R23C",'Mapa final'!$R$73),"")</f>
        <v/>
      </c>
      <c r="T73" s="149" t="str">
        <f>IF(AND('Mapa final'!$AB$74="Alta",'Mapa final'!$AD$74="Mayor"),CONCATENATE("R23C",'Mapa final'!$R$74),"")</f>
        <v/>
      </c>
      <c r="U73" s="150" t="str">
        <f>IF(AND('Mapa final'!$AB$75="Alta",'Mapa final'!$AD$75="Mayor"),CONCATENATE("R23C",'Mapa final'!$R$75),"")</f>
        <v/>
      </c>
      <c r="V73" s="114" t="str">
        <f>IF(AND('Mapa final'!$AB$73="Alta",'Mapa final'!$AD$73="Catastrófico"),CONCATENATE("R23C",'Mapa final'!$R$73),"")</f>
        <v/>
      </c>
      <c r="W73" s="142" t="str">
        <f>IF(AND('Mapa final'!$AB$74="Alta",'Mapa final'!$AD$74="Catastrófico"),CONCATENATE("R23C",'Mapa final'!$R$74),"")</f>
        <v/>
      </c>
      <c r="X73" s="115" t="str">
        <f>IF(AND('Mapa final'!$AB$75="Alta",'Mapa final'!$AD$75="Catastrófico"),CONCATENATE("R23C",'Mapa final'!$R$75),"")</f>
        <v/>
      </c>
      <c r="Y73" s="38"/>
      <c r="Z73" s="280"/>
      <c r="AA73" s="281"/>
      <c r="AB73" s="281"/>
      <c r="AC73" s="281"/>
      <c r="AD73" s="281"/>
      <c r="AE73" s="282"/>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8"/>
      <c r="BF73" s="38"/>
      <c r="BG73" s="38"/>
      <c r="BH73" s="38"/>
      <c r="BI73" s="38"/>
    </row>
    <row r="74" spans="1:61" ht="15" customHeight="1" x14ac:dyDescent="0.3">
      <c r="A74" s="38"/>
      <c r="B74" s="306"/>
      <c r="C74" s="307"/>
      <c r="D74" s="308"/>
      <c r="E74" s="290"/>
      <c r="F74" s="289"/>
      <c r="G74" s="289"/>
      <c r="H74" s="289"/>
      <c r="I74" s="289"/>
      <c r="J74" s="119" t="str">
        <f>IF(AND('Mapa final'!$AB$76="Alta",'Mapa final'!$AD$76="Leve"),CONCATENATE("R24C",'Mapa final'!$R$76),"")</f>
        <v/>
      </c>
      <c r="K74" s="143" t="str">
        <f>IF(AND('Mapa final'!$AB$77="Alta",'Mapa final'!$AD$77="Leve"),CONCATENATE("R24C",'Mapa final'!$R$77),"")</f>
        <v/>
      </c>
      <c r="L74" s="120" t="str">
        <f>IF(AND('Mapa final'!$AB$78="Alta",'Mapa final'!$AD$78="Leve"),CONCATENATE("R24C",'Mapa final'!$R$78),"")</f>
        <v/>
      </c>
      <c r="M74" s="119" t="str">
        <f>IF(AND('Mapa final'!$AB$76="Alta",'Mapa final'!$AD$76="Menor"),CONCATENATE("R24C",'Mapa final'!$R$76),"")</f>
        <v/>
      </c>
      <c r="N74" s="143" t="str">
        <f>IF(AND('Mapa final'!$AB$77="Alta",'Mapa final'!$AD$77="Menor"),CONCATENATE("R24C",'Mapa final'!$R$77),"")</f>
        <v/>
      </c>
      <c r="O74" s="120" t="str">
        <f>IF(AND('Mapa final'!$AB$78="Alta",'Mapa final'!$AD$78="Menor"),CONCATENATE("R24C",'Mapa final'!$R$78),"")</f>
        <v/>
      </c>
      <c r="P74" s="148" t="str">
        <f>IF(AND('Mapa final'!$AB$76="Alta",'Mapa final'!$AD$76="Moderado"),CONCATENATE("R24C",'Mapa final'!$R$76),"")</f>
        <v/>
      </c>
      <c r="Q74" s="149" t="str">
        <f>IF(AND('Mapa final'!$AB$77="Alta",'Mapa final'!$AD$77="Moderado"),CONCATENATE("R24C",'Mapa final'!$R$77),"")</f>
        <v/>
      </c>
      <c r="R74" s="150" t="str">
        <f>IF(AND('Mapa final'!$AB$78="Alta",'Mapa final'!$AD$78="Moderado"),CONCATENATE("R24C",'Mapa final'!$R$78),"")</f>
        <v/>
      </c>
      <c r="S74" s="148" t="str">
        <f>IF(AND('Mapa final'!$AB$76="Alta",'Mapa final'!$AD$76="Mayor"),CONCATENATE("R24C",'Mapa final'!$R$76),"")</f>
        <v/>
      </c>
      <c r="T74" s="149" t="str">
        <f>IF(AND('Mapa final'!$AB$77="Alta",'Mapa final'!$AD$77="Mayor"),CONCATENATE("R24C",'Mapa final'!$R$77),"")</f>
        <v/>
      </c>
      <c r="U74" s="150" t="str">
        <f>IF(AND('Mapa final'!$AB$78="Alta",'Mapa final'!$AD$78="Mayor"),CONCATENATE("R24C",'Mapa final'!$R$78),"")</f>
        <v/>
      </c>
      <c r="V74" s="114" t="str">
        <f>IF(AND('Mapa final'!$AB$76="Alta",'Mapa final'!$AD$76="Catastrófico"),CONCATENATE("R24C",'Mapa final'!$R$76),"")</f>
        <v/>
      </c>
      <c r="W74" s="142" t="str">
        <f>IF(AND('Mapa final'!$AB$77="Alta",'Mapa final'!$AD$77="Catastrófico"),CONCATENATE("R24C",'Mapa final'!$R$77),"")</f>
        <v/>
      </c>
      <c r="X74" s="115" t="str">
        <f>IF(AND('Mapa final'!$AB$78="Alta",'Mapa final'!$AD$78="Catastrófico"),CONCATENATE("R24C",'Mapa final'!$R$78),"")</f>
        <v/>
      </c>
      <c r="Y74" s="38"/>
      <c r="Z74" s="280"/>
      <c r="AA74" s="281"/>
      <c r="AB74" s="281"/>
      <c r="AC74" s="281"/>
      <c r="AD74" s="281"/>
      <c r="AE74" s="282"/>
      <c r="AF74" s="3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c r="BF74" s="38"/>
      <c r="BG74" s="38"/>
      <c r="BH74" s="38"/>
      <c r="BI74" s="38"/>
    </row>
    <row r="75" spans="1:61" ht="15" customHeight="1" x14ac:dyDescent="0.3">
      <c r="A75" s="38"/>
      <c r="B75" s="306"/>
      <c r="C75" s="307"/>
      <c r="D75" s="308"/>
      <c r="E75" s="290"/>
      <c r="F75" s="289"/>
      <c r="G75" s="289"/>
      <c r="H75" s="289"/>
      <c r="I75" s="289"/>
      <c r="J75" s="119" t="str">
        <f>IF(AND('Mapa final'!$AB$79="Alta",'Mapa final'!$AD$79="Leve"),CONCATENATE("R25C",'Mapa final'!$R$79),"")</f>
        <v/>
      </c>
      <c r="K75" s="143" t="str">
        <f>IF(AND('Mapa final'!$AB$80="Alta",'Mapa final'!$AD$80="Leve"),CONCATENATE("R25C",'Mapa final'!$R$80),"")</f>
        <v/>
      </c>
      <c r="L75" s="120" t="str">
        <f>IF(AND('Mapa final'!$AB$81="Alta",'Mapa final'!$AD$81="Leve"),CONCATENATE("R25C",'Mapa final'!$R$81),"")</f>
        <v/>
      </c>
      <c r="M75" s="119" t="str">
        <f>IF(AND('Mapa final'!$AB$79="Alta",'Mapa final'!$AD$79="Menor"),CONCATENATE("R25C",'Mapa final'!$R$79),"")</f>
        <v/>
      </c>
      <c r="N75" s="143" t="str">
        <f>IF(AND('Mapa final'!$AB$80="Alta",'Mapa final'!$AD$80="Menor"),CONCATENATE("R25C",'Mapa final'!$R$80),"")</f>
        <v/>
      </c>
      <c r="O75" s="120" t="str">
        <f>IF(AND('Mapa final'!$AB$81="Alta",'Mapa final'!$AD$81="Menor"),CONCATENATE("R25C",'Mapa final'!$R$81),"")</f>
        <v/>
      </c>
      <c r="P75" s="148" t="str">
        <f>IF(AND('Mapa final'!$AB$79="Alta",'Mapa final'!$AD$79="Moderado"),CONCATENATE("R25C",'Mapa final'!$R$79),"")</f>
        <v/>
      </c>
      <c r="Q75" s="149" t="str">
        <f>IF(AND('Mapa final'!$AB$80="Alta",'Mapa final'!$AD$80="Moderado"),CONCATENATE("R25C",'Mapa final'!$R$80),"")</f>
        <v/>
      </c>
      <c r="R75" s="150" t="str">
        <f>IF(AND('Mapa final'!$AB$81="Alta",'Mapa final'!$AD$81="Moderado"),CONCATENATE("R25C",'Mapa final'!$R$81),"")</f>
        <v/>
      </c>
      <c r="S75" s="148" t="str">
        <f>IF(AND('Mapa final'!$AB$79="Alta",'Mapa final'!$AD$79="Mayor"),CONCATENATE("R25C",'Mapa final'!$R$79),"")</f>
        <v/>
      </c>
      <c r="T75" s="149" t="str">
        <f>IF(AND('Mapa final'!$AB$80="Alta",'Mapa final'!$AD$80="Mayor"),CONCATENATE("R25C",'Mapa final'!$R$80),"")</f>
        <v/>
      </c>
      <c r="U75" s="150" t="str">
        <f>IF(AND('Mapa final'!$AB$81="Alta",'Mapa final'!$AD$81="Mayor"),CONCATENATE("R25C",'Mapa final'!$R$81),"")</f>
        <v/>
      </c>
      <c r="V75" s="114" t="str">
        <f>IF(AND('Mapa final'!$AB$79="Alta",'Mapa final'!$AD$79="Catastrófico"),CONCATENATE("R25C",'Mapa final'!$R$79),"")</f>
        <v/>
      </c>
      <c r="W75" s="142" t="str">
        <f>IF(AND('Mapa final'!$AB$80="Alta",'Mapa final'!$AD$80="Catastrófico"),CONCATENATE("R25C",'Mapa final'!$R$80),"")</f>
        <v/>
      </c>
      <c r="X75" s="115" t="str">
        <f>IF(AND('Mapa final'!$AB$81="Alta",'Mapa final'!$AD$81="Catastrófico"),CONCATENATE("R25C",'Mapa final'!$R$81),"")</f>
        <v/>
      </c>
      <c r="Y75" s="38"/>
      <c r="Z75" s="280"/>
      <c r="AA75" s="281"/>
      <c r="AB75" s="281"/>
      <c r="AC75" s="281"/>
      <c r="AD75" s="281"/>
      <c r="AE75" s="282"/>
      <c r="AF75" s="38"/>
      <c r="AG75" s="38"/>
      <c r="AH75" s="38"/>
      <c r="AI75" s="38"/>
      <c r="AJ75" s="38"/>
      <c r="AK75" s="38"/>
      <c r="AL75" s="38"/>
      <c r="AM75" s="38"/>
      <c r="AN75" s="38"/>
      <c r="AO75" s="38"/>
      <c r="AP75" s="38"/>
      <c r="AQ75" s="38"/>
      <c r="AR75" s="38"/>
      <c r="AS75" s="38"/>
      <c r="AT75" s="38"/>
      <c r="AU75" s="38"/>
      <c r="AV75" s="38"/>
      <c r="AW75" s="38"/>
      <c r="AX75" s="38"/>
      <c r="AY75" s="38"/>
      <c r="AZ75" s="38"/>
      <c r="BA75" s="38"/>
      <c r="BB75" s="38"/>
      <c r="BC75" s="38"/>
      <c r="BD75" s="38"/>
      <c r="BE75" s="38"/>
      <c r="BF75" s="38"/>
      <c r="BG75" s="38"/>
      <c r="BH75" s="38"/>
      <c r="BI75" s="38"/>
    </row>
    <row r="76" spans="1:61" ht="15" customHeight="1" x14ac:dyDescent="0.3">
      <c r="A76" s="38"/>
      <c r="B76" s="306"/>
      <c r="C76" s="307"/>
      <c r="D76" s="308"/>
      <c r="E76" s="290"/>
      <c r="F76" s="289"/>
      <c r="G76" s="289"/>
      <c r="H76" s="289"/>
      <c r="I76" s="289"/>
      <c r="J76" s="119" t="str">
        <f>IF(AND('Mapa final'!$AB$82="Alta",'Mapa final'!$AD$82="Leve"),CONCATENATE("R26C",'Mapa final'!$R$82),"")</f>
        <v/>
      </c>
      <c r="K76" s="143" t="str">
        <f>IF(AND('Mapa final'!$AB$83="Alta",'Mapa final'!$AD$83="Leve"),CONCATENATE("R26C",'Mapa final'!$R$83),"")</f>
        <v/>
      </c>
      <c r="L76" s="120" t="str">
        <f>IF(AND('Mapa final'!$AB$84="Alta",'Mapa final'!$AD$84="Leve"),CONCATENATE("R26C",'Mapa final'!$R$84),"")</f>
        <v/>
      </c>
      <c r="M76" s="119" t="str">
        <f>IF(AND('Mapa final'!$AB$82="Alta",'Mapa final'!$AD$82="Menor"),CONCATENATE("R26C",'Mapa final'!$R$82),"")</f>
        <v/>
      </c>
      <c r="N76" s="143" t="str">
        <f>IF(AND('Mapa final'!$AB$83="Alta",'Mapa final'!$AD$83="Menor"),CONCATENATE("R26C",'Mapa final'!$R$83),"")</f>
        <v/>
      </c>
      <c r="O76" s="120" t="str">
        <f>IF(AND('Mapa final'!$AB$84="Alta",'Mapa final'!$AD$84="Menor"),CONCATENATE("R26C",'Mapa final'!$R$84),"")</f>
        <v/>
      </c>
      <c r="P76" s="148" t="str">
        <f>IF(AND('Mapa final'!$AB$82="Alta",'Mapa final'!$AD$82="Moderado"),CONCATENATE("R26C",'Mapa final'!$R$82),"")</f>
        <v/>
      </c>
      <c r="Q76" s="149" t="str">
        <f>IF(AND('Mapa final'!$AB$83="Alta",'Mapa final'!$AD$83="Moderado"),CONCATENATE("R26C",'Mapa final'!$R$83),"")</f>
        <v/>
      </c>
      <c r="R76" s="150" t="str">
        <f>IF(AND('Mapa final'!$AB$84="Alta",'Mapa final'!$AD$84="Moderado"),CONCATENATE("R26C",'Mapa final'!$R$84),"")</f>
        <v/>
      </c>
      <c r="S76" s="148" t="str">
        <f>IF(AND('Mapa final'!$AB$82="Alta",'Mapa final'!$AD$82="Mayor"),CONCATENATE("R26C",'Mapa final'!$R$82),"")</f>
        <v/>
      </c>
      <c r="T76" s="149" t="str">
        <f>IF(AND('Mapa final'!$AB$83="Alta",'Mapa final'!$AD$83="Mayor"),CONCATENATE("R26C",'Mapa final'!$R$83),"")</f>
        <v/>
      </c>
      <c r="U76" s="150" t="str">
        <f>IF(AND('Mapa final'!$AB$84="Alta",'Mapa final'!$AD$84="Mayor"),CONCATENATE("R26C",'Mapa final'!$R$84),"")</f>
        <v/>
      </c>
      <c r="V76" s="114" t="str">
        <f>IF(AND('Mapa final'!$AB$82="Alta",'Mapa final'!$AD$82="Catastrófico"),CONCATENATE("R26C",'Mapa final'!$R$82),"")</f>
        <v/>
      </c>
      <c r="W76" s="142" t="str">
        <f>IF(AND('Mapa final'!$AB$83="Alta",'Mapa final'!$AD$83="Catastrófico"),CONCATENATE("R26C",'Mapa final'!$R$83),"")</f>
        <v/>
      </c>
      <c r="X76" s="115" t="str">
        <f>IF(AND('Mapa final'!$AB$84="Alta",'Mapa final'!$AD$84="Catastrófico"),CONCATENATE("R26C",'Mapa final'!$R$84),"")</f>
        <v/>
      </c>
      <c r="Y76" s="38"/>
      <c r="Z76" s="280"/>
      <c r="AA76" s="281"/>
      <c r="AB76" s="281"/>
      <c r="AC76" s="281"/>
      <c r="AD76" s="281"/>
      <c r="AE76" s="282"/>
      <c r="AF76" s="38"/>
      <c r="AG76" s="38"/>
      <c r="AH76" s="38"/>
      <c r="AI76" s="38"/>
      <c r="AJ76" s="38"/>
      <c r="AK76" s="38"/>
      <c r="AL76" s="38"/>
      <c r="AM76" s="38"/>
      <c r="AN76" s="38"/>
      <c r="AO76" s="38"/>
      <c r="AP76" s="38"/>
      <c r="AQ76" s="38"/>
      <c r="AR76" s="38"/>
      <c r="AS76" s="38"/>
      <c r="AT76" s="38"/>
      <c r="AU76" s="38"/>
      <c r="AV76" s="38"/>
      <c r="AW76" s="38"/>
      <c r="AX76" s="38"/>
      <c r="AY76" s="38"/>
      <c r="AZ76" s="38"/>
      <c r="BA76" s="38"/>
      <c r="BB76" s="38"/>
      <c r="BC76" s="38"/>
      <c r="BD76" s="38"/>
      <c r="BE76" s="38"/>
      <c r="BF76" s="38"/>
      <c r="BG76" s="38"/>
      <c r="BH76" s="38"/>
      <c r="BI76" s="38"/>
    </row>
    <row r="77" spans="1:61" ht="15" customHeight="1" x14ac:dyDescent="0.3">
      <c r="A77" s="38"/>
      <c r="B77" s="306"/>
      <c r="C77" s="307"/>
      <c r="D77" s="308"/>
      <c r="E77" s="290"/>
      <c r="F77" s="289"/>
      <c r="G77" s="289"/>
      <c r="H77" s="289"/>
      <c r="I77" s="289"/>
      <c r="J77" s="119" t="str">
        <f>IF(AND('Mapa final'!$AB$85="Alta",'Mapa final'!$AD$85="Leve"),CONCATENATE("R27C",'Mapa final'!$R$85),"")</f>
        <v/>
      </c>
      <c r="K77" s="143" t="str">
        <f>IF(AND('Mapa final'!$AB$86="Alta",'Mapa final'!$AD$86="Leve"),CONCATENATE("R27C",'Mapa final'!$R$86),"")</f>
        <v/>
      </c>
      <c r="L77" s="120" t="str">
        <f>IF(AND('Mapa final'!$AB$87="Alta",'Mapa final'!$AD$87="Leve"),CONCATENATE("R27C",'Mapa final'!$R$87),"")</f>
        <v/>
      </c>
      <c r="M77" s="119" t="str">
        <f>IF(AND('Mapa final'!$AB$85="Alta",'Mapa final'!$AD$85="Menor"),CONCATENATE("R27C",'Mapa final'!$R$85),"")</f>
        <v/>
      </c>
      <c r="N77" s="143" t="str">
        <f>IF(AND('Mapa final'!$AB$86="Alta",'Mapa final'!$AD$86="Menor"),CONCATENATE("R27C",'Mapa final'!$R$86),"")</f>
        <v/>
      </c>
      <c r="O77" s="120" t="str">
        <f>IF(AND('Mapa final'!$AB$87="Alta",'Mapa final'!$AD$87="Menor"),CONCATENATE("R27C",'Mapa final'!$R$87),"")</f>
        <v/>
      </c>
      <c r="P77" s="148" t="str">
        <f>IF(AND('Mapa final'!$AB$85="Alta",'Mapa final'!$AD$85="Moderado"),CONCATENATE("R27C",'Mapa final'!$R$85),"")</f>
        <v/>
      </c>
      <c r="Q77" s="149" t="str">
        <f>IF(AND('Mapa final'!$AB$86="Alta",'Mapa final'!$AD$86="Moderado"),CONCATENATE("R27C",'Mapa final'!$R$86),"")</f>
        <v/>
      </c>
      <c r="R77" s="150" t="str">
        <f>IF(AND('Mapa final'!$AB$87="Alta",'Mapa final'!$AD$87="Moderado"),CONCATENATE("R27C",'Mapa final'!$R$87),"")</f>
        <v/>
      </c>
      <c r="S77" s="148" t="str">
        <f>IF(AND('Mapa final'!$AB$85="Alta",'Mapa final'!$AD$85="Mayor"),CONCATENATE("R27C",'Mapa final'!$R$85),"")</f>
        <v/>
      </c>
      <c r="T77" s="149" t="str">
        <f>IF(AND('Mapa final'!$AB$86="Alta",'Mapa final'!$AD$86="Mayor"),CONCATENATE("R27C",'Mapa final'!$R$86),"")</f>
        <v/>
      </c>
      <c r="U77" s="150" t="str">
        <f>IF(AND('Mapa final'!$AB$87="Alta",'Mapa final'!$AD$87="Mayor"),CONCATENATE("R27C",'Mapa final'!$R$87),"")</f>
        <v/>
      </c>
      <c r="V77" s="114" t="str">
        <f>IF(AND('Mapa final'!$AB$85="Alta",'Mapa final'!$AD$85="Catastrófico"),CONCATENATE("R27C",'Mapa final'!$R$85),"")</f>
        <v/>
      </c>
      <c r="W77" s="142" t="str">
        <f>IF(AND('Mapa final'!$AB$86="Alta",'Mapa final'!$AD$86="Catastrófico"),CONCATENATE("R27C",'Mapa final'!$R$86),"")</f>
        <v/>
      </c>
      <c r="X77" s="115" t="str">
        <f>IF(AND('Mapa final'!$AB$87="Alta",'Mapa final'!$AD$87="Catastrófico"),CONCATENATE("R27C",'Mapa final'!$R$87),"")</f>
        <v/>
      </c>
      <c r="Y77" s="38"/>
      <c r="Z77" s="280"/>
      <c r="AA77" s="281"/>
      <c r="AB77" s="281"/>
      <c r="AC77" s="281"/>
      <c r="AD77" s="281"/>
      <c r="AE77" s="282"/>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row>
    <row r="78" spans="1:61" ht="15" customHeight="1" x14ac:dyDescent="0.3">
      <c r="A78" s="38"/>
      <c r="B78" s="306"/>
      <c r="C78" s="307"/>
      <c r="D78" s="308"/>
      <c r="E78" s="290"/>
      <c r="F78" s="289"/>
      <c r="G78" s="289"/>
      <c r="H78" s="289"/>
      <c r="I78" s="289"/>
      <c r="J78" s="119" t="str">
        <f>IF(AND('Mapa final'!$AB$88="Alta",'Mapa final'!$AD$88="Leve"),CONCATENATE("R28C",'Mapa final'!$R$88),"")</f>
        <v/>
      </c>
      <c r="K78" s="143" t="str">
        <f>IF(AND('Mapa final'!$AB$89="Alta",'Mapa final'!$AD$89="Leve"),CONCATENATE("R28C",'Mapa final'!$R$89),"")</f>
        <v/>
      </c>
      <c r="L78" s="120" t="str">
        <f>IF(AND('Mapa final'!$AB$90="Alta",'Mapa final'!$AD$90="Leve"),CONCATENATE("R28C",'Mapa final'!$R$90),"")</f>
        <v/>
      </c>
      <c r="M78" s="119" t="str">
        <f>IF(AND('Mapa final'!$AB$88="Alta",'Mapa final'!$AD$88="Menor"),CONCATENATE("R28C",'Mapa final'!$R$88),"")</f>
        <v/>
      </c>
      <c r="N78" s="143" t="str">
        <f>IF(AND('Mapa final'!$AB$89="Alta",'Mapa final'!$AD$89="Menor"),CONCATENATE("R28C",'Mapa final'!$R$89),"")</f>
        <v/>
      </c>
      <c r="O78" s="120" t="str">
        <f>IF(AND('Mapa final'!$AB$90="Alta",'Mapa final'!$AD$90="Menor"),CONCATENATE("R28C",'Mapa final'!$R$90),"")</f>
        <v/>
      </c>
      <c r="P78" s="148" t="str">
        <f>IF(AND('Mapa final'!$AB$88="Alta",'Mapa final'!$AD$88="Moderado"),CONCATENATE("R28C",'Mapa final'!$R$88),"")</f>
        <v/>
      </c>
      <c r="Q78" s="149" t="str">
        <f>IF(AND('Mapa final'!$AB$89="Alta",'Mapa final'!$AD$89="Moderado"),CONCATENATE("R28C",'Mapa final'!$R$89),"")</f>
        <v/>
      </c>
      <c r="R78" s="150" t="str">
        <f>IF(AND('Mapa final'!$AB$90="Alta",'Mapa final'!$AD$90="Moderado"),CONCATENATE("R28C",'Mapa final'!$R$90),"")</f>
        <v/>
      </c>
      <c r="S78" s="148" t="str">
        <f>IF(AND('Mapa final'!$AB$88="Alta",'Mapa final'!$AD$88="Mayor"),CONCATENATE("R28C",'Mapa final'!$R$88),"")</f>
        <v/>
      </c>
      <c r="T78" s="149" t="str">
        <f>IF(AND('Mapa final'!$AB$89="Alta",'Mapa final'!$AD$89="Mayor"),CONCATENATE("R28C",'Mapa final'!$R$89),"")</f>
        <v/>
      </c>
      <c r="U78" s="150" t="str">
        <f>IF(AND('Mapa final'!$AB$90="Alta",'Mapa final'!$AD$90="Mayor"),CONCATENATE("R28C",'Mapa final'!$R$90),"")</f>
        <v/>
      </c>
      <c r="V78" s="114" t="str">
        <f>IF(AND('Mapa final'!$AB$88="Alta",'Mapa final'!$AD$88="Catastrófico"),CONCATENATE("R28C",'Mapa final'!$R$88),"")</f>
        <v/>
      </c>
      <c r="W78" s="142" t="str">
        <f>IF(AND('Mapa final'!$AB$89="Alta",'Mapa final'!$AD$89="Catastrófico"),CONCATENATE("R28C",'Mapa final'!$R$89),"")</f>
        <v/>
      </c>
      <c r="X78" s="115" t="str">
        <f>IF(AND('Mapa final'!$AB$90="Alta",'Mapa final'!$AD$90="Catastrófico"),CONCATENATE("R28C",'Mapa final'!$R$90),"")</f>
        <v/>
      </c>
      <c r="Y78" s="38"/>
      <c r="Z78" s="280"/>
      <c r="AA78" s="281"/>
      <c r="AB78" s="281"/>
      <c r="AC78" s="281"/>
      <c r="AD78" s="281"/>
      <c r="AE78" s="282"/>
      <c r="AF78" s="38"/>
      <c r="AG78" s="38"/>
      <c r="AH78" s="38"/>
      <c r="AI78" s="38"/>
      <c r="AJ78" s="38"/>
      <c r="AK78" s="38"/>
      <c r="AL78" s="38"/>
      <c r="AM78" s="38"/>
      <c r="AN78" s="38"/>
      <c r="AO78" s="38"/>
      <c r="AP78" s="38"/>
      <c r="AQ78" s="38"/>
      <c r="AR78" s="38"/>
      <c r="AS78" s="38"/>
      <c r="AT78" s="38"/>
      <c r="AU78" s="38"/>
      <c r="AV78" s="38"/>
      <c r="AW78" s="38"/>
      <c r="AX78" s="38"/>
      <c r="AY78" s="38"/>
      <c r="AZ78" s="38"/>
      <c r="BA78" s="38"/>
      <c r="BB78" s="38"/>
      <c r="BC78" s="38"/>
      <c r="BD78" s="38"/>
      <c r="BE78" s="38"/>
      <c r="BF78" s="38"/>
      <c r="BG78" s="38"/>
      <c r="BH78" s="38"/>
      <c r="BI78" s="38"/>
    </row>
    <row r="79" spans="1:61" ht="15" customHeight="1" x14ac:dyDescent="0.3">
      <c r="A79" s="38"/>
      <c r="B79" s="306"/>
      <c r="C79" s="307"/>
      <c r="D79" s="308"/>
      <c r="E79" s="290"/>
      <c r="F79" s="289"/>
      <c r="G79" s="289"/>
      <c r="H79" s="289"/>
      <c r="I79" s="289"/>
      <c r="J79" s="119" t="str">
        <f>IF(AND('Mapa final'!$AB$91="Alta",'Mapa final'!$AD$91="Leve"),CONCATENATE("R29C",'Mapa final'!$R$91),"")</f>
        <v/>
      </c>
      <c r="K79" s="143" t="str">
        <f>IF(AND('Mapa final'!$AB$92="Alta",'Mapa final'!$AD$92="Leve"),CONCATENATE("R29C",'Mapa final'!$R$92),"")</f>
        <v/>
      </c>
      <c r="L79" s="120" t="str">
        <f>IF(AND('Mapa final'!$AB$93="Alta",'Mapa final'!$AD$93="Leve"),CONCATENATE("R29C",'Mapa final'!$R$93),"")</f>
        <v/>
      </c>
      <c r="M79" s="119" t="str">
        <f>IF(AND('Mapa final'!$AB$91="Alta",'Mapa final'!$AD$91="Menor"),CONCATENATE("R29C",'Mapa final'!$R$91),"")</f>
        <v/>
      </c>
      <c r="N79" s="143" t="str">
        <f>IF(AND('Mapa final'!$AB$92="Alta",'Mapa final'!$AD$92="Menor"),CONCATENATE("R29C",'Mapa final'!$R$92),"")</f>
        <v/>
      </c>
      <c r="O79" s="120" t="str">
        <f>IF(AND('Mapa final'!$AB$93="Alta",'Mapa final'!$AD$93="Menor"),CONCATENATE("R29C",'Mapa final'!$R$93),"")</f>
        <v/>
      </c>
      <c r="P79" s="148" t="str">
        <f>IF(AND('Mapa final'!$AB$91="Alta",'Mapa final'!$AD$91="Moderado"),CONCATENATE("R29C",'Mapa final'!$R$91),"")</f>
        <v/>
      </c>
      <c r="Q79" s="149" t="str">
        <f>IF(AND('Mapa final'!$AB$92="Alta",'Mapa final'!$AD$92="Moderado"),CONCATENATE("R29C",'Mapa final'!$R$92),"")</f>
        <v/>
      </c>
      <c r="R79" s="150" t="str">
        <f>IF(AND('Mapa final'!$AB$93="Alta",'Mapa final'!$AD$93="Moderado"),CONCATENATE("R29C",'Mapa final'!$R$93),"")</f>
        <v/>
      </c>
      <c r="S79" s="148" t="str">
        <f>IF(AND('Mapa final'!$AB$91="Alta",'Mapa final'!$AD$91="Mayor"),CONCATENATE("R29C",'Mapa final'!$R$91),"")</f>
        <v/>
      </c>
      <c r="T79" s="149" t="str">
        <f>IF(AND('Mapa final'!$AB$92="Alta",'Mapa final'!$AD$92="Mayor"),CONCATENATE("R29C",'Mapa final'!$R$92),"")</f>
        <v/>
      </c>
      <c r="U79" s="150" t="str">
        <f>IF(AND('Mapa final'!$AB$93="Alta",'Mapa final'!$AD$93="Mayor"),CONCATENATE("R29C",'Mapa final'!$R$93),"")</f>
        <v/>
      </c>
      <c r="V79" s="114" t="str">
        <f>IF(AND('Mapa final'!$AB$91="Alta",'Mapa final'!$AD$91="Catastrófico"),CONCATENATE("R29C",'Mapa final'!$R$91),"")</f>
        <v/>
      </c>
      <c r="W79" s="142" t="str">
        <f>IF(AND('Mapa final'!$AB$92="Alta",'Mapa final'!$AD$92="Catastrófico"),CONCATENATE("R29C",'Mapa final'!$R$92),"")</f>
        <v/>
      </c>
      <c r="X79" s="115" t="str">
        <f>IF(AND('Mapa final'!$AB$93="Alta",'Mapa final'!$AD$93="Catastrófico"),CONCATENATE("R29C",'Mapa final'!$R$93),"")</f>
        <v/>
      </c>
      <c r="Y79" s="38"/>
      <c r="Z79" s="280"/>
      <c r="AA79" s="281"/>
      <c r="AB79" s="281"/>
      <c r="AC79" s="281"/>
      <c r="AD79" s="281"/>
      <c r="AE79" s="282"/>
      <c r="AF79" s="38"/>
      <c r="AG79" s="38"/>
      <c r="AH79" s="38"/>
      <c r="AI79" s="38"/>
      <c r="AJ79" s="38"/>
      <c r="AK79" s="38"/>
      <c r="AL79" s="38"/>
      <c r="AM79" s="38"/>
      <c r="AN79" s="38"/>
      <c r="AO79" s="38"/>
      <c r="AP79" s="38"/>
      <c r="AQ79" s="38"/>
      <c r="AR79" s="38"/>
      <c r="AS79" s="38"/>
      <c r="AT79" s="38"/>
      <c r="AU79" s="38"/>
      <c r="AV79" s="38"/>
      <c r="AW79" s="38"/>
      <c r="AX79" s="38"/>
      <c r="AY79" s="38"/>
      <c r="AZ79" s="38"/>
      <c r="BA79" s="38"/>
      <c r="BB79" s="38"/>
      <c r="BC79" s="38"/>
      <c r="BD79" s="38"/>
      <c r="BE79" s="38"/>
      <c r="BF79" s="38"/>
      <c r="BG79" s="38"/>
      <c r="BH79" s="38"/>
      <c r="BI79" s="38"/>
    </row>
    <row r="80" spans="1:61" ht="15" customHeight="1" x14ac:dyDescent="0.3">
      <c r="A80" s="38"/>
      <c r="B80" s="306"/>
      <c r="C80" s="307"/>
      <c r="D80" s="308"/>
      <c r="E80" s="290"/>
      <c r="F80" s="289"/>
      <c r="G80" s="289"/>
      <c r="H80" s="289"/>
      <c r="I80" s="289"/>
      <c r="J80" s="119" t="str">
        <f>IF(AND('Mapa final'!$AB$94="Alta",'Mapa final'!$AD$94="Leve"),CONCATENATE("R30C",'Mapa final'!$R$94),"")</f>
        <v/>
      </c>
      <c r="K80" s="143" t="str">
        <f>IF(AND('Mapa final'!$AB$95="Alta",'Mapa final'!$AD$95="Leve"),CONCATENATE("R30C",'Mapa final'!$R$95),"")</f>
        <v/>
      </c>
      <c r="L80" s="120" t="str">
        <f>IF(AND('Mapa final'!$AB$96="Alta",'Mapa final'!$AD$96="Leve"),CONCATENATE("R30C",'Mapa final'!$R$96),"")</f>
        <v/>
      </c>
      <c r="M80" s="119" t="str">
        <f>IF(AND('Mapa final'!$AB$94="Alta",'Mapa final'!$AD$94="Menor"),CONCATENATE("R30C",'Mapa final'!$R$94),"")</f>
        <v/>
      </c>
      <c r="N80" s="143" t="str">
        <f>IF(AND('Mapa final'!$AB$95="Alta",'Mapa final'!$AD$95="Menor"),CONCATENATE("R30C",'Mapa final'!$R$95),"")</f>
        <v/>
      </c>
      <c r="O80" s="120" t="str">
        <f>IF(AND('Mapa final'!$AB$96="Alta",'Mapa final'!$AD$96="Menor"),CONCATENATE("R30C",'Mapa final'!$R$96),"")</f>
        <v/>
      </c>
      <c r="P80" s="148" t="str">
        <f>IF(AND('Mapa final'!$AB$94="Alta",'Mapa final'!$AD$94="Moderado"),CONCATENATE("R30C",'Mapa final'!$R$94),"")</f>
        <v/>
      </c>
      <c r="Q80" s="149" t="str">
        <f>IF(AND('Mapa final'!$AB$95="Alta",'Mapa final'!$AD$95="Moderado"),CONCATENATE("R30C",'Mapa final'!$R$95),"")</f>
        <v/>
      </c>
      <c r="R80" s="150" t="str">
        <f>IF(AND('Mapa final'!$AB$96="Alta",'Mapa final'!$AD$96="Moderado"),CONCATENATE("R30C",'Mapa final'!$R$96),"")</f>
        <v/>
      </c>
      <c r="S80" s="148" t="str">
        <f>IF(AND('Mapa final'!$AB$94="Alta",'Mapa final'!$AD$94="Mayor"),CONCATENATE("R30C",'Mapa final'!$R$94),"")</f>
        <v/>
      </c>
      <c r="T80" s="149" t="str">
        <f>IF(AND('Mapa final'!$AB$95="Alta",'Mapa final'!$AD$95="Mayor"),CONCATENATE("R30C",'Mapa final'!$R$95),"")</f>
        <v/>
      </c>
      <c r="U80" s="150" t="str">
        <f>IF(AND('Mapa final'!$AB$96="Alta",'Mapa final'!$AD$96="Mayor"),CONCATENATE("R30C",'Mapa final'!$R$96),"")</f>
        <v/>
      </c>
      <c r="V80" s="114" t="str">
        <f>IF(AND('Mapa final'!$AB$94="Alta",'Mapa final'!$AD$94="Catastrófico"),CONCATENATE("R30C",'Mapa final'!$R$94),"")</f>
        <v/>
      </c>
      <c r="W80" s="142" t="str">
        <f>IF(AND('Mapa final'!$AB$95="Alta",'Mapa final'!$AD$95="Catastrófico"),CONCATENATE("R30C",'Mapa final'!$R$95),"")</f>
        <v/>
      </c>
      <c r="X80" s="115" t="str">
        <f>IF(AND('Mapa final'!$AB$96="Alta",'Mapa final'!$AD$96="Catastrófico"),CONCATENATE("R30C",'Mapa final'!$R$96),"")</f>
        <v/>
      </c>
      <c r="Y80" s="38"/>
      <c r="Z80" s="280"/>
      <c r="AA80" s="281"/>
      <c r="AB80" s="281"/>
      <c r="AC80" s="281"/>
      <c r="AD80" s="281"/>
      <c r="AE80" s="282"/>
      <c r="AF80" s="38"/>
      <c r="AG80" s="38"/>
      <c r="AH80" s="38"/>
      <c r="AI80" s="38"/>
      <c r="AJ80" s="38"/>
      <c r="AK80" s="38"/>
      <c r="AL80" s="38"/>
      <c r="AM80" s="38"/>
      <c r="AN80" s="38"/>
      <c r="AO80" s="38"/>
      <c r="AP80" s="38"/>
      <c r="AQ80" s="38"/>
      <c r="AR80" s="38"/>
      <c r="AS80" s="38"/>
      <c r="AT80" s="38"/>
      <c r="AU80" s="38"/>
      <c r="AV80" s="38"/>
      <c r="AW80" s="38"/>
      <c r="AX80" s="38"/>
      <c r="AY80" s="38"/>
      <c r="AZ80" s="38"/>
      <c r="BA80" s="38"/>
      <c r="BB80" s="38"/>
      <c r="BC80" s="38"/>
      <c r="BD80" s="38"/>
      <c r="BE80" s="38"/>
      <c r="BF80" s="38"/>
      <c r="BG80" s="38"/>
      <c r="BH80" s="38"/>
      <c r="BI80" s="38"/>
    </row>
    <row r="81" spans="1:61" ht="15" customHeight="1" x14ac:dyDescent="0.3">
      <c r="A81" s="38"/>
      <c r="B81" s="306"/>
      <c r="C81" s="307"/>
      <c r="D81" s="308"/>
      <c r="E81" s="290"/>
      <c r="F81" s="289"/>
      <c r="G81" s="289"/>
      <c r="H81" s="289"/>
      <c r="I81" s="289"/>
      <c r="J81" s="119" t="str">
        <f>IF(AND('Mapa final'!$AB$97="Alta",'Mapa final'!$AD$97="Leve"),CONCATENATE("R31C",'Mapa final'!$R$97),"")</f>
        <v/>
      </c>
      <c r="K81" s="143" t="str">
        <f>IF(AND('Mapa final'!$AB$98="Alta",'Mapa final'!$AD$98="Leve"),CONCATENATE("R31C",'Mapa final'!$R$98),"")</f>
        <v/>
      </c>
      <c r="L81" s="120" t="str">
        <f>IF(AND('Mapa final'!$AB$99="Alta",'Mapa final'!$AD$99="Leve"),CONCATENATE("R31C",'Mapa final'!$R$99),"")</f>
        <v/>
      </c>
      <c r="M81" s="119" t="str">
        <f>IF(AND('Mapa final'!$AB$97="Alta",'Mapa final'!$AD$97="Menor"),CONCATENATE("R31C",'Mapa final'!$R$97),"")</f>
        <v/>
      </c>
      <c r="N81" s="143" t="str">
        <f>IF(AND('Mapa final'!$AB$98="Alta",'Mapa final'!$AD$98="Menor"),CONCATENATE("R31C",'Mapa final'!$R$98),"")</f>
        <v/>
      </c>
      <c r="O81" s="120" t="str">
        <f>IF(AND('Mapa final'!$AB$99="Alta",'Mapa final'!$AD$99="Menor"),CONCATENATE("R31C",'Mapa final'!$R$99),"")</f>
        <v/>
      </c>
      <c r="P81" s="148" t="str">
        <f>IF(AND('Mapa final'!$AB$97="Alta",'Mapa final'!$AD$97="Moderado"),CONCATENATE("R31C",'Mapa final'!$R$97),"")</f>
        <v/>
      </c>
      <c r="Q81" s="149" t="str">
        <f>IF(AND('Mapa final'!$AB$98="Alta",'Mapa final'!$AD$98="Moderado"),CONCATENATE("R31C",'Mapa final'!$R$98),"")</f>
        <v/>
      </c>
      <c r="R81" s="150" t="str">
        <f>IF(AND('Mapa final'!$AB$99="Alta",'Mapa final'!$AD$99="Moderado"),CONCATENATE("R31C",'Mapa final'!$R$99),"")</f>
        <v/>
      </c>
      <c r="S81" s="148" t="str">
        <f>IF(AND('Mapa final'!$AB$97="Alta",'Mapa final'!$AD$97="Mayor"),CONCATENATE("R31C",'Mapa final'!$R$97),"")</f>
        <v/>
      </c>
      <c r="T81" s="149" t="str">
        <f>IF(AND('Mapa final'!$AB$98="Alta",'Mapa final'!$AD$98="Mayor"),CONCATENATE("R31C",'Mapa final'!$R$98),"")</f>
        <v/>
      </c>
      <c r="U81" s="150" t="str">
        <f>IF(AND('Mapa final'!$AB$99="Alta",'Mapa final'!$AD$99="Mayor"),CONCATENATE("R31C",'Mapa final'!$R$99),"")</f>
        <v/>
      </c>
      <c r="V81" s="114" t="str">
        <f>IF(AND('Mapa final'!$AB$97="Alta",'Mapa final'!$AD$97="Catastrófico"),CONCATENATE("R31C",'Mapa final'!$R$97),"")</f>
        <v/>
      </c>
      <c r="W81" s="142" t="str">
        <f>IF(AND('Mapa final'!$AB$98="Alta",'Mapa final'!$AD$98="Catastrófico"),CONCATENATE("R31C",'Mapa final'!$R$98),"")</f>
        <v/>
      </c>
      <c r="X81" s="115" t="str">
        <f>IF(AND('Mapa final'!$AB$99="Alta",'Mapa final'!$AD$99="Catastrófico"),CONCATENATE("R31C",'Mapa final'!$R$99),"")</f>
        <v/>
      </c>
      <c r="Y81" s="38"/>
      <c r="Z81" s="280"/>
      <c r="AA81" s="281"/>
      <c r="AB81" s="281"/>
      <c r="AC81" s="281"/>
      <c r="AD81" s="281"/>
      <c r="AE81" s="282"/>
      <c r="AF81" s="38"/>
      <c r="AG81" s="38"/>
      <c r="AH81" s="38"/>
      <c r="AI81" s="38"/>
      <c r="AJ81" s="38"/>
      <c r="AK81" s="38"/>
      <c r="AL81" s="38"/>
      <c r="AM81" s="38"/>
      <c r="AN81" s="38"/>
      <c r="AO81" s="38"/>
      <c r="AP81" s="38"/>
      <c r="AQ81" s="38"/>
      <c r="AR81" s="38"/>
      <c r="AS81" s="38"/>
      <c r="AT81" s="38"/>
      <c r="AU81" s="38"/>
      <c r="AV81" s="38"/>
      <c r="AW81" s="38"/>
      <c r="AX81" s="38"/>
      <c r="AY81" s="38"/>
      <c r="AZ81" s="38"/>
      <c r="BA81" s="38"/>
      <c r="BB81" s="38"/>
      <c r="BC81" s="38"/>
      <c r="BD81" s="38"/>
      <c r="BE81" s="38"/>
      <c r="BF81" s="38"/>
      <c r="BG81" s="38"/>
      <c r="BH81" s="38"/>
      <c r="BI81" s="38"/>
    </row>
    <row r="82" spans="1:61" ht="15" customHeight="1" x14ac:dyDescent="0.3">
      <c r="A82" s="38"/>
      <c r="B82" s="306"/>
      <c r="C82" s="307"/>
      <c r="D82" s="308"/>
      <c r="E82" s="290"/>
      <c r="F82" s="289"/>
      <c r="G82" s="289"/>
      <c r="H82" s="289"/>
      <c r="I82" s="289"/>
      <c r="J82" s="119" t="str">
        <f>IF(AND('Mapa final'!$AB$100="Alta",'Mapa final'!$AD$100="Leve"),CONCATENATE("R32C",'Mapa final'!$R$100),"")</f>
        <v/>
      </c>
      <c r="K82" s="143" t="str">
        <f>IF(AND('Mapa final'!$AB$101="Alta",'Mapa final'!$AD$101="Leve"),CONCATENATE("R32C",'Mapa final'!$R$101),"")</f>
        <v/>
      </c>
      <c r="L82" s="120" t="str">
        <f>IF(AND('Mapa final'!$AB$102="Alta",'Mapa final'!$AD$102="Leve"),CONCATENATE("R32C",'Mapa final'!$R$102),"")</f>
        <v/>
      </c>
      <c r="M82" s="119" t="str">
        <f>IF(AND('Mapa final'!$AB$100="Alta",'Mapa final'!$AD$100="Menor"),CONCATENATE("R32C",'Mapa final'!$R$100),"")</f>
        <v/>
      </c>
      <c r="N82" s="143" t="str">
        <f>IF(AND('Mapa final'!$AB$101="Alta",'Mapa final'!$AD$101="Menor"),CONCATENATE("R32C",'Mapa final'!$R$101),"")</f>
        <v/>
      </c>
      <c r="O82" s="120" t="str">
        <f>IF(AND('Mapa final'!$AB$102="Alta",'Mapa final'!$AD$102="Menor"),CONCATENATE("R32C",'Mapa final'!$R$102),"")</f>
        <v/>
      </c>
      <c r="P82" s="148" t="str">
        <f>IF(AND('Mapa final'!$AB$100="Alta",'Mapa final'!$AD$100="Moderado"),CONCATENATE("R32C",'Mapa final'!$R$100),"")</f>
        <v/>
      </c>
      <c r="Q82" s="149" t="str">
        <f>IF(AND('Mapa final'!$AB$101="Alta",'Mapa final'!$AD$101="Moderado"),CONCATENATE("R32C",'Mapa final'!$R$101),"")</f>
        <v/>
      </c>
      <c r="R82" s="150" t="str">
        <f>IF(AND('Mapa final'!$AB$102="Alta",'Mapa final'!$AD$102="Moderado"),CONCATENATE("R32C",'Mapa final'!$R$102),"")</f>
        <v/>
      </c>
      <c r="S82" s="148" t="str">
        <f>IF(AND('Mapa final'!$AB$100="Alta",'Mapa final'!$AD$100="Mayor"),CONCATENATE("R32C",'Mapa final'!$R$100),"")</f>
        <v/>
      </c>
      <c r="T82" s="149" t="str">
        <f>IF(AND('Mapa final'!$AB$101="Alta",'Mapa final'!$AD$101="Mayor"),CONCATENATE("R32C",'Mapa final'!$R$101),"")</f>
        <v/>
      </c>
      <c r="U82" s="150" t="str">
        <f>IF(AND('Mapa final'!$AB$102="Alta",'Mapa final'!$AD$102="Mayor"),CONCATENATE("R32C",'Mapa final'!$R$102),"")</f>
        <v/>
      </c>
      <c r="V82" s="114" t="str">
        <f>IF(AND('Mapa final'!$AB$100="Alta",'Mapa final'!$AD$100="Catastrófico"),CONCATENATE("R32C",'Mapa final'!$R$100),"")</f>
        <v/>
      </c>
      <c r="W82" s="142" t="str">
        <f>IF(AND('Mapa final'!$AB$101="Alta",'Mapa final'!$AD$101="Catastrófico"),CONCATENATE("R32C",'Mapa final'!$R$101),"")</f>
        <v/>
      </c>
      <c r="X82" s="115" t="str">
        <f>IF(AND('Mapa final'!$AB$102="Alta",'Mapa final'!$AD$102="Catastrófico"),CONCATENATE("R32C",'Mapa final'!$R$102),"")</f>
        <v/>
      </c>
      <c r="Y82" s="38"/>
      <c r="Z82" s="280"/>
      <c r="AA82" s="281"/>
      <c r="AB82" s="281"/>
      <c r="AC82" s="281"/>
      <c r="AD82" s="281"/>
      <c r="AE82" s="282"/>
      <c r="AF82" s="38"/>
      <c r="AG82" s="38"/>
      <c r="AH82" s="38"/>
      <c r="AI82" s="38"/>
      <c r="AJ82" s="38"/>
      <c r="AK82" s="38"/>
      <c r="AL82" s="38"/>
      <c r="AM82" s="38"/>
      <c r="AN82" s="38"/>
      <c r="AO82" s="38"/>
      <c r="AP82" s="38"/>
      <c r="AQ82" s="38"/>
      <c r="AR82" s="38"/>
      <c r="AS82" s="38"/>
      <c r="AT82" s="38"/>
      <c r="AU82" s="38"/>
      <c r="AV82" s="38"/>
      <c r="AW82" s="38"/>
      <c r="AX82" s="38"/>
      <c r="AY82" s="38"/>
      <c r="AZ82" s="38"/>
      <c r="BA82" s="38"/>
      <c r="BB82" s="38"/>
      <c r="BC82" s="38"/>
      <c r="BD82" s="38"/>
      <c r="BE82" s="38"/>
      <c r="BF82" s="38"/>
      <c r="BG82" s="38"/>
      <c r="BH82" s="38"/>
      <c r="BI82" s="38"/>
    </row>
    <row r="83" spans="1:61" ht="15" customHeight="1" x14ac:dyDescent="0.3">
      <c r="A83" s="38"/>
      <c r="B83" s="306"/>
      <c r="C83" s="307"/>
      <c r="D83" s="308"/>
      <c r="E83" s="290"/>
      <c r="F83" s="289"/>
      <c r="G83" s="289"/>
      <c r="H83" s="289"/>
      <c r="I83" s="289"/>
      <c r="J83" s="119" t="str">
        <f>IF(AND('Mapa final'!$AB$103="Alta",'Mapa final'!$AD$103="Leve"),CONCATENATE("R33C",'Mapa final'!$R$103),"")</f>
        <v/>
      </c>
      <c r="K83" s="143" t="str">
        <f>IF(AND('Mapa final'!$AB$104="Alta",'Mapa final'!$AD$104="Leve"),CONCATENATE("R33C",'Mapa final'!$R$104),"")</f>
        <v/>
      </c>
      <c r="L83" s="120" t="str">
        <f>IF(AND('Mapa final'!$AB$105="Alta",'Mapa final'!$AD$105="Leve"),CONCATENATE("R33C",'Mapa final'!$R$105),"")</f>
        <v/>
      </c>
      <c r="M83" s="119" t="str">
        <f>IF(AND('Mapa final'!$AB$103="Alta",'Mapa final'!$AD$103="Menor"),CONCATENATE("R33C",'Mapa final'!$R$103),"")</f>
        <v/>
      </c>
      <c r="N83" s="143" t="str">
        <f>IF(AND('Mapa final'!$AB$104="Alta",'Mapa final'!$AD$104="Menor"),CONCATENATE("R33C",'Mapa final'!$R$104),"")</f>
        <v/>
      </c>
      <c r="O83" s="120" t="str">
        <f>IF(AND('Mapa final'!$AB$105="Alta",'Mapa final'!$AD$105="Menor"),CONCATENATE("R33C",'Mapa final'!$R$105),"")</f>
        <v/>
      </c>
      <c r="P83" s="148" t="str">
        <f>IF(AND('Mapa final'!$AB$103="Alta",'Mapa final'!$AD$103="Moderado"),CONCATENATE("R33C",'Mapa final'!$R$103),"")</f>
        <v/>
      </c>
      <c r="Q83" s="149" t="str">
        <f>IF(AND('Mapa final'!$AB$104="Alta",'Mapa final'!$AD$104="Moderado"),CONCATENATE("R33C",'Mapa final'!$R$104),"")</f>
        <v/>
      </c>
      <c r="R83" s="150" t="str">
        <f>IF(AND('Mapa final'!$AB$105="Alta",'Mapa final'!$AD$105="Moderado"),CONCATENATE("R33C",'Mapa final'!$R$105),"")</f>
        <v/>
      </c>
      <c r="S83" s="148" t="str">
        <f>IF(AND('Mapa final'!$AB$103="Alta",'Mapa final'!$AD$103="Mayor"),CONCATENATE("R33C",'Mapa final'!$R$103),"")</f>
        <v/>
      </c>
      <c r="T83" s="149" t="str">
        <f>IF(AND('Mapa final'!$AB$104="Alta",'Mapa final'!$AD$104="Mayor"),CONCATENATE("R33C",'Mapa final'!$R$104),"")</f>
        <v/>
      </c>
      <c r="U83" s="150" t="str">
        <f>IF(AND('Mapa final'!$AB$105="Alta",'Mapa final'!$AD$105="Mayor"),CONCATENATE("R33C",'Mapa final'!$R$105),"")</f>
        <v/>
      </c>
      <c r="V83" s="114" t="str">
        <f>IF(AND('Mapa final'!$AB$103="Alta",'Mapa final'!$AD$103="Catastrófico"),CONCATENATE("R33C",'Mapa final'!$R$103),"")</f>
        <v/>
      </c>
      <c r="W83" s="142" t="str">
        <f>IF(AND('Mapa final'!$AB$104="Alta",'Mapa final'!$AD$104="Catastrófico"),CONCATENATE("R33C",'Mapa final'!$R$104),"")</f>
        <v/>
      </c>
      <c r="X83" s="115" t="str">
        <f>IF(AND('Mapa final'!$AB$105="Alta",'Mapa final'!$AD$105="Catastrófico"),CONCATENATE("R33C",'Mapa final'!$R$105),"")</f>
        <v/>
      </c>
      <c r="Y83" s="38"/>
      <c r="Z83" s="280"/>
      <c r="AA83" s="281"/>
      <c r="AB83" s="281"/>
      <c r="AC83" s="281"/>
      <c r="AD83" s="281"/>
      <c r="AE83" s="282"/>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row>
    <row r="84" spans="1:61" ht="15" customHeight="1" x14ac:dyDescent="0.3">
      <c r="A84" s="38"/>
      <c r="B84" s="306"/>
      <c r="C84" s="307"/>
      <c r="D84" s="308"/>
      <c r="E84" s="290"/>
      <c r="F84" s="289"/>
      <c r="G84" s="289"/>
      <c r="H84" s="289"/>
      <c r="I84" s="289"/>
      <c r="J84" s="119" t="str">
        <f>IF(AND('Mapa final'!$AB$106="Alta",'Mapa final'!$AD$106="Leve"),CONCATENATE("R34C",'Mapa final'!$R$106),"")</f>
        <v/>
      </c>
      <c r="K84" s="143" t="str">
        <f>IF(AND('Mapa final'!$AB$107="Alta",'Mapa final'!$AD$107="Leve"),CONCATENATE("R34C",'Mapa final'!$R$107),"")</f>
        <v/>
      </c>
      <c r="L84" s="120" t="str">
        <f>IF(AND('Mapa final'!$AB$108="Alta",'Mapa final'!$AD$108="Leve"),CONCATENATE("R34C",'Mapa final'!$R$108),"")</f>
        <v/>
      </c>
      <c r="M84" s="119" t="str">
        <f>IF(AND('Mapa final'!$AB$106="Alta",'Mapa final'!$AD$106="Menor"),CONCATENATE("R34C",'Mapa final'!$R$106),"")</f>
        <v/>
      </c>
      <c r="N84" s="143" t="str">
        <f>IF(AND('Mapa final'!$AB$107="Alta",'Mapa final'!$AD$107="Menor"),CONCATENATE("R34C",'Mapa final'!$R$107),"")</f>
        <v/>
      </c>
      <c r="O84" s="120" t="str">
        <f>IF(AND('Mapa final'!$AB$108="Alta",'Mapa final'!$AD$108="Menor"),CONCATENATE("R34C",'Mapa final'!$R$108),"")</f>
        <v/>
      </c>
      <c r="P84" s="148" t="str">
        <f>IF(AND('Mapa final'!$AB$106="Alta",'Mapa final'!$AD$106="Moderado"),CONCATENATE("R34C",'Mapa final'!$R$106),"")</f>
        <v/>
      </c>
      <c r="Q84" s="149" t="str">
        <f>IF(AND('Mapa final'!$AB$107="Alta",'Mapa final'!$AD$107="Moderado"),CONCATENATE("R34C",'Mapa final'!$R$107),"")</f>
        <v/>
      </c>
      <c r="R84" s="150" t="str">
        <f>IF(AND('Mapa final'!$AB$108="Alta",'Mapa final'!$AD$108="Moderado"),CONCATENATE("R34C",'Mapa final'!$R$108),"")</f>
        <v/>
      </c>
      <c r="S84" s="148" t="str">
        <f>IF(AND('Mapa final'!$AB$106="Alta",'Mapa final'!$AD$106="Mayor"),CONCATENATE("R34C",'Mapa final'!$R$106),"")</f>
        <v/>
      </c>
      <c r="T84" s="149" t="str">
        <f>IF(AND('Mapa final'!$AB$107="Alta",'Mapa final'!$AD$107="Mayor"),CONCATENATE("R34C",'Mapa final'!$R$107),"")</f>
        <v/>
      </c>
      <c r="U84" s="150" t="str">
        <f>IF(AND('Mapa final'!$AB$108="Alta",'Mapa final'!$AD$108="Mayor"),CONCATENATE("R34C",'Mapa final'!$R$108),"")</f>
        <v/>
      </c>
      <c r="V84" s="114" t="str">
        <f>IF(AND('Mapa final'!$AB$106="Alta",'Mapa final'!$AD$106="Catastrófico"),CONCATENATE("R34C",'Mapa final'!$R$106),"")</f>
        <v/>
      </c>
      <c r="W84" s="142" t="str">
        <f>IF(AND('Mapa final'!$AB$107="Alta",'Mapa final'!$AD$107="Catastrófico"),CONCATENATE("R34C",'Mapa final'!$R$107),"")</f>
        <v/>
      </c>
      <c r="X84" s="115" t="str">
        <f>IF(AND('Mapa final'!$AB$108="Alta",'Mapa final'!$AD$108="Catastrófico"),CONCATENATE("R34C",'Mapa final'!$R$108),"")</f>
        <v/>
      </c>
      <c r="Y84" s="38"/>
      <c r="Z84" s="280"/>
      <c r="AA84" s="281"/>
      <c r="AB84" s="281"/>
      <c r="AC84" s="281"/>
      <c r="AD84" s="281"/>
      <c r="AE84" s="282"/>
      <c r="AF84" s="38"/>
      <c r="AG84" s="38"/>
      <c r="AH84" s="38"/>
      <c r="AI84" s="38"/>
      <c r="AJ84" s="38"/>
      <c r="AK84" s="38"/>
      <c r="AL84" s="38"/>
      <c r="AM84" s="38"/>
      <c r="AN84" s="38"/>
      <c r="AO84" s="38"/>
      <c r="AP84" s="38"/>
      <c r="AQ84" s="38"/>
      <c r="AR84" s="38"/>
      <c r="AS84" s="38"/>
      <c r="AT84" s="38"/>
      <c r="AU84" s="38"/>
      <c r="AV84" s="38"/>
      <c r="AW84" s="38"/>
      <c r="AX84" s="38"/>
      <c r="AY84" s="38"/>
      <c r="AZ84" s="38"/>
      <c r="BA84" s="38"/>
      <c r="BB84" s="38"/>
      <c r="BC84" s="38"/>
      <c r="BD84" s="38"/>
      <c r="BE84" s="38"/>
      <c r="BF84" s="38"/>
      <c r="BG84" s="38"/>
      <c r="BH84" s="38"/>
      <c r="BI84" s="38"/>
    </row>
    <row r="85" spans="1:61" ht="15" customHeight="1" x14ac:dyDescent="0.3">
      <c r="A85" s="38"/>
      <c r="B85" s="306"/>
      <c r="C85" s="307"/>
      <c r="D85" s="308"/>
      <c r="E85" s="290"/>
      <c r="F85" s="289"/>
      <c r="G85" s="289"/>
      <c r="H85" s="289"/>
      <c r="I85" s="289"/>
      <c r="J85" s="119" t="str">
        <f>IF(AND('Mapa final'!$AB$109="Alta",'Mapa final'!$AD$109="Leve"),CONCATENATE("R35C",'Mapa final'!$R$109),"")</f>
        <v/>
      </c>
      <c r="K85" s="143" t="str">
        <f>IF(AND('Mapa final'!$AB$110="Alta",'Mapa final'!$AD$110="Leve"),CONCATENATE("R35C",'Mapa final'!$R$110),"")</f>
        <v/>
      </c>
      <c r="L85" s="120" t="str">
        <f>IF(AND('Mapa final'!$AB$111="Alta",'Mapa final'!$AD$111="Leve"),CONCATENATE("R35C",'Mapa final'!$R$111),"")</f>
        <v/>
      </c>
      <c r="M85" s="119" t="str">
        <f>IF(AND('Mapa final'!$AB$109="Alta",'Mapa final'!$AD$109="Menor"),CONCATENATE("R35C",'Mapa final'!$R$109),"")</f>
        <v/>
      </c>
      <c r="N85" s="143" t="str">
        <f>IF(AND('Mapa final'!$AB$110="Alta",'Mapa final'!$AD$110="Menor"),CONCATENATE("R35C",'Mapa final'!$R$110),"")</f>
        <v/>
      </c>
      <c r="O85" s="120" t="str">
        <f>IF(AND('Mapa final'!$AB$111="Alta",'Mapa final'!$AD$111="Menor"),CONCATENATE("R35C",'Mapa final'!$R$111),"")</f>
        <v/>
      </c>
      <c r="P85" s="148" t="str">
        <f>IF(AND('Mapa final'!$AB$109="Alta",'Mapa final'!$AD$109="Moderado"),CONCATENATE("R35C",'Mapa final'!$R$109),"")</f>
        <v/>
      </c>
      <c r="Q85" s="149" t="str">
        <f>IF(AND('Mapa final'!$AB$110="Alta",'Mapa final'!$AD$110="Moderado"),CONCATENATE("R35C",'Mapa final'!$R$110),"")</f>
        <v/>
      </c>
      <c r="R85" s="150" t="str">
        <f>IF(AND('Mapa final'!$AB$111="Alta",'Mapa final'!$AD$111="Moderado"),CONCATENATE("R35C",'Mapa final'!$R$111),"")</f>
        <v/>
      </c>
      <c r="S85" s="148" t="str">
        <f>IF(AND('Mapa final'!$AB$109="Alta",'Mapa final'!$AD$109="Mayor"),CONCATENATE("R35C",'Mapa final'!$R$109),"")</f>
        <v/>
      </c>
      <c r="T85" s="149" t="str">
        <f>IF(AND('Mapa final'!$AB$110="Alta",'Mapa final'!$AD$110="Mayor"),CONCATENATE("R35C",'Mapa final'!$R$110),"")</f>
        <v/>
      </c>
      <c r="U85" s="150" t="str">
        <f>IF(AND('Mapa final'!$AB$111="Alta",'Mapa final'!$AD$111="Mayor"),CONCATENATE("R35C",'Mapa final'!$R$111),"")</f>
        <v/>
      </c>
      <c r="V85" s="114" t="str">
        <f>IF(AND('Mapa final'!$AB$109="Alta",'Mapa final'!$AD$109="Catastrófico"),CONCATENATE("R35C",'Mapa final'!$R$109),"")</f>
        <v/>
      </c>
      <c r="W85" s="142" t="str">
        <f>IF(AND('Mapa final'!$AB$110="Alta",'Mapa final'!$AD$110="Catastrófico"),CONCATENATE("R35C",'Mapa final'!$R$110),"")</f>
        <v/>
      </c>
      <c r="X85" s="115" t="str">
        <f>IF(AND('Mapa final'!$AB$111="Alta",'Mapa final'!$AD$111="Catastrófico"),CONCATENATE("R35C",'Mapa final'!$R$111),"")</f>
        <v/>
      </c>
      <c r="Y85" s="38"/>
      <c r="Z85" s="280"/>
      <c r="AA85" s="281"/>
      <c r="AB85" s="281"/>
      <c r="AC85" s="281"/>
      <c r="AD85" s="281"/>
      <c r="AE85" s="282"/>
      <c r="AF85" s="38"/>
      <c r="AG85" s="38"/>
      <c r="AH85" s="38"/>
      <c r="AI85" s="38"/>
      <c r="AJ85" s="38"/>
      <c r="AK85" s="38"/>
      <c r="AL85" s="38"/>
      <c r="AM85" s="38"/>
      <c r="AN85" s="38"/>
      <c r="AO85" s="38"/>
      <c r="AP85" s="38"/>
      <c r="AQ85" s="38"/>
      <c r="AR85" s="38"/>
      <c r="AS85" s="38"/>
      <c r="AT85" s="38"/>
      <c r="AU85" s="38"/>
      <c r="AV85" s="38"/>
      <c r="AW85" s="38"/>
      <c r="AX85" s="38"/>
      <c r="AY85" s="38"/>
      <c r="AZ85" s="38"/>
      <c r="BA85" s="38"/>
      <c r="BB85" s="38"/>
      <c r="BC85" s="38"/>
      <c r="BD85" s="38"/>
      <c r="BE85" s="38"/>
      <c r="BF85" s="38"/>
      <c r="BG85" s="38"/>
      <c r="BH85" s="38"/>
      <c r="BI85" s="38"/>
    </row>
    <row r="86" spans="1:61" ht="15" customHeight="1" x14ac:dyDescent="0.3">
      <c r="A86" s="38"/>
      <c r="B86" s="306"/>
      <c r="C86" s="307"/>
      <c r="D86" s="308"/>
      <c r="E86" s="290"/>
      <c r="F86" s="289"/>
      <c r="G86" s="289"/>
      <c r="H86" s="289"/>
      <c r="I86" s="289"/>
      <c r="J86" s="119" t="str">
        <f>IF(AND('Mapa final'!$AB$112="Alta",'Mapa final'!$AD$112="Leve"),CONCATENATE("R36C",'Mapa final'!$R$112),"")</f>
        <v/>
      </c>
      <c r="K86" s="143" t="str">
        <f>IF(AND('Mapa final'!$AB$113="Alta",'Mapa final'!$AD$113="Leve"),CONCATENATE("R36C",'Mapa final'!$R$113),"")</f>
        <v/>
      </c>
      <c r="L86" s="120" t="str">
        <f>IF(AND('Mapa final'!$AB$114="Alta",'Mapa final'!$AD$114="Leve"),CONCATENATE("R36C",'Mapa final'!$R$114),"")</f>
        <v/>
      </c>
      <c r="M86" s="119" t="str">
        <f>IF(AND('Mapa final'!$AB$112="Alta",'Mapa final'!$AD$112="Menor"),CONCATENATE("R36C",'Mapa final'!$R$112),"")</f>
        <v/>
      </c>
      <c r="N86" s="143" t="str">
        <f>IF(AND('Mapa final'!$AB$113="Alta",'Mapa final'!$AD$113="Menor"),CONCATENATE("R36C",'Mapa final'!$R$113),"")</f>
        <v/>
      </c>
      <c r="O86" s="120" t="str">
        <f>IF(AND('Mapa final'!$AB$114="Alta",'Mapa final'!$AD$114="Menor"),CONCATENATE("R36C",'Mapa final'!$R$114),"")</f>
        <v/>
      </c>
      <c r="P86" s="148" t="str">
        <f>IF(AND('Mapa final'!$AB$112="Alta",'Mapa final'!$AD$112="Moderado"),CONCATENATE("R36C",'Mapa final'!$R$112),"")</f>
        <v/>
      </c>
      <c r="Q86" s="149" t="str">
        <f>IF(AND('Mapa final'!$AB$113="Alta",'Mapa final'!$AD$113="Moderado"),CONCATENATE("R36C",'Mapa final'!$R$113),"")</f>
        <v/>
      </c>
      <c r="R86" s="150" t="str">
        <f>IF(AND('Mapa final'!$AB$114="Alta",'Mapa final'!$AD$114="Moderado"),CONCATENATE("R36C",'Mapa final'!$R$114),"")</f>
        <v/>
      </c>
      <c r="S86" s="148" t="str">
        <f>IF(AND('Mapa final'!$AB$112="Alta",'Mapa final'!$AD$112="Mayor"),CONCATENATE("R36C",'Mapa final'!$R$112),"")</f>
        <v/>
      </c>
      <c r="T86" s="149" t="str">
        <f>IF(AND('Mapa final'!$AB$113="Alta",'Mapa final'!$AD$113="Mayor"),CONCATENATE("R36C",'Mapa final'!$R$113),"")</f>
        <v/>
      </c>
      <c r="U86" s="150" t="str">
        <f>IF(AND('Mapa final'!$AB$114="Alta",'Mapa final'!$AD$114="Mayor"),CONCATENATE("R36C",'Mapa final'!$R$114),"")</f>
        <v/>
      </c>
      <c r="V86" s="114" t="str">
        <f>IF(AND('Mapa final'!$AB$112="Alta",'Mapa final'!$AD$112="Catastrófico"),CONCATENATE("R36C",'Mapa final'!$R$112),"")</f>
        <v/>
      </c>
      <c r="W86" s="142" t="str">
        <f>IF(AND('Mapa final'!$AB$113="Alta",'Mapa final'!$AD$113="Catastrófico"),CONCATENATE("R36C",'Mapa final'!$R$113),"")</f>
        <v/>
      </c>
      <c r="X86" s="115" t="str">
        <f>IF(AND('Mapa final'!$AB$114="Alta",'Mapa final'!$AD$114="Catastrófico"),CONCATENATE("R36C",'Mapa final'!$R$114),"")</f>
        <v/>
      </c>
      <c r="Y86" s="38"/>
      <c r="Z86" s="280"/>
      <c r="AA86" s="281"/>
      <c r="AB86" s="281"/>
      <c r="AC86" s="281"/>
      <c r="AD86" s="281"/>
      <c r="AE86" s="282"/>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c r="BD86" s="38"/>
      <c r="BE86" s="38"/>
      <c r="BF86" s="38"/>
      <c r="BG86" s="38"/>
      <c r="BH86" s="38"/>
      <c r="BI86" s="38"/>
    </row>
    <row r="87" spans="1:61" ht="15" customHeight="1" x14ac:dyDescent="0.3">
      <c r="A87" s="38"/>
      <c r="B87" s="306"/>
      <c r="C87" s="307"/>
      <c r="D87" s="308"/>
      <c r="E87" s="290"/>
      <c r="F87" s="289"/>
      <c r="G87" s="289"/>
      <c r="H87" s="289"/>
      <c r="I87" s="289"/>
      <c r="J87" s="119" t="str">
        <f>IF(AND('Mapa final'!$AB$115="Alta",'Mapa final'!$AD$115="Leve"),CONCATENATE("R37C",'Mapa final'!$R$115),"")</f>
        <v/>
      </c>
      <c r="K87" s="143" t="str">
        <f>IF(AND('Mapa final'!$AB$116="Alta",'Mapa final'!$AD$116="Leve"),CONCATENATE("R37C",'Mapa final'!$R$116),"")</f>
        <v/>
      </c>
      <c r="L87" s="120" t="str">
        <f>IF(AND('Mapa final'!$AB$117="Alta",'Mapa final'!$AD$117="Leve"),CONCATENATE("R37C",'Mapa final'!$R$117),"")</f>
        <v/>
      </c>
      <c r="M87" s="119" t="str">
        <f>IF(AND('Mapa final'!$AB$115="Alta",'Mapa final'!$AD$115="Menor"),CONCATENATE("R37C",'Mapa final'!$R$115),"")</f>
        <v/>
      </c>
      <c r="N87" s="143" t="str">
        <f>IF(AND('Mapa final'!$AB$116="Alta",'Mapa final'!$AD$116="Menor"),CONCATENATE("R37C",'Mapa final'!$R$116),"")</f>
        <v/>
      </c>
      <c r="O87" s="120" t="str">
        <f>IF(AND('Mapa final'!$AB$117="Alta",'Mapa final'!$AD$117="Menor"),CONCATENATE("R37C",'Mapa final'!$R$117),"")</f>
        <v/>
      </c>
      <c r="P87" s="148" t="str">
        <f>IF(AND('Mapa final'!$AB$115="Alta",'Mapa final'!$AD$115="Moderado"),CONCATENATE("R37C",'Mapa final'!$R$115),"")</f>
        <v/>
      </c>
      <c r="Q87" s="149" t="str">
        <f>IF(AND('Mapa final'!$AB$116="Alta",'Mapa final'!$AD$116="Moderado"),CONCATENATE("R37C",'Mapa final'!$R$116),"")</f>
        <v/>
      </c>
      <c r="R87" s="150" t="str">
        <f>IF(AND('Mapa final'!$AB$117="Alta",'Mapa final'!$AD$117="Moderado"),CONCATENATE("R37C",'Mapa final'!$R$117),"")</f>
        <v/>
      </c>
      <c r="S87" s="148" t="str">
        <f>IF(AND('Mapa final'!$AB$115="Alta",'Mapa final'!$AD$115="Mayor"),CONCATENATE("R37C",'Mapa final'!$R$115),"")</f>
        <v/>
      </c>
      <c r="T87" s="149" t="str">
        <f>IF(AND('Mapa final'!$AB$116="Alta",'Mapa final'!$AD$116="Mayor"),CONCATENATE("R37C",'Mapa final'!$R$116),"")</f>
        <v/>
      </c>
      <c r="U87" s="150" t="str">
        <f>IF(AND('Mapa final'!$AB$117="Alta",'Mapa final'!$AD$117="Mayor"),CONCATENATE("R37C",'Mapa final'!$R$117),"")</f>
        <v/>
      </c>
      <c r="V87" s="114" t="str">
        <f>IF(AND('Mapa final'!$AB$115="Alta",'Mapa final'!$AD$115="Catastrófico"),CONCATENATE("R37C",'Mapa final'!$R$115),"")</f>
        <v/>
      </c>
      <c r="W87" s="142" t="str">
        <f>IF(AND('Mapa final'!$AB$116="Alta",'Mapa final'!$AD$116="Catastrófico"),CONCATENATE("R37C",'Mapa final'!$R$116),"")</f>
        <v/>
      </c>
      <c r="X87" s="115" t="str">
        <f>IF(AND('Mapa final'!$AB$117="Alta",'Mapa final'!$AD$117="Catastrófico"),CONCATENATE("R37C",'Mapa final'!$R$117),"")</f>
        <v/>
      </c>
      <c r="Y87" s="38"/>
      <c r="Z87" s="280"/>
      <c r="AA87" s="281"/>
      <c r="AB87" s="281"/>
      <c r="AC87" s="281"/>
      <c r="AD87" s="281"/>
      <c r="AE87" s="282"/>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c r="BD87" s="38"/>
      <c r="BE87" s="38"/>
      <c r="BF87" s="38"/>
      <c r="BG87" s="38"/>
      <c r="BH87" s="38"/>
      <c r="BI87" s="38"/>
    </row>
    <row r="88" spans="1:61" ht="15" customHeight="1" x14ac:dyDescent="0.3">
      <c r="A88" s="38"/>
      <c r="B88" s="306"/>
      <c r="C88" s="307"/>
      <c r="D88" s="308"/>
      <c r="E88" s="290"/>
      <c r="F88" s="289"/>
      <c r="G88" s="289"/>
      <c r="H88" s="289"/>
      <c r="I88" s="289"/>
      <c r="J88" s="119" t="str">
        <f>IF(AND('Mapa final'!$AB$118="Alta",'Mapa final'!$AD$118="Leve"),CONCATENATE("R38C",'Mapa final'!$R$118),"")</f>
        <v/>
      </c>
      <c r="K88" s="143" t="str">
        <f>IF(AND('Mapa final'!$AB$119="Alta",'Mapa final'!$AD$119="Leve"),CONCATENATE("R38C",'Mapa final'!$R$119),"")</f>
        <v/>
      </c>
      <c r="L88" s="120" t="str">
        <f>IF(AND('Mapa final'!$AB$120="Alta",'Mapa final'!$AD$120="Leve"),CONCATENATE("R38C",'Mapa final'!$R$120),"")</f>
        <v/>
      </c>
      <c r="M88" s="119" t="str">
        <f>IF(AND('Mapa final'!$AB$118="Alta",'Mapa final'!$AD$118="Menor"),CONCATENATE("R38C",'Mapa final'!$R$118),"")</f>
        <v/>
      </c>
      <c r="N88" s="143" t="str">
        <f>IF(AND('Mapa final'!$AB$119="Alta",'Mapa final'!$AD$119="Menor"),CONCATENATE("R38C",'Mapa final'!$R$119),"")</f>
        <v/>
      </c>
      <c r="O88" s="120" t="str">
        <f>IF(AND('Mapa final'!$AB$120="Alta",'Mapa final'!$AD$120="Menor"),CONCATENATE("R38C",'Mapa final'!$R$120),"")</f>
        <v/>
      </c>
      <c r="P88" s="148" t="str">
        <f>IF(AND('Mapa final'!$AB$118="Alta",'Mapa final'!$AD$118="Moderado"),CONCATENATE("R38C",'Mapa final'!$R$118),"")</f>
        <v/>
      </c>
      <c r="Q88" s="149" t="str">
        <f>IF(AND('Mapa final'!$AB$119="Alta",'Mapa final'!$AD$119="Moderado"),CONCATENATE("R38C",'Mapa final'!$R$119),"")</f>
        <v/>
      </c>
      <c r="R88" s="150" t="str">
        <f>IF(AND('Mapa final'!$AB$120="Alta",'Mapa final'!$AD$120="Moderado"),CONCATENATE("R38C",'Mapa final'!$R$120),"")</f>
        <v/>
      </c>
      <c r="S88" s="148" t="str">
        <f>IF(AND('Mapa final'!$AB$118="Alta",'Mapa final'!$AD$118="Mayor"),CONCATENATE("R38C",'Mapa final'!$R$118),"")</f>
        <v/>
      </c>
      <c r="T88" s="149" t="str">
        <f>IF(AND('Mapa final'!$AB$119="Alta",'Mapa final'!$AD$119="Mayor"),CONCATENATE("R38C",'Mapa final'!$R$119),"")</f>
        <v/>
      </c>
      <c r="U88" s="150" t="str">
        <f>IF(AND('Mapa final'!$AB$120="Alta",'Mapa final'!$AD$120="Mayor"),CONCATENATE("R38C",'Mapa final'!$R$120),"")</f>
        <v/>
      </c>
      <c r="V88" s="114" t="str">
        <f>IF(AND('Mapa final'!$AB$118="Alta",'Mapa final'!$AD$118="Catastrófico"),CONCATENATE("R38C",'Mapa final'!$R$118),"")</f>
        <v/>
      </c>
      <c r="W88" s="142" t="str">
        <f>IF(AND('Mapa final'!$AB$119="Alta",'Mapa final'!$AD$119="Catastrófico"),CONCATENATE("R38C",'Mapa final'!$R$119),"")</f>
        <v/>
      </c>
      <c r="X88" s="115" t="str">
        <f>IF(AND('Mapa final'!$AB$120="Alta",'Mapa final'!$AD$120="Catastrófico"),CONCATENATE("R38C",'Mapa final'!$R$120),"")</f>
        <v/>
      </c>
      <c r="Y88" s="38"/>
      <c r="Z88" s="280"/>
      <c r="AA88" s="281"/>
      <c r="AB88" s="281"/>
      <c r="AC88" s="281"/>
      <c r="AD88" s="281"/>
      <c r="AE88" s="282"/>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c r="BD88" s="38"/>
      <c r="BE88" s="38"/>
      <c r="BF88" s="38"/>
      <c r="BG88" s="38"/>
      <c r="BH88" s="38"/>
      <c r="BI88" s="38"/>
    </row>
    <row r="89" spans="1:61" ht="15" customHeight="1" x14ac:dyDescent="0.3">
      <c r="A89" s="38"/>
      <c r="B89" s="306"/>
      <c r="C89" s="307"/>
      <c r="D89" s="308"/>
      <c r="E89" s="290"/>
      <c r="F89" s="289"/>
      <c r="G89" s="289"/>
      <c r="H89" s="289"/>
      <c r="I89" s="289"/>
      <c r="J89" s="119" t="str">
        <f>IF(AND('Mapa final'!$AB$121="Alta",'Mapa final'!$AD$121="Leve"),CONCATENATE("R39C",'Mapa final'!$R$121),"")</f>
        <v/>
      </c>
      <c r="K89" s="143" t="str">
        <f>IF(AND('Mapa final'!$AB$122="Alta",'Mapa final'!$AD$122="Leve"),CONCATENATE("R39C",'Mapa final'!$R$122),"")</f>
        <v/>
      </c>
      <c r="L89" s="120" t="str">
        <f>IF(AND('Mapa final'!$AB$123="Alta",'Mapa final'!$AD$123="Leve"),CONCATENATE("R39C",'Mapa final'!$R$123),"")</f>
        <v/>
      </c>
      <c r="M89" s="119" t="str">
        <f>IF(AND('Mapa final'!$AB$121="Alta",'Mapa final'!$AD$121="Menor"),CONCATENATE("R39C",'Mapa final'!$R$121),"")</f>
        <v/>
      </c>
      <c r="N89" s="143" t="str">
        <f>IF(AND('Mapa final'!$AB$122="Alta",'Mapa final'!$AD$122="Menor"),CONCATENATE("R39C",'Mapa final'!$R$122),"")</f>
        <v/>
      </c>
      <c r="O89" s="120" t="str">
        <f>IF(AND('Mapa final'!$AB$123="Alta",'Mapa final'!$AD$123="Menor"),CONCATENATE("R39C",'Mapa final'!$R$123),"")</f>
        <v/>
      </c>
      <c r="P89" s="148" t="str">
        <f>IF(AND('Mapa final'!$AB$121="Alta",'Mapa final'!$AD$121="Moderado"),CONCATENATE("R39C",'Mapa final'!$R$121),"")</f>
        <v/>
      </c>
      <c r="Q89" s="149" t="str">
        <f>IF(AND('Mapa final'!$AB$122="Alta",'Mapa final'!$AD$122="Moderado"),CONCATENATE("R39C",'Mapa final'!$R$122),"")</f>
        <v/>
      </c>
      <c r="R89" s="150" t="str">
        <f>IF(AND('Mapa final'!$AB$123="Alta",'Mapa final'!$AD$123="Moderado"),CONCATENATE("R39C",'Mapa final'!$R$123),"")</f>
        <v/>
      </c>
      <c r="S89" s="148" t="str">
        <f>IF(AND('Mapa final'!$AB$121="Alta",'Mapa final'!$AD$121="Mayor"),CONCATENATE("R39C",'Mapa final'!$R$121),"")</f>
        <v/>
      </c>
      <c r="T89" s="149" t="str">
        <f>IF(AND('Mapa final'!$AB$122="Alta",'Mapa final'!$AD$122="Mayor"),CONCATENATE("R39C",'Mapa final'!$R$122),"")</f>
        <v/>
      </c>
      <c r="U89" s="150" t="str">
        <f>IF(AND('Mapa final'!$AB$123="Alta",'Mapa final'!$AD$123="Mayor"),CONCATENATE("R39C",'Mapa final'!$R$123),"")</f>
        <v/>
      </c>
      <c r="V89" s="114" t="str">
        <f>IF(AND('Mapa final'!$AB$121="Alta",'Mapa final'!$AD$121="Catastrófico"),CONCATENATE("R39C",'Mapa final'!$R$121),"")</f>
        <v/>
      </c>
      <c r="W89" s="142" t="str">
        <f>IF(AND('Mapa final'!$AB$122="Alta",'Mapa final'!$AD$122="Catastrófico"),CONCATENATE("R39C",'Mapa final'!$R$122),"")</f>
        <v/>
      </c>
      <c r="X89" s="115" t="str">
        <f>IF(AND('Mapa final'!$AB$123="Alta",'Mapa final'!$AD$123="Catastrófico"),CONCATENATE("R39C",'Mapa final'!$R$123),"")</f>
        <v/>
      </c>
      <c r="Y89" s="38"/>
      <c r="Z89" s="280"/>
      <c r="AA89" s="281"/>
      <c r="AB89" s="281"/>
      <c r="AC89" s="281"/>
      <c r="AD89" s="281"/>
      <c r="AE89" s="282"/>
      <c r="AF89" s="38"/>
      <c r="AG89" s="38"/>
      <c r="AH89" s="38"/>
      <c r="AI89" s="38"/>
      <c r="AJ89" s="38"/>
      <c r="AK89" s="38"/>
      <c r="AL89" s="38"/>
      <c r="AM89" s="38"/>
      <c r="AN89" s="38"/>
      <c r="AO89" s="38"/>
      <c r="AP89" s="38"/>
      <c r="AQ89" s="38"/>
      <c r="AR89" s="38"/>
      <c r="AS89" s="38"/>
      <c r="AT89" s="38"/>
      <c r="AU89" s="38"/>
      <c r="AV89" s="38"/>
      <c r="AW89" s="38"/>
      <c r="AX89" s="38"/>
      <c r="AY89" s="38"/>
      <c r="AZ89" s="38"/>
      <c r="BA89" s="38"/>
      <c r="BB89" s="38"/>
      <c r="BC89" s="38"/>
      <c r="BD89" s="38"/>
      <c r="BE89" s="38"/>
      <c r="BF89" s="38"/>
      <c r="BG89" s="38"/>
      <c r="BH89" s="38"/>
      <c r="BI89" s="38"/>
    </row>
    <row r="90" spans="1:61" ht="15" customHeight="1" x14ac:dyDescent="0.3">
      <c r="A90" s="38"/>
      <c r="B90" s="306"/>
      <c r="C90" s="307"/>
      <c r="D90" s="308"/>
      <c r="E90" s="290"/>
      <c r="F90" s="289"/>
      <c r="G90" s="289"/>
      <c r="H90" s="289"/>
      <c r="I90" s="289"/>
      <c r="J90" s="119" t="str">
        <f>IF(AND('Mapa final'!$AB$124="Alta",'Mapa final'!$AD$124="Leve"),CONCATENATE("R40C",'Mapa final'!$R$124),"")</f>
        <v/>
      </c>
      <c r="K90" s="143" t="str">
        <f>IF(AND('Mapa final'!$AB$125="Alta",'Mapa final'!$AD$125="Leve"),CONCATENATE("R40C",'Mapa final'!$R$125),"")</f>
        <v/>
      </c>
      <c r="L90" s="120" t="str">
        <f>IF(AND('Mapa final'!$AB$126="Alta",'Mapa final'!$AD$126="Leve"),CONCATENATE("R40C",'Mapa final'!$R$126),"")</f>
        <v/>
      </c>
      <c r="M90" s="119" t="str">
        <f>IF(AND('Mapa final'!$AB$124="Alta",'Mapa final'!$AD$124="Menor"),CONCATENATE("R40C",'Mapa final'!$R$124),"")</f>
        <v/>
      </c>
      <c r="N90" s="143" t="str">
        <f>IF(AND('Mapa final'!$AB$125="Alta",'Mapa final'!$AD$125="Menor"),CONCATENATE("R40C",'Mapa final'!$R$125),"")</f>
        <v/>
      </c>
      <c r="O90" s="120" t="str">
        <f>IF(AND('Mapa final'!$AB$126="Alta",'Mapa final'!$AD$126="Menor"),CONCATENATE("R40C",'Mapa final'!$R$126),"")</f>
        <v/>
      </c>
      <c r="P90" s="148" t="str">
        <f>IF(AND('Mapa final'!$AB$124="Alta",'Mapa final'!$AD$124="Moderado"),CONCATENATE("R40C",'Mapa final'!$R$124),"")</f>
        <v/>
      </c>
      <c r="Q90" s="149" t="str">
        <f>IF(AND('Mapa final'!$AB$125="Alta",'Mapa final'!$AD$125="Moderado"),CONCATENATE("R40C",'Mapa final'!$R$125),"")</f>
        <v/>
      </c>
      <c r="R90" s="150" t="str">
        <f>IF(AND('Mapa final'!$AB$126="Alta",'Mapa final'!$AD$126="Moderado"),CONCATENATE("R40C",'Mapa final'!$R$126),"")</f>
        <v/>
      </c>
      <c r="S90" s="148" t="str">
        <f>IF(AND('Mapa final'!$AB$124="Alta",'Mapa final'!$AD$124="Mayor"),CONCATENATE("R40C",'Mapa final'!$R$124),"")</f>
        <v/>
      </c>
      <c r="T90" s="149" t="str">
        <f>IF(AND('Mapa final'!$AB$125="Alta",'Mapa final'!$AD$125="Mayor"),CONCATENATE("R40C",'Mapa final'!$R$125),"")</f>
        <v/>
      </c>
      <c r="U90" s="150" t="str">
        <f>IF(AND('Mapa final'!$AB$126="Alta",'Mapa final'!$AD$126="Mayor"),CONCATENATE("R40C",'Mapa final'!$R$126),"")</f>
        <v/>
      </c>
      <c r="V90" s="114" t="str">
        <f>IF(AND('Mapa final'!$AB$124="Alta",'Mapa final'!$AD$124="Catastrófico"),CONCATENATE("R40C",'Mapa final'!$R$124),"")</f>
        <v/>
      </c>
      <c r="W90" s="142" t="str">
        <f>IF(AND('Mapa final'!$AB$125="Alta",'Mapa final'!$AD$125="Catastrófico"),CONCATENATE("R40C",'Mapa final'!$R$125),"")</f>
        <v/>
      </c>
      <c r="X90" s="115" t="str">
        <f>IF(AND('Mapa final'!$AB$126="Alta",'Mapa final'!$AD$126="Catastrófico"),CONCATENATE("R40C",'Mapa final'!$R$126),"")</f>
        <v/>
      </c>
      <c r="Y90" s="38"/>
      <c r="Z90" s="280"/>
      <c r="AA90" s="281"/>
      <c r="AB90" s="281"/>
      <c r="AC90" s="281"/>
      <c r="AD90" s="281"/>
      <c r="AE90" s="282"/>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c r="BE90" s="38"/>
      <c r="BF90" s="38"/>
      <c r="BG90" s="38"/>
      <c r="BH90" s="38"/>
      <c r="BI90" s="38"/>
    </row>
    <row r="91" spans="1:61" ht="15" customHeight="1" x14ac:dyDescent="0.3">
      <c r="A91" s="38"/>
      <c r="B91" s="306"/>
      <c r="C91" s="307"/>
      <c r="D91" s="308"/>
      <c r="E91" s="290"/>
      <c r="F91" s="289"/>
      <c r="G91" s="289"/>
      <c r="H91" s="289"/>
      <c r="I91" s="289"/>
      <c r="J91" s="119" t="str">
        <f>IF(AND('Mapa final'!$AB$130="Alta",'Mapa final'!$AD$130="Leve"),CONCATENATE("R41C",'Mapa final'!$R$130),"")</f>
        <v/>
      </c>
      <c r="K91" s="143" t="str">
        <f>IF(AND('Mapa final'!$AB$131="Alta",'Mapa final'!$AD$131="Leve"),CONCATENATE("R41C",'Mapa final'!$R$131),"")</f>
        <v/>
      </c>
      <c r="L91" s="120" t="str">
        <f>IF(AND('Mapa final'!$AB$132="Alta",'Mapa final'!$AD$132="Leve"),CONCATENATE("R41C",'Mapa final'!$R$132),"")</f>
        <v/>
      </c>
      <c r="M91" s="119" t="str">
        <f>IF(AND('Mapa final'!$AB$130="Alta",'Mapa final'!$AD$130="Menor"),CONCATENATE("R41C",'Mapa final'!$R$130),"")</f>
        <v/>
      </c>
      <c r="N91" s="143" t="str">
        <f>IF(AND('Mapa final'!$AB$131="Alta",'Mapa final'!$AD$131="Menor"),CONCATENATE("R41C",'Mapa final'!$R$131),"")</f>
        <v/>
      </c>
      <c r="O91" s="120" t="str">
        <f>IF(AND('Mapa final'!$AB$132="Alta",'Mapa final'!$AD$132="Menor"),CONCATENATE("R41C",'Mapa final'!$R$132),"")</f>
        <v/>
      </c>
      <c r="P91" s="148" t="str">
        <f>IF(AND('Mapa final'!$AB$130="Alta",'Mapa final'!$AD$130="Moderado"),CONCATENATE("R41C",'Mapa final'!$R$130),"")</f>
        <v/>
      </c>
      <c r="Q91" s="149" t="str">
        <f>IF(AND('Mapa final'!$AB$131="Alta",'Mapa final'!$AD$131="Moderado"),CONCATENATE("R41C",'Mapa final'!$R$131),"")</f>
        <v/>
      </c>
      <c r="R91" s="150" t="str">
        <f>IF(AND('Mapa final'!$AB$132="Alta",'Mapa final'!$AD$132="Moderado"),CONCATENATE("R41C",'Mapa final'!$R$132),"")</f>
        <v/>
      </c>
      <c r="S91" s="148" t="str">
        <f>IF(AND('Mapa final'!$AB$130="Alta",'Mapa final'!$AD$130="Mayor"),CONCATENATE("R41C",'Mapa final'!$R$130),"")</f>
        <v/>
      </c>
      <c r="T91" s="149" t="str">
        <f>IF(AND('Mapa final'!$AB$131="Alta",'Mapa final'!$AD$131="Mayor"),CONCATENATE("R41C",'Mapa final'!$R$131),"")</f>
        <v/>
      </c>
      <c r="U91" s="150" t="str">
        <f>IF(AND('Mapa final'!$AB$132="Alta",'Mapa final'!$AD$132="Mayor"),CONCATENATE("R41C",'Mapa final'!$R$132),"")</f>
        <v/>
      </c>
      <c r="V91" s="114" t="str">
        <f>IF(AND('Mapa final'!$AB$130="Alta",'Mapa final'!$AD$130="Catastrófico"),CONCATENATE("R41C",'Mapa final'!$R$130),"")</f>
        <v/>
      </c>
      <c r="W91" s="142" t="str">
        <f>IF(AND('Mapa final'!$AB$131="Alta",'Mapa final'!$AD$131="Catastrófico"),CONCATENATE("R41C",'Mapa final'!$R$131),"")</f>
        <v/>
      </c>
      <c r="X91" s="115" t="str">
        <f>IF(AND('Mapa final'!$AB$132="Alta",'Mapa final'!$AD$132="Catastrófico"),CONCATENATE("R41C",'Mapa final'!$R$132),"")</f>
        <v/>
      </c>
      <c r="Y91" s="38"/>
      <c r="Z91" s="280"/>
      <c r="AA91" s="281"/>
      <c r="AB91" s="281"/>
      <c r="AC91" s="281"/>
      <c r="AD91" s="281"/>
      <c r="AE91" s="282"/>
      <c r="AF91" s="38"/>
      <c r="AG91" s="38"/>
      <c r="AH91" s="38"/>
      <c r="AI91" s="38"/>
      <c r="AJ91" s="38"/>
      <c r="AK91" s="38"/>
      <c r="AL91" s="38"/>
      <c r="AM91" s="38"/>
      <c r="AN91" s="38"/>
      <c r="AO91" s="38"/>
      <c r="AP91" s="38"/>
      <c r="AQ91" s="38"/>
      <c r="AR91" s="38"/>
      <c r="AS91" s="38"/>
      <c r="AT91" s="38"/>
      <c r="AU91" s="38"/>
      <c r="AV91" s="38"/>
      <c r="AW91" s="38"/>
      <c r="AX91" s="38"/>
      <c r="AY91" s="38"/>
      <c r="AZ91" s="38"/>
      <c r="BA91" s="38"/>
      <c r="BB91" s="38"/>
      <c r="BC91" s="38"/>
      <c r="BD91" s="38"/>
      <c r="BE91" s="38"/>
      <c r="BF91" s="38"/>
      <c r="BG91" s="38"/>
      <c r="BH91" s="38"/>
      <c r="BI91" s="38"/>
    </row>
    <row r="92" spans="1:61" ht="15" customHeight="1" x14ac:dyDescent="0.3">
      <c r="A92" s="38"/>
      <c r="B92" s="306"/>
      <c r="C92" s="307"/>
      <c r="D92" s="308"/>
      <c r="E92" s="290"/>
      <c r="F92" s="289"/>
      <c r="G92" s="289"/>
      <c r="H92" s="289"/>
      <c r="I92" s="289"/>
      <c r="J92" s="119" t="str">
        <f>IF(AND('Mapa final'!$AB$133="Alta",'Mapa final'!$AD$133="Leve"),CONCATENATE("R42C",'Mapa final'!$R$133),"")</f>
        <v/>
      </c>
      <c r="K92" s="143" t="str">
        <f>IF(AND('Mapa final'!$AB$134="Alta",'Mapa final'!$AD$134="Leve"),CONCATENATE("R42C",'Mapa final'!$R$134),"")</f>
        <v/>
      </c>
      <c r="L92" s="120" t="str">
        <f>IF(AND('Mapa final'!$AB$135="Alta",'Mapa final'!$AD$135="Leve"),CONCATENATE("R42C",'Mapa final'!$R$135),"")</f>
        <v/>
      </c>
      <c r="M92" s="119" t="str">
        <f>IF(AND('Mapa final'!$AB$133="Alta",'Mapa final'!$AD$133="Menor"),CONCATENATE("R42C",'Mapa final'!$R$133),"")</f>
        <v/>
      </c>
      <c r="N92" s="143" t="str">
        <f>IF(AND('Mapa final'!$AB$134="Alta",'Mapa final'!$AD$134="Menor"),CONCATENATE("R42C",'Mapa final'!$R$134),"")</f>
        <v/>
      </c>
      <c r="O92" s="120" t="str">
        <f>IF(AND('Mapa final'!$AB$135="Alta",'Mapa final'!$AD$135="Menor"),CONCATENATE("R42C",'Mapa final'!$R$135),"")</f>
        <v/>
      </c>
      <c r="P92" s="148" t="str">
        <f>IF(AND('Mapa final'!$AB$133="Alta",'Mapa final'!$AD$133="Moderado"),CONCATENATE("R42C",'Mapa final'!$R$133),"")</f>
        <v/>
      </c>
      <c r="Q92" s="149" t="str">
        <f>IF(AND('Mapa final'!$AB$134="Alta",'Mapa final'!$AD$134="Moderado"),CONCATENATE("R42C",'Mapa final'!$R$134),"")</f>
        <v/>
      </c>
      <c r="R92" s="150" t="str">
        <f>IF(AND('Mapa final'!$AB$135="Alta",'Mapa final'!$AD$135="Moderado"),CONCATENATE("R42C",'Mapa final'!$R$135),"")</f>
        <v/>
      </c>
      <c r="S92" s="148" t="str">
        <f>IF(AND('Mapa final'!$AB$133="Alta",'Mapa final'!$AD$133="Mayor"),CONCATENATE("R42C",'Mapa final'!$R$133),"")</f>
        <v/>
      </c>
      <c r="T92" s="149" t="str">
        <f>IF(AND('Mapa final'!$AB$134="Alta",'Mapa final'!$AD$134="Mayor"),CONCATENATE("R42C",'Mapa final'!$R$134),"")</f>
        <v/>
      </c>
      <c r="U92" s="150" t="str">
        <f>IF(AND('Mapa final'!$AB$135="Alta",'Mapa final'!$AD$135="Mayor"),CONCATENATE("R42C",'Mapa final'!$R$135),"")</f>
        <v/>
      </c>
      <c r="V92" s="114" t="str">
        <f>IF(AND('Mapa final'!$AB$133="Alta",'Mapa final'!$AD$133="Catastrófico"),CONCATENATE("R42C",'Mapa final'!$R$133),"")</f>
        <v/>
      </c>
      <c r="W92" s="142" t="str">
        <f>IF(AND('Mapa final'!$AB$134="Alta",'Mapa final'!$AD$134="Catastrófico"),CONCATENATE("R42C",'Mapa final'!$R$134),"")</f>
        <v/>
      </c>
      <c r="X92" s="115" t="str">
        <f>IF(AND('Mapa final'!$AB$135="Alta",'Mapa final'!$AD$135="Catastrófico"),CONCATENATE("R42C",'Mapa final'!$R$135),"")</f>
        <v/>
      </c>
      <c r="Y92" s="38"/>
      <c r="Z92" s="280"/>
      <c r="AA92" s="281"/>
      <c r="AB92" s="281"/>
      <c r="AC92" s="281"/>
      <c r="AD92" s="281"/>
      <c r="AE92" s="282"/>
      <c r="AF92" s="38"/>
      <c r="AG92" s="38"/>
      <c r="AH92" s="38"/>
      <c r="AI92" s="38"/>
      <c r="AJ92" s="38"/>
      <c r="AK92" s="38"/>
      <c r="AL92" s="38"/>
      <c r="AM92" s="38"/>
      <c r="AN92" s="38"/>
      <c r="AO92" s="38"/>
      <c r="AP92" s="38"/>
      <c r="AQ92" s="38"/>
      <c r="AR92" s="38"/>
      <c r="AS92" s="38"/>
      <c r="AT92" s="38"/>
      <c r="AU92" s="38"/>
      <c r="AV92" s="38"/>
      <c r="AW92" s="38"/>
      <c r="AX92" s="38"/>
      <c r="AY92" s="38"/>
      <c r="AZ92" s="38"/>
      <c r="BA92" s="38"/>
      <c r="BB92" s="38"/>
      <c r="BC92" s="38"/>
      <c r="BD92" s="38"/>
      <c r="BE92" s="38"/>
      <c r="BF92" s="38"/>
      <c r="BG92" s="38"/>
      <c r="BH92" s="38"/>
      <c r="BI92" s="38"/>
    </row>
    <row r="93" spans="1:61" ht="15" customHeight="1" thickBot="1" x14ac:dyDescent="0.35">
      <c r="A93" s="38"/>
      <c r="B93" s="306"/>
      <c r="C93" s="307"/>
      <c r="D93" s="308"/>
      <c r="E93" s="290"/>
      <c r="F93" s="289"/>
      <c r="G93" s="289"/>
      <c r="H93" s="289"/>
      <c r="I93" s="289"/>
      <c r="J93" s="119" t="str">
        <f>IF(AND('Mapa final'!$AB$136="Alta",'Mapa final'!$AD$136="Leve"),CONCATENATE("R43C",'Mapa final'!$R$136),"")</f>
        <v/>
      </c>
      <c r="K93" s="143" t="str">
        <f>IF(AND('Mapa final'!$AB$137="Alta",'Mapa final'!$AD$137="Leve"),CONCATENATE("R43C",'Mapa final'!$R$137),"")</f>
        <v/>
      </c>
      <c r="L93" s="120" t="str">
        <f>IF(AND('Mapa final'!$AB$138="Alta",'Mapa final'!$AD$138="Leve"),CONCATENATE("R43C",'Mapa final'!$R$138),"")</f>
        <v/>
      </c>
      <c r="M93" s="119" t="str">
        <f>IF(AND('Mapa final'!$AB$136="Alta",'Mapa final'!$AD$136="Menor"),CONCATENATE("R43C",'Mapa final'!$R$136),"")</f>
        <v/>
      </c>
      <c r="N93" s="143" t="str">
        <f>IF(AND('Mapa final'!$AB$137="Alta",'Mapa final'!$AD$137="Menor"),CONCATENATE("R43C",'Mapa final'!$R$137),"")</f>
        <v/>
      </c>
      <c r="O93" s="120" t="str">
        <f>IF(AND('Mapa final'!$AB$138="Alta",'Mapa final'!$AD$138="Menor"),CONCATENATE("R43C",'Mapa final'!$R$138),"")</f>
        <v/>
      </c>
      <c r="P93" s="148" t="str">
        <f>IF(AND('Mapa final'!$AB$136="Alta",'Mapa final'!$AD$136="Moderado"),CONCATENATE("R43C",'Mapa final'!$R$136),"")</f>
        <v/>
      </c>
      <c r="Q93" s="149" t="str">
        <f>IF(AND('Mapa final'!$AB$137="Alta",'Mapa final'!$AD$137="Moderado"),CONCATENATE("R43C",'Mapa final'!$R$137),"")</f>
        <v/>
      </c>
      <c r="R93" s="150" t="str">
        <f>IF(AND('Mapa final'!$AB$138="Alta",'Mapa final'!$AD$138="Moderado"),CONCATENATE("R43C",'Mapa final'!$R$138),"")</f>
        <v/>
      </c>
      <c r="S93" s="148" t="str">
        <f>IF(AND('Mapa final'!$AB$136="Alta",'Mapa final'!$AD$136="Mayor"),CONCATENATE("R43C",'Mapa final'!$R$136),"")</f>
        <v/>
      </c>
      <c r="T93" s="149" t="str">
        <f>IF(AND('Mapa final'!$AB$137="Alta",'Mapa final'!$AD$137="Mayor"),CONCATENATE("R43C",'Mapa final'!$R$137),"")</f>
        <v/>
      </c>
      <c r="U93" s="150" t="str">
        <f>IF(AND('Mapa final'!$AB$138="Alta",'Mapa final'!$AD$138="Mayor"),CONCATENATE("R43C",'Mapa final'!$R$138),"")</f>
        <v/>
      </c>
      <c r="V93" s="114" t="str">
        <f>IF(AND('Mapa final'!$AB$136="Alta",'Mapa final'!$AD$136="Catastrófico"),CONCATENATE("R43C",'Mapa final'!$R$136),"")</f>
        <v/>
      </c>
      <c r="W93" s="142" t="str">
        <f>IF(AND('Mapa final'!$AB$137="Alta",'Mapa final'!$AD$137="Catastrófico"),CONCATENATE("R43C",'Mapa final'!$R$137),"")</f>
        <v/>
      </c>
      <c r="X93" s="115" t="str">
        <f>IF(AND('Mapa final'!$AB$138="Alta",'Mapa final'!$AD$138="Catastrófico"),CONCATENATE("R43C",'Mapa final'!$R$138),"")</f>
        <v/>
      </c>
      <c r="Y93" s="38"/>
      <c r="Z93" s="283"/>
      <c r="AA93" s="284"/>
      <c r="AB93" s="284"/>
      <c r="AC93" s="284"/>
      <c r="AD93" s="284"/>
      <c r="AE93" s="285"/>
      <c r="AF93" s="38"/>
      <c r="AG93" s="38"/>
      <c r="AH93" s="38"/>
      <c r="AI93" s="38"/>
      <c r="AJ93" s="38"/>
      <c r="AK93" s="38"/>
      <c r="AL93" s="38"/>
      <c r="AM93" s="38"/>
      <c r="AN93" s="38"/>
      <c r="AO93" s="38"/>
      <c r="AP93" s="38"/>
      <c r="AQ93" s="38"/>
      <c r="AR93" s="38"/>
      <c r="AS93" s="38"/>
      <c r="AT93" s="38"/>
      <c r="AU93" s="38"/>
      <c r="AV93" s="38"/>
      <c r="AW93" s="38"/>
      <c r="AX93" s="38"/>
      <c r="AY93" s="38"/>
      <c r="AZ93" s="38"/>
      <c r="BA93" s="38"/>
      <c r="BB93" s="38"/>
      <c r="BC93" s="38"/>
      <c r="BD93" s="38"/>
      <c r="BE93" s="38"/>
      <c r="BF93" s="38"/>
      <c r="BG93" s="38"/>
      <c r="BH93" s="38"/>
      <c r="BI93" s="38"/>
    </row>
    <row r="94" spans="1:61" ht="15" customHeight="1" x14ac:dyDescent="0.3">
      <c r="A94" s="38"/>
      <c r="B94" s="306"/>
      <c r="C94" s="307"/>
      <c r="D94" s="308"/>
      <c r="E94" s="286" t="s">
        <v>108</v>
      </c>
      <c r="F94" s="287"/>
      <c r="G94" s="287"/>
      <c r="H94" s="287"/>
      <c r="I94" s="287"/>
      <c r="J94" s="116" t="str">
        <f>IF(AND('Mapa final'!$AB$7="Media",'Mapa final'!$AD$7="Leve"),CONCATENATE("R1C",'Mapa final'!$R$7),"")</f>
        <v/>
      </c>
      <c r="K94" s="117" t="str">
        <f>IF(AND('Mapa final'!$AB$8="Media",'Mapa final'!$AD$8="Leve"),CONCATENATE("R1C",'Mapa final'!$R$8),"")</f>
        <v/>
      </c>
      <c r="L94" s="118" t="str">
        <f>IF(AND('Mapa final'!$AB$9="Media",'Mapa final'!$AD$9="Leve"),CONCATENATE("R1C",'Mapa final'!$R$9),"")</f>
        <v/>
      </c>
      <c r="M94" s="116" t="str">
        <f>IF(AND('Mapa final'!$AB$7="Media",'Mapa final'!$AD$7="Menor"),CONCATENATE("R1C",'Mapa final'!$R$7),"")</f>
        <v/>
      </c>
      <c r="N94" s="117" t="str">
        <f>IF(AND('Mapa final'!$AB$8="Media",'Mapa final'!$AD$8="Menor"),CONCATENATE("R1C",'Mapa final'!$R$8),"")</f>
        <v/>
      </c>
      <c r="O94" s="118" t="str">
        <f>IF(AND('Mapa final'!$AB$9="Media",'Mapa final'!$AD$9="Menor"),CONCATENATE("R1C",'Mapa final'!$R$9),"")</f>
        <v/>
      </c>
      <c r="P94" s="116" t="str">
        <f>IF(AND('Mapa final'!$AB$7="Media",'Mapa final'!$AD$7="Moderado"),CONCATENATE("R1C",'Mapa final'!$R$7),"")</f>
        <v/>
      </c>
      <c r="Q94" s="117" t="str">
        <f>IF(AND('Mapa final'!$AB$8="Media",'Mapa final'!$AD$8="Moderado"),CONCATENATE("R1C",'Mapa final'!$R$8),"")</f>
        <v/>
      </c>
      <c r="R94" s="118" t="str">
        <f>IF(AND('Mapa final'!$AB$9="Media",'Mapa final'!$AD$9="Moderado"),CONCATENATE("R1C",'Mapa final'!$R$9),"")</f>
        <v/>
      </c>
      <c r="S94" s="145" t="str">
        <f>IF(AND('Mapa final'!$AB$7="Media",'Mapa final'!$AD$7="Mayor"),CONCATENATE("R1C",'Mapa final'!$R$7),"")</f>
        <v/>
      </c>
      <c r="T94" s="146" t="str">
        <f>IF(AND('Mapa final'!$AB$8="Media",'Mapa final'!$AD$8="Mayor"),CONCATENATE("R1C",'Mapa final'!$R$8),"")</f>
        <v/>
      </c>
      <c r="U94" s="147" t="str">
        <f>IF(AND('Mapa final'!$AB$9="Media",'Mapa final'!$AD$9="Mayor"),CONCATENATE("R1C",'Mapa final'!$R$9),"")</f>
        <v/>
      </c>
      <c r="V94" s="111" t="str">
        <f>IF(AND('Mapa final'!$AB$7="Media",'Mapa final'!$AD$7="Catastrófico"),CONCATENATE("R1C",'Mapa final'!$R$7),"")</f>
        <v/>
      </c>
      <c r="W94" s="112" t="str">
        <f>IF(AND('Mapa final'!$AB$8="Media",'Mapa final'!$AD$8="Catastrófico"),CONCATENATE("R1C",'Mapa final'!$R$8),"")</f>
        <v/>
      </c>
      <c r="X94" s="113" t="str">
        <f>IF(AND('Mapa final'!$AB$9="Media",'Mapa final'!$AD$9="Catastrófico"),CONCATENATE("R1C",'Mapa final'!$R$9),"")</f>
        <v/>
      </c>
      <c r="Y94" s="38"/>
      <c r="Z94" s="320" t="s">
        <v>75</v>
      </c>
      <c r="AA94" s="321"/>
      <c r="AB94" s="321"/>
      <c r="AC94" s="321"/>
      <c r="AD94" s="321"/>
      <c r="AE94" s="322"/>
      <c r="AF94" s="38"/>
      <c r="AG94" s="38"/>
      <c r="AH94" s="38"/>
      <c r="AI94" s="38"/>
      <c r="AJ94" s="38"/>
      <c r="AK94" s="38"/>
      <c r="AL94" s="38"/>
      <c r="AM94" s="38"/>
      <c r="AN94" s="38"/>
      <c r="AO94" s="38"/>
      <c r="AP94" s="38"/>
      <c r="AQ94" s="38"/>
      <c r="AR94" s="38"/>
      <c r="AS94" s="38"/>
      <c r="AT94" s="38"/>
      <c r="AU94" s="38"/>
      <c r="AV94" s="38"/>
      <c r="AW94" s="38"/>
      <c r="AX94" s="38"/>
      <c r="AY94" s="38"/>
      <c r="AZ94" s="38"/>
      <c r="BA94" s="38"/>
      <c r="BB94" s="38"/>
      <c r="BC94" s="38"/>
      <c r="BD94" s="38"/>
      <c r="BE94" s="38"/>
      <c r="BF94" s="38"/>
      <c r="BG94" s="38"/>
      <c r="BH94" s="38"/>
      <c r="BI94" s="38"/>
    </row>
    <row r="95" spans="1:61" ht="15" customHeight="1" x14ac:dyDescent="0.3">
      <c r="A95" s="38"/>
      <c r="B95" s="306"/>
      <c r="C95" s="307"/>
      <c r="D95" s="308"/>
      <c r="E95" s="288"/>
      <c r="F95" s="289"/>
      <c r="G95" s="289"/>
      <c r="H95" s="289"/>
      <c r="I95" s="289"/>
      <c r="J95" s="119" t="str">
        <f>IF(AND('Mapa final'!$AB$10="Media",'Mapa final'!$AD$10="Leve"),CONCATENATE("R2C",'Mapa final'!$R$10),"")</f>
        <v/>
      </c>
      <c r="K95" s="143" t="str">
        <f>IF(AND('Mapa final'!$AB$11="Media",'Mapa final'!$AD$11="Leve"),CONCATENATE("R2C",'Mapa final'!$R$11),"")</f>
        <v/>
      </c>
      <c r="L95" s="120" t="str">
        <f>IF(AND('Mapa final'!$AB$12="Media",'Mapa final'!$AD$12="Leve"),CONCATENATE("R2C",'Mapa final'!$R$12),"")</f>
        <v/>
      </c>
      <c r="M95" s="119" t="str">
        <f>IF(AND('Mapa final'!$AB$10="Media",'Mapa final'!$AD$10="Menor"),CONCATENATE("R2C",'Mapa final'!$R$10),"")</f>
        <v/>
      </c>
      <c r="N95" s="143" t="str">
        <f>IF(AND('Mapa final'!$AB$11="Media",'Mapa final'!$AD$11="Menor"),CONCATENATE("R2C",'Mapa final'!$R$11),"")</f>
        <v/>
      </c>
      <c r="O95" s="120" t="str">
        <f>IF(AND('Mapa final'!$AB$12="Media",'Mapa final'!$AD$12="Menor"),CONCATENATE("R2C",'Mapa final'!$R$12),"")</f>
        <v/>
      </c>
      <c r="P95" s="119" t="str">
        <f>IF(AND('Mapa final'!$AB$10="Media",'Mapa final'!$AD$10="Moderado"),CONCATENATE("R2C",'Mapa final'!$R$10),"")</f>
        <v/>
      </c>
      <c r="Q95" s="143" t="str">
        <f>IF(AND('Mapa final'!$AB$11="Media",'Mapa final'!$AD$11="Moderado"),CONCATENATE("R2C",'Mapa final'!$R$11),"")</f>
        <v/>
      </c>
      <c r="R95" s="120" t="str">
        <f>IF(AND('Mapa final'!$AB$12="Media",'Mapa final'!$AD$12="Moderado"),CONCATENATE("R2C",'Mapa final'!$R$12),"")</f>
        <v/>
      </c>
      <c r="S95" s="148" t="str">
        <f>IF(AND('Mapa final'!$AB$10="Media",'Mapa final'!$AD$10="Mayor"),CONCATENATE("R2C",'Mapa final'!$R$10),"")</f>
        <v/>
      </c>
      <c r="T95" s="149" t="str">
        <f>IF(AND('Mapa final'!$AB$11="Media",'Mapa final'!$AD$11="Mayor"),CONCATENATE("R2C",'Mapa final'!$R$11),"")</f>
        <v/>
      </c>
      <c r="U95" s="150" t="str">
        <f>IF(AND('Mapa final'!$AB$12="Media",'Mapa final'!$AD$12="Mayor"),CONCATENATE("R2C",'Mapa final'!$R$12),"")</f>
        <v/>
      </c>
      <c r="V95" s="114" t="str">
        <f>IF(AND('Mapa final'!$AB$10="Media",'Mapa final'!$AD$10="Catastrófico"),CONCATENATE("R2C",'Mapa final'!$R$10),"")</f>
        <v/>
      </c>
      <c r="W95" s="142" t="str">
        <f>IF(AND('Mapa final'!$AB$11="Media",'Mapa final'!$AD$11="Catastrófico"),CONCATENATE("R2C",'Mapa final'!$R$11),"")</f>
        <v/>
      </c>
      <c r="X95" s="115" t="str">
        <f>IF(AND('Mapa final'!$AB$12="Media",'Mapa final'!$AD$12="Catastrófico"),CONCATENATE("R2C",'Mapa final'!$R$12),"")</f>
        <v/>
      </c>
      <c r="Y95" s="38"/>
      <c r="Z95" s="323"/>
      <c r="AA95" s="324"/>
      <c r="AB95" s="324"/>
      <c r="AC95" s="324"/>
      <c r="AD95" s="324"/>
      <c r="AE95" s="325"/>
      <c r="AF95" s="38"/>
      <c r="AG95" s="38"/>
      <c r="AH95" s="38"/>
      <c r="AI95" s="38"/>
      <c r="AJ95" s="38"/>
      <c r="AK95" s="38"/>
      <c r="AL95" s="38"/>
      <c r="AM95" s="38"/>
      <c r="AN95" s="38"/>
      <c r="AO95" s="38"/>
      <c r="AP95" s="38"/>
      <c r="AQ95" s="38"/>
      <c r="AR95" s="38"/>
      <c r="AS95" s="38"/>
      <c r="AT95" s="38"/>
      <c r="AU95" s="38"/>
      <c r="AV95" s="38"/>
      <c r="AW95" s="38"/>
      <c r="AX95" s="38"/>
      <c r="AY95" s="38"/>
      <c r="AZ95" s="38"/>
      <c r="BA95" s="38"/>
      <c r="BB95" s="38"/>
      <c r="BC95" s="38"/>
      <c r="BD95" s="38"/>
      <c r="BE95" s="38"/>
      <c r="BF95" s="38"/>
      <c r="BG95" s="38"/>
      <c r="BH95" s="38"/>
      <c r="BI95" s="38"/>
    </row>
    <row r="96" spans="1:61" ht="15" customHeight="1" x14ac:dyDescent="0.3">
      <c r="A96" s="38"/>
      <c r="B96" s="306"/>
      <c r="C96" s="307"/>
      <c r="D96" s="308"/>
      <c r="E96" s="290"/>
      <c r="F96" s="289"/>
      <c r="G96" s="289"/>
      <c r="H96" s="289"/>
      <c r="I96" s="289"/>
      <c r="J96" s="119" t="e">
        <f>IF(AND('Mapa final'!#REF!="Media",'Mapa final'!#REF!="Leve"),CONCATENATE("R3C",'Mapa final'!#REF!),"")</f>
        <v>#REF!</v>
      </c>
      <c r="K96" s="143" t="e">
        <f>IF(AND('Mapa final'!#REF!="Media",'Mapa final'!#REF!="Leve"),CONCATENATE("R3C",'Mapa final'!#REF!),"")</f>
        <v>#REF!</v>
      </c>
      <c r="L96" s="120" t="e">
        <f>IF(AND('Mapa final'!#REF!="Media",'Mapa final'!#REF!="Leve"),CONCATENATE("R3C",'Mapa final'!#REF!),"")</f>
        <v>#REF!</v>
      </c>
      <c r="M96" s="119" t="e">
        <f>IF(AND('Mapa final'!#REF!="Media",'Mapa final'!#REF!="Menor"),CONCATENATE("R3C",'Mapa final'!#REF!),"")</f>
        <v>#REF!</v>
      </c>
      <c r="N96" s="143" t="e">
        <f>IF(AND('Mapa final'!#REF!="Media",'Mapa final'!#REF!="Menor"),CONCATENATE("R3C",'Mapa final'!#REF!),"")</f>
        <v>#REF!</v>
      </c>
      <c r="O96" s="120" t="e">
        <f>IF(AND('Mapa final'!#REF!="Media",'Mapa final'!#REF!="Menor"),CONCATENATE("R3C",'Mapa final'!#REF!),"")</f>
        <v>#REF!</v>
      </c>
      <c r="P96" s="119" t="e">
        <f>IF(AND('Mapa final'!#REF!="Media",'Mapa final'!#REF!="Moderado"),CONCATENATE("R3C",'Mapa final'!#REF!),"")</f>
        <v>#REF!</v>
      </c>
      <c r="Q96" s="143" t="e">
        <f>IF(AND('Mapa final'!#REF!="Media",'Mapa final'!#REF!="Moderado"),CONCATENATE("R3C",'Mapa final'!#REF!),"")</f>
        <v>#REF!</v>
      </c>
      <c r="R96" s="120" t="e">
        <f>IF(AND('Mapa final'!#REF!="Media",'Mapa final'!#REF!="Moderado"),CONCATENATE("R3C",'Mapa final'!#REF!),"")</f>
        <v>#REF!</v>
      </c>
      <c r="S96" s="148" t="e">
        <f>IF(AND('Mapa final'!#REF!="Media",'Mapa final'!#REF!="Mayor"),CONCATENATE("R3C",'Mapa final'!#REF!),"")</f>
        <v>#REF!</v>
      </c>
      <c r="T96" s="149" t="e">
        <f>IF(AND('Mapa final'!#REF!="Media",'Mapa final'!#REF!="Mayor"),CONCATENATE("R3C",'Mapa final'!#REF!),"")</f>
        <v>#REF!</v>
      </c>
      <c r="U96" s="150" t="e">
        <f>IF(AND('Mapa final'!#REF!="Media",'Mapa final'!#REF!="Mayor"),CONCATENATE("R3C",'Mapa final'!#REF!),"")</f>
        <v>#REF!</v>
      </c>
      <c r="V96" s="114" t="e">
        <f>IF(AND('Mapa final'!#REF!="Media",'Mapa final'!#REF!="Catastrófico"),CONCATENATE("R3C",'Mapa final'!#REF!),"")</f>
        <v>#REF!</v>
      </c>
      <c r="W96" s="142" t="e">
        <f>IF(AND('Mapa final'!#REF!="Media",'Mapa final'!#REF!="Catastrófico"),CONCATENATE("R3C",'Mapa final'!#REF!),"")</f>
        <v>#REF!</v>
      </c>
      <c r="X96" s="115" t="e">
        <f>IF(AND('Mapa final'!#REF!="Media",'Mapa final'!#REF!="Catastrófico"),CONCATENATE("R3C",'Mapa final'!#REF!),"")</f>
        <v>#REF!</v>
      </c>
      <c r="Y96" s="38"/>
      <c r="Z96" s="323"/>
      <c r="AA96" s="324"/>
      <c r="AB96" s="324"/>
      <c r="AC96" s="324"/>
      <c r="AD96" s="324"/>
      <c r="AE96" s="325"/>
      <c r="AF96" s="38"/>
      <c r="AG96" s="38"/>
      <c r="AH96" s="38"/>
      <c r="AI96" s="38"/>
      <c r="AJ96" s="38"/>
      <c r="AK96" s="38"/>
      <c r="AL96" s="38"/>
      <c r="AM96" s="38"/>
      <c r="AN96" s="38"/>
      <c r="AO96" s="38"/>
      <c r="AP96" s="38"/>
      <c r="AQ96" s="38"/>
      <c r="AR96" s="38"/>
      <c r="AS96" s="38"/>
      <c r="AT96" s="38"/>
      <c r="AU96" s="38"/>
      <c r="AV96" s="38"/>
      <c r="AW96" s="38"/>
      <c r="AX96" s="38"/>
      <c r="AY96" s="38"/>
      <c r="AZ96" s="38"/>
      <c r="BA96" s="38"/>
      <c r="BB96" s="38"/>
      <c r="BC96" s="38"/>
      <c r="BD96" s="38"/>
      <c r="BE96" s="38"/>
      <c r="BF96" s="38"/>
      <c r="BG96" s="38"/>
      <c r="BH96" s="38"/>
      <c r="BI96" s="38"/>
    </row>
    <row r="97" spans="1:61" ht="15" customHeight="1" x14ac:dyDescent="0.3">
      <c r="A97" s="38"/>
      <c r="B97" s="306"/>
      <c r="C97" s="307"/>
      <c r="D97" s="308"/>
      <c r="E97" s="290"/>
      <c r="F97" s="289"/>
      <c r="G97" s="289"/>
      <c r="H97" s="289"/>
      <c r="I97" s="289"/>
      <c r="J97" s="119" t="str">
        <f>IF(AND('Mapa final'!$AB$13="Media",'Mapa final'!$AD$13="Leve"),CONCATENATE("R4C",'Mapa final'!$R$13),"")</f>
        <v/>
      </c>
      <c r="K97" s="143" t="str">
        <f>IF(AND('Mapa final'!$AB$14="Media",'Mapa final'!$AD$14="Leve"),CONCATENATE("R4C",'Mapa final'!$R$14),"")</f>
        <v/>
      </c>
      <c r="L97" s="120" t="str">
        <f>IF(AND('Mapa final'!$AB$15="Media",'Mapa final'!$AD$15="Leve"),CONCATENATE("R4C",'Mapa final'!$R$15),"")</f>
        <v/>
      </c>
      <c r="M97" s="119" t="str">
        <f>IF(AND('Mapa final'!$AB$13="Media",'Mapa final'!$AD$13="Menor"),CONCATENATE("R4C",'Mapa final'!$R$13),"")</f>
        <v/>
      </c>
      <c r="N97" s="143" t="str">
        <f>IF(AND('Mapa final'!$AB$14="Media",'Mapa final'!$AD$14="Menor"),CONCATENATE("R4C",'Mapa final'!$R$14),"")</f>
        <v/>
      </c>
      <c r="O97" s="120" t="str">
        <f>IF(AND('Mapa final'!$AB$15="Media",'Mapa final'!$AD$15="Menor"),CONCATENATE("R4C",'Mapa final'!$R$15),"")</f>
        <v/>
      </c>
      <c r="P97" s="119" t="str">
        <f>IF(AND('Mapa final'!$AB$13="Media",'Mapa final'!$AD$13="Moderado"),CONCATENATE("R4C",'Mapa final'!$R$13),"")</f>
        <v>R4C1</v>
      </c>
      <c r="Q97" s="143" t="str">
        <f>IF(AND('Mapa final'!$AB$14="Media",'Mapa final'!$AD$14="Moderado"),CONCATENATE("R4C",'Mapa final'!$R$14),"")</f>
        <v/>
      </c>
      <c r="R97" s="120" t="str">
        <f>IF(AND('Mapa final'!$AB$15="Media",'Mapa final'!$AD$15="Moderado"),CONCATENATE("R4C",'Mapa final'!$R$15),"")</f>
        <v/>
      </c>
      <c r="S97" s="148" t="str">
        <f>IF(AND('Mapa final'!$AB$13="Media",'Mapa final'!$AD$13="Mayor"),CONCATENATE("R4C",'Mapa final'!$R$13),"")</f>
        <v/>
      </c>
      <c r="T97" s="149" t="str">
        <f>IF(AND('Mapa final'!$AB$14="Media",'Mapa final'!$AD$14="Mayor"),CONCATENATE("R4C",'Mapa final'!$R$14),"")</f>
        <v/>
      </c>
      <c r="U97" s="150" t="str">
        <f>IF(AND('Mapa final'!$AB$15="Media",'Mapa final'!$AD$15="Mayor"),CONCATENATE("R4C",'Mapa final'!$R$15),"")</f>
        <v/>
      </c>
      <c r="V97" s="114" t="str">
        <f>IF(AND('Mapa final'!$AB$13="Media",'Mapa final'!$AD$13="Catastrófico"),CONCATENATE("R4C",'Mapa final'!$R$13),"")</f>
        <v/>
      </c>
      <c r="W97" s="142" t="str">
        <f>IF(AND('Mapa final'!$AB$14="Media",'Mapa final'!$AD$14="Catastrófico"),CONCATENATE("R4C",'Mapa final'!$R$14),"")</f>
        <v/>
      </c>
      <c r="X97" s="115" t="str">
        <f>IF(AND('Mapa final'!$AB$15="Media",'Mapa final'!$AD$15="Catastrófico"),CONCATENATE("R4C",'Mapa final'!$R$15),"")</f>
        <v/>
      </c>
      <c r="Y97" s="38"/>
      <c r="Z97" s="323"/>
      <c r="AA97" s="324"/>
      <c r="AB97" s="324"/>
      <c r="AC97" s="324"/>
      <c r="AD97" s="324"/>
      <c r="AE97" s="325"/>
      <c r="AF97" s="38"/>
      <c r="AG97" s="38"/>
      <c r="AH97" s="38"/>
      <c r="AI97" s="38"/>
      <c r="AJ97" s="38"/>
      <c r="AK97" s="38"/>
      <c r="AL97" s="38"/>
      <c r="AM97" s="38"/>
      <c r="AN97" s="38"/>
      <c r="AO97" s="38"/>
      <c r="AP97" s="38"/>
      <c r="AQ97" s="38"/>
      <c r="AR97" s="38"/>
      <c r="AS97" s="38"/>
      <c r="AT97" s="38"/>
      <c r="AU97" s="38"/>
      <c r="AV97" s="38"/>
      <c r="AW97" s="38"/>
      <c r="AX97" s="38"/>
      <c r="AY97" s="38"/>
      <c r="AZ97" s="38"/>
      <c r="BA97" s="38"/>
      <c r="BB97" s="38"/>
      <c r="BC97" s="38"/>
      <c r="BD97" s="38"/>
      <c r="BE97" s="38"/>
      <c r="BF97" s="38"/>
      <c r="BG97" s="38"/>
      <c r="BH97" s="38"/>
      <c r="BI97" s="38"/>
    </row>
    <row r="98" spans="1:61" ht="15" customHeight="1" x14ac:dyDescent="0.3">
      <c r="A98" s="38"/>
      <c r="B98" s="306"/>
      <c r="C98" s="307"/>
      <c r="D98" s="308"/>
      <c r="E98" s="290"/>
      <c r="F98" s="289"/>
      <c r="G98" s="289"/>
      <c r="H98" s="289"/>
      <c r="I98" s="289"/>
      <c r="J98" s="119" t="str">
        <f>IF(AND('Mapa final'!$AB$16="Media",'Mapa final'!$AD$16="Leve"),CONCATENATE("R5C",'Mapa final'!$R$16),"")</f>
        <v/>
      </c>
      <c r="K98" s="143" t="str">
        <f>IF(AND('Mapa final'!$AB$17="Media",'Mapa final'!$AD$17="Leve"),CONCATENATE("R5C",'Mapa final'!$R$17),"")</f>
        <v/>
      </c>
      <c r="L98" s="120" t="str">
        <f>IF(AND('Mapa final'!$AB$18="Media",'Mapa final'!$AD$18="Leve"),CONCATENATE("R5C",'Mapa final'!$R$18),"")</f>
        <v/>
      </c>
      <c r="M98" s="119" t="str">
        <f>IF(AND('Mapa final'!$AB$16="Media",'Mapa final'!$AD$16="Menor"),CONCATENATE("R5C",'Mapa final'!$R$16),"")</f>
        <v/>
      </c>
      <c r="N98" s="143" t="str">
        <f>IF(AND('Mapa final'!$AB$17="Media",'Mapa final'!$AD$17="Menor"),CONCATENATE("R5C",'Mapa final'!$R$17),"")</f>
        <v/>
      </c>
      <c r="O98" s="120" t="str">
        <f>IF(AND('Mapa final'!$AB$18="Media",'Mapa final'!$AD$18="Menor"),CONCATENATE("R5C",'Mapa final'!$R$18),"")</f>
        <v/>
      </c>
      <c r="P98" s="119" t="str">
        <f>IF(AND('Mapa final'!$AB$16="Media",'Mapa final'!$AD$16="Moderado"),CONCATENATE("R5C",'Mapa final'!$R$16),"")</f>
        <v/>
      </c>
      <c r="Q98" s="143" t="str">
        <f>IF(AND('Mapa final'!$AB$17="Media",'Mapa final'!$AD$17="Moderado"),CONCATENATE("R5C",'Mapa final'!$R$17),"")</f>
        <v/>
      </c>
      <c r="R98" s="120" t="str">
        <f>IF(AND('Mapa final'!$AB$18="Media",'Mapa final'!$AD$18="Moderado"),CONCATENATE("R5C",'Mapa final'!$R$18),"")</f>
        <v/>
      </c>
      <c r="S98" s="148" t="str">
        <f>IF(AND('Mapa final'!$AB$16="Media",'Mapa final'!$AD$16="Mayor"),CONCATENATE("R5C",'Mapa final'!$R$16),"")</f>
        <v/>
      </c>
      <c r="T98" s="149" t="str">
        <f>IF(AND('Mapa final'!$AB$17="Media",'Mapa final'!$AD$17="Mayor"),CONCATENATE("R5C",'Mapa final'!$R$17),"")</f>
        <v/>
      </c>
      <c r="U98" s="150" t="str">
        <f>IF(AND('Mapa final'!$AB$18="Media",'Mapa final'!$AD$18="Mayor"),CONCATENATE("R5C",'Mapa final'!$R$18),"")</f>
        <v/>
      </c>
      <c r="V98" s="114" t="str">
        <f>IF(AND('Mapa final'!$AB$16="Media",'Mapa final'!$AD$16="Catastrófico"),CONCATENATE("R5C",'Mapa final'!$R$16),"")</f>
        <v/>
      </c>
      <c r="W98" s="142" t="str">
        <f>IF(AND('Mapa final'!$AB$17="Media",'Mapa final'!$AD$17="Catastrófico"),CONCATENATE("R5C",'Mapa final'!$R$17),"")</f>
        <v/>
      </c>
      <c r="X98" s="115" t="str">
        <f>IF(AND('Mapa final'!$AB$18="Media",'Mapa final'!$AD$18="Catastrófico"),CONCATENATE("R5C",'Mapa final'!$R$18),"")</f>
        <v/>
      </c>
      <c r="Y98" s="38"/>
      <c r="Z98" s="323"/>
      <c r="AA98" s="324"/>
      <c r="AB98" s="324"/>
      <c r="AC98" s="324"/>
      <c r="AD98" s="324"/>
      <c r="AE98" s="325"/>
      <c r="AF98" s="38"/>
      <c r="AG98" s="38"/>
      <c r="AH98" s="38"/>
      <c r="AI98" s="38"/>
      <c r="AJ98" s="38"/>
      <c r="AK98" s="38"/>
      <c r="AL98" s="38"/>
      <c r="AM98" s="38"/>
      <c r="AN98" s="38"/>
      <c r="AO98" s="38"/>
      <c r="AP98" s="38"/>
      <c r="AQ98" s="38"/>
      <c r="AR98" s="38"/>
      <c r="AS98" s="38"/>
      <c r="AT98" s="38"/>
      <c r="AU98" s="38"/>
      <c r="AV98" s="38"/>
      <c r="AW98" s="38"/>
      <c r="AX98" s="38"/>
      <c r="AY98" s="38"/>
      <c r="AZ98" s="38"/>
      <c r="BA98" s="38"/>
      <c r="BB98" s="38"/>
      <c r="BC98" s="38"/>
      <c r="BD98" s="38"/>
      <c r="BE98" s="38"/>
      <c r="BF98" s="38"/>
      <c r="BG98" s="38"/>
      <c r="BH98" s="38"/>
      <c r="BI98" s="38"/>
    </row>
    <row r="99" spans="1:61" ht="15" customHeight="1" x14ac:dyDescent="0.3">
      <c r="A99" s="38"/>
      <c r="B99" s="306"/>
      <c r="C99" s="307"/>
      <c r="D99" s="308"/>
      <c r="E99" s="290"/>
      <c r="F99" s="289"/>
      <c r="G99" s="289"/>
      <c r="H99" s="289"/>
      <c r="I99" s="289"/>
      <c r="J99" s="119" t="str">
        <f>IF(AND('Mapa final'!$AB$19="Media",'Mapa final'!$AD$19="Leve"),CONCATENATE("R6C",'Mapa final'!$R$19),"")</f>
        <v/>
      </c>
      <c r="K99" s="143" t="str">
        <f>IF(AND('Mapa final'!$AB$20="Media",'Mapa final'!$AD$20="Leve"),CONCATENATE("R6C",'Mapa final'!$R$20),"")</f>
        <v/>
      </c>
      <c r="L99" s="120" t="str">
        <f>IF(AND('Mapa final'!$AB$21="Media",'Mapa final'!$AD$21="Leve"),CONCATENATE("R6C",'Mapa final'!$R$21),"")</f>
        <v/>
      </c>
      <c r="M99" s="119" t="str">
        <f>IF(AND('Mapa final'!$AB$19="Media",'Mapa final'!$AD$19="Menor"),CONCATENATE("R6C",'Mapa final'!$R$19),"")</f>
        <v/>
      </c>
      <c r="N99" s="143" t="str">
        <f>IF(AND('Mapa final'!$AB$20="Media",'Mapa final'!$AD$20="Menor"),CONCATENATE("R6C",'Mapa final'!$R$20),"")</f>
        <v/>
      </c>
      <c r="O99" s="120" t="str">
        <f>IF(AND('Mapa final'!$AB$21="Media",'Mapa final'!$AD$21="Menor"),CONCATENATE("R6C",'Mapa final'!$R$21),"")</f>
        <v/>
      </c>
      <c r="P99" s="119" t="str">
        <f>IF(AND('Mapa final'!$AB$19="Media",'Mapa final'!$AD$19="Moderado"),CONCATENATE("R6C",'Mapa final'!$R$19),"")</f>
        <v>R6C1</v>
      </c>
      <c r="Q99" s="143" t="str">
        <f>IF(AND('Mapa final'!$AB$20="Media",'Mapa final'!$AD$20="Moderado"),CONCATENATE("R6C",'Mapa final'!$R$20),"")</f>
        <v/>
      </c>
      <c r="R99" s="120" t="str">
        <f>IF(AND('Mapa final'!$AB$21="Media",'Mapa final'!$AD$21="Moderado"),CONCATENATE("R6C",'Mapa final'!$R$21),"")</f>
        <v/>
      </c>
      <c r="S99" s="148" t="str">
        <f>IF(AND('Mapa final'!$AB$19="Media",'Mapa final'!$AD$19="Mayor"),CONCATENATE("R6C",'Mapa final'!$R$19),"")</f>
        <v/>
      </c>
      <c r="T99" s="149" t="str">
        <f>IF(AND('Mapa final'!$AB$20="Media",'Mapa final'!$AD$20="Mayor"),CONCATENATE("R6C",'Mapa final'!$R$20),"")</f>
        <v/>
      </c>
      <c r="U99" s="150" t="str">
        <f>IF(AND('Mapa final'!$AB$21="Media",'Mapa final'!$AD$21="Mayor"),CONCATENATE("R6C",'Mapa final'!$R$21),"")</f>
        <v/>
      </c>
      <c r="V99" s="114" t="str">
        <f>IF(AND('Mapa final'!$AB$19="Media",'Mapa final'!$AD$19="Catastrófico"),CONCATENATE("R6C",'Mapa final'!$R$19),"")</f>
        <v/>
      </c>
      <c r="W99" s="142" t="str">
        <f>IF(AND('Mapa final'!$AB$20="Media",'Mapa final'!$AD$20="Catastrófico"),CONCATENATE("R6C",'Mapa final'!$R$20),"")</f>
        <v/>
      </c>
      <c r="X99" s="115" t="str">
        <f>IF(AND('Mapa final'!$AB$21="Media",'Mapa final'!$AD$21="Catastrófico"),CONCATENATE("R6C",'Mapa final'!$R$21),"")</f>
        <v/>
      </c>
      <c r="Y99" s="38"/>
      <c r="Z99" s="323"/>
      <c r="AA99" s="324"/>
      <c r="AB99" s="324"/>
      <c r="AC99" s="324"/>
      <c r="AD99" s="324"/>
      <c r="AE99" s="325"/>
      <c r="AF99" s="38"/>
      <c r="AG99" s="38"/>
      <c r="AH99" s="38"/>
      <c r="AI99" s="38"/>
      <c r="AJ99" s="38"/>
      <c r="AK99" s="38"/>
      <c r="AL99" s="38"/>
      <c r="AM99" s="38"/>
      <c r="AN99" s="38"/>
      <c r="AO99" s="38"/>
      <c r="AP99" s="38"/>
      <c r="AQ99" s="38"/>
      <c r="AR99" s="38"/>
      <c r="AS99" s="38"/>
      <c r="AT99" s="38"/>
      <c r="AU99" s="38"/>
      <c r="AV99" s="38"/>
      <c r="AW99" s="38"/>
      <c r="AX99" s="38"/>
      <c r="AY99" s="38"/>
      <c r="AZ99" s="38"/>
      <c r="BA99" s="38"/>
      <c r="BB99" s="38"/>
      <c r="BC99" s="38"/>
      <c r="BD99" s="38"/>
      <c r="BE99" s="38"/>
      <c r="BF99" s="38"/>
      <c r="BG99" s="38"/>
      <c r="BH99" s="38"/>
      <c r="BI99" s="38"/>
    </row>
    <row r="100" spans="1:61" ht="15" customHeight="1" x14ac:dyDescent="0.3">
      <c r="A100" s="38"/>
      <c r="B100" s="306"/>
      <c r="C100" s="307"/>
      <c r="D100" s="308"/>
      <c r="E100" s="290"/>
      <c r="F100" s="289"/>
      <c r="G100" s="289"/>
      <c r="H100" s="289"/>
      <c r="I100" s="289"/>
      <c r="J100" s="119" t="str">
        <f>IF(AND('Mapa final'!$AB$22="Media",'Mapa final'!$AD$22="Leve"),CONCATENATE("R7C",'Mapa final'!$R$22),"")</f>
        <v/>
      </c>
      <c r="K100" s="143" t="str">
        <f>IF(AND('Mapa final'!$AB$23="Media",'Mapa final'!$AD$23="Leve"),CONCATENATE("R7C",'Mapa final'!$R$23),"")</f>
        <v/>
      </c>
      <c r="L100" s="120" t="str">
        <f>IF(AND('Mapa final'!$AB$24="Media",'Mapa final'!$AD$24="Leve"),CONCATENATE("R7C",'Mapa final'!$R$24),"")</f>
        <v/>
      </c>
      <c r="M100" s="119" t="str">
        <f>IF(AND('Mapa final'!$AB$22="Media",'Mapa final'!$AD$22="Menor"),CONCATENATE("R7C",'Mapa final'!$R$22),"")</f>
        <v/>
      </c>
      <c r="N100" s="143" t="str">
        <f>IF(AND('Mapa final'!$AB$23="Media",'Mapa final'!$AD$23="Menor"),CONCATENATE("R7C",'Mapa final'!$R$23),"")</f>
        <v/>
      </c>
      <c r="O100" s="120" t="str">
        <f>IF(AND('Mapa final'!$AB$24="Media",'Mapa final'!$AD$24="Menor"),CONCATENATE("R7C",'Mapa final'!$R$24),"")</f>
        <v/>
      </c>
      <c r="P100" s="119" t="str">
        <f>IF(AND('Mapa final'!$AB$22="Media",'Mapa final'!$AD$22="Moderado"),CONCATENATE("R7C",'Mapa final'!$R$22),"")</f>
        <v/>
      </c>
      <c r="Q100" s="143" t="str">
        <f>IF(AND('Mapa final'!$AB$23="Media",'Mapa final'!$AD$23="Moderado"),CONCATENATE("R7C",'Mapa final'!$R$23),"")</f>
        <v/>
      </c>
      <c r="R100" s="120" t="str">
        <f>IF(AND('Mapa final'!$AB$24="Media",'Mapa final'!$AD$24="Moderado"),CONCATENATE("R7C",'Mapa final'!$R$24),"")</f>
        <v/>
      </c>
      <c r="S100" s="148" t="str">
        <f>IF(AND('Mapa final'!$AB$22="Media",'Mapa final'!$AD$22="Mayor"),CONCATENATE("R7C",'Mapa final'!$R$22),"")</f>
        <v>R7C1</v>
      </c>
      <c r="T100" s="149" t="str">
        <f>IF(AND('Mapa final'!$AB$23="Media",'Mapa final'!$AD$23="Mayor"),CONCATENATE("R7C",'Mapa final'!$R$23),"")</f>
        <v/>
      </c>
      <c r="U100" s="150" t="str">
        <f>IF(AND('Mapa final'!$AB$24="Media",'Mapa final'!$AD$24="Mayor"),CONCATENATE("R7C",'Mapa final'!$R$24),"")</f>
        <v/>
      </c>
      <c r="V100" s="114" t="str">
        <f>IF(AND('Mapa final'!$AB$22="Media",'Mapa final'!$AD$22="Catastrófico"),CONCATENATE("R7C",'Mapa final'!$R$22),"")</f>
        <v/>
      </c>
      <c r="W100" s="142" t="str">
        <f>IF(AND('Mapa final'!$AB$23="Media",'Mapa final'!$AD$23="Catastrófico"),CONCATENATE("R7C",'Mapa final'!$R$23),"")</f>
        <v/>
      </c>
      <c r="X100" s="115" t="str">
        <f>IF(AND('Mapa final'!$AB$24="Media",'Mapa final'!$AD$24="Catastrófico"),CONCATENATE("R7C",'Mapa final'!$R$24),"")</f>
        <v/>
      </c>
      <c r="Y100" s="38"/>
      <c r="Z100" s="323"/>
      <c r="AA100" s="324"/>
      <c r="AB100" s="324"/>
      <c r="AC100" s="324"/>
      <c r="AD100" s="324"/>
      <c r="AE100" s="325"/>
      <c r="AF100" s="38"/>
      <c r="AG100" s="38"/>
      <c r="AH100" s="38"/>
      <c r="AI100" s="38"/>
      <c r="AJ100" s="38"/>
      <c r="AK100" s="38"/>
      <c r="AL100" s="38"/>
      <c r="AM100" s="38"/>
      <c r="AN100" s="38"/>
      <c r="AO100" s="38"/>
      <c r="AP100" s="38"/>
      <c r="AQ100" s="38"/>
      <c r="AR100" s="38"/>
      <c r="AS100" s="38"/>
      <c r="AT100" s="38"/>
      <c r="AU100" s="38"/>
      <c r="AV100" s="38"/>
      <c r="AW100" s="38"/>
      <c r="AX100" s="38"/>
      <c r="AY100" s="38"/>
      <c r="AZ100" s="38"/>
      <c r="BA100" s="38"/>
      <c r="BB100" s="38"/>
      <c r="BC100" s="38"/>
      <c r="BD100" s="38"/>
      <c r="BE100" s="38"/>
      <c r="BF100" s="38"/>
      <c r="BG100" s="38"/>
      <c r="BH100" s="38"/>
      <c r="BI100" s="38"/>
    </row>
    <row r="101" spans="1:61" ht="15" customHeight="1" x14ac:dyDescent="0.3">
      <c r="A101" s="38"/>
      <c r="B101" s="306"/>
      <c r="C101" s="307"/>
      <c r="D101" s="308"/>
      <c r="E101" s="290"/>
      <c r="F101" s="289"/>
      <c r="G101" s="289"/>
      <c r="H101" s="289"/>
      <c r="I101" s="289"/>
      <c r="J101" s="119" t="str">
        <f>IF(AND('Mapa final'!$AB$25="Media",'Mapa final'!$AD$25="Leve"),CONCATENATE("R8C",'Mapa final'!$R$25),"")</f>
        <v/>
      </c>
      <c r="K101" s="143" t="str">
        <f>IF(AND('Mapa final'!$AB$26="Media",'Mapa final'!$AD$26="Leve"),CONCATENATE("R8C",'Mapa final'!$R$26),"")</f>
        <v/>
      </c>
      <c r="L101" s="120" t="str">
        <f>IF(AND('Mapa final'!$AB$27="Media",'Mapa final'!$AD$27="Leve"),CONCATENATE("R8C",'Mapa final'!$R$27),"")</f>
        <v/>
      </c>
      <c r="M101" s="119" t="str">
        <f>IF(AND('Mapa final'!$AB$25="Media",'Mapa final'!$AD$25="Menor"),CONCATENATE("R8C",'Mapa final'!$R$25),"")</f>
        <v/>
      </c>
      <c r="N101" s="143" t="str">
        <f>IF(AND('Mapa final'!$AB$26="Media",'Mapa final'!$AD$26="Menor"),CONCATENATE("R8C",'Mapa final'!$R$26),"")</f>
        <v/>
      </c>
      <c r="O101" s="120" t="str">
        <f>IF(AND('Mapa final'!$AB$27="Media",'Mapa final'!$AD$27="Menor"),CONCATENATE("R8C",'Mapa final'!$R$27),"")</f>
        <v/>
      </c>
      <c r="P101" s="119" t="str">
        <f>IF(AND('Mapa final'!$AB$25="Media",'Mapa final'!$AD$25="Moderado"),CONCATENATE("R8C",'Mapa final'!$R$25),"")</f>
        <v/>
      </c>
      <c r="Q101" s="143" t="str">
        <f>IF(AND('Mapa final'!$AB$26="Media",'Mapa final'!$AD$26="Moderado"),CONCATENATE("R8C",'Mapa final'!$R$26),"")</f>
        <v/>
      </c>
      <c r="R101" s="120" t="str">
        <f>IF(AND('Mapa final'!$AB$27="Media",'Mapa final'!$AD$27="Moderado"),CONCATENATE("R8C",'Mapa final'!$R$27),"")</f>
        <v/>
      </c>
      <c r="S101" s="148" t="str">
        <f>IF(AND('Mapa final'!$AB$25="Media",'Mapa final'!$AD$25="Mayor"),CONCATENATE("R8C",'Mapa final'!$R$25),"")</f>
        <v/>
      </c>
      <c r="T101" s="149" t="str">
        <f>IF(AND('Mapa final'!$AB$26="Media",'Mapa final'!$AD$26="Mayor"),CONCATENATE("R8C",'Mapa final'!$R$26),"")</f>
        <v/>
      </c>
      <c r="U101" s="150" t="str">
        <f>IF(AND('Mapa final'!$AB$27="Media",'Mapa final'!$AD$27="Mayor"),CONCATENATE("R8C",'Mapa final'!$R$27),"")</f>
        <v/>
      </c>
      <c r="V101" s="114" t="str">
        <f>IF(AND('Mapa final'!$AB$25="Media",'Mapa final'!$AD$25="Catastrófico"),CONCATENATE("R8C",'Mapa final'!$R$25),"")</f>
        <v/>
      </c>
      <c r="W101" s="142" t="str">
        <f>IF(AND('Mapa final'!$AB$26="Media",'Mapa final'!$AD$26="Catastrófico"),CONCATENATE("R8C",'Mapa final'!$R$26),"")</f>
        <v/>
      </c>
      <c r="X101" s="115" t="str">
        <f>IF(AND('Mapa final'!$AB$27="Media",'Mapa final'!$AD$27="Catastrófico"),CONCATENATE("R8C",'Mapa final'!$R$27),"")</f>
        <v/>
      </c>
      <c r="Y101" s="38"/>
      <c r="Z101" s="323"/>
      <c r="AA101" s="324"/>
      <c r="AB101" s="324"/>
      <c r="AC101" s="324"/>
      <c r="AD101" s="324"/>
      <c r="AE101" s="325"/>
      <c r="AF101" s="38"/>
      <c r="AG101" s="38"/>
      <c r="AH101" s="38"/>
      <c r="AI101" s="38"/>
      <c r="AJ101" s="38"/>
      <c r="AK101" s="38"/>
      <c r="AL101" s="38"/>
      <c r="AM101" s="38"/>
      <c r="AN101" s="38"/>
      <c r="AO101" s="38"/>
      <c r="AP101" s="38"/>
      <c r="AQ101" s="38"/>
      <c r="AR101" s="38"/>
      <c r="AS101" s="38"/>
      <c r="AT101" s="38"/>
      <c r="AU101" s="38"/>
      <c r="AV101" s="38"/>
      <c r="AW101" s="38"/>
      <c r="AX101" s="38"/>
      <c r="AY101" s="38"/>
      <c r="AZ101" s="38"/>
      <c r="BA101" s="38"/>
      <c r="BB101" s="38"/>
      <c r="BC101" s="38"/>
      <c r="BD101" s="38"/>
      <c r="BE101" s="38"/>
      <c r="BF101" s="38"/>
      <c r="BG101" s="38"/>
      <c r="BH101" s="38"/>
      <c r="BI101" s="38"/>
    </row>
    <row r="102" spans="1:61" ht="15" customHeight="1" x14ac:dyDescent="0.3">
      <c r="A102" s="38"/>
      <c r="B102" s="306"/>
      <c r="C102" s="307"/>
      <c r="D102" s="308"/>
      <c r="E102" s="290"/>
      <c r="F102" s="289"/>
      <c r="G102" s="289"/>
      <c r="H102" s="289"/>
      <c r="I102" s="289"/>
      <c r="J102" s="119" t="str">
        <f>IF(AND('Mapa final'!$AB$28="Media",'Mapa final'!$AD$28="Leve"),CONCATENATE("R9C",'Mapa final'!$R$28),"")</f>
        <v/>
      </c>
      <c r="K102" s="143" t="str">
        <f>IF(AND('Mapa final'!$AB$29="Media",'Mapa final'!$AD$29="Leve"),CONCATENATE("R9C",'Mapa final'!$R$29),"")</f>
        <v/>
      </c>
      <c r="L102" s="120" t="str">
        <f>IF(AND('Mapa final'!$AB$30="Media",'Mapa final'!$AD$30="Leve"),CONCATENATE("R9C",'Mapa final'!$R$30),"")</f>
        <v/>
      </c>
      <c r="M102" s="119" t="str">
        <f>IF(AND('Mapa final'!$AB$28="Media",'Mapa final'!$AD$28="Menor"),CONCATENATE("R9C",'Mapa final'!$R$28),"")</f>
        <v/>
      </c>
      <c r="N102" s="143" t="str">
        <f>IF(AND('Mapa final'!$AB$29="Media",'Mapa final'!$AD$29="Menor"),CONCATENATE("R9C",'Mapa final'!$R$29),"")</f>
        <v/>
      </c>
      <c r="O102" s="120" t="str">
        <f>IF(AND('Mapa final'!$AB$30="Media",'Mapa final'!$AD$30="Menor"),CONCATENATE("R9C",'Mapa final'!$R$30),"")</f>
        <v/>
      </c>
      <c r="P102" s="119" t="str">
        <f>IF(AND('Mapa final'!$AB$28="Media",'Mapa final'!$AD$28="Moderado"),CONCATENATE("R9C",'Mapa final'!$R$28),"")</f>
        <v/>
      </c>
      <c r="Q102" s="143" t="str">
        <f>IF(AND('Mapa final'!$AB$29="Media",'Mapa final'!$AD$29="Moderado"),CONCATENATE("R9C",'Mapa final'!$R$29),"")</f>
        <v/>
      </c>
      <c r="R102" s="120" t="str">
        <f>IF(AND('Mapa final'!$AB$30="Media",'Mapa final'!$AD$30="Moderado"),CONCATENATE("R9C",'Mapa final'!$R$30),"")</f>
        <v/>
      </c>
      <c r="S102" s="148" t="str">
        <f>IF(AND('Mapa final'!$AB$28="Media",'Mapa final'!$AD$28="Mayor"),CONCATENATE("R9C",'Mapa final'!$R$28),"")</f>
        <v/>
      </c>
      <c r="T102" s="149" t="str">
        <f>IF(AND('Mapa final'!$AB$29="Media",'Mapa final'!$AD$29="Mayor"),CONCATENATE("R9C",'Mapa final'!$R$29),"")</f>
        <v/>
      </c>
      <c r="U102" s="150" t="str">
        <f>IF(AND('Mapa final'!$AB$30="Media",'Mapa final'!$AD$30="Mayor"),CONCATENATE("R9C",'Mapa final'!$R$30),"")</f>
        <v/>
      </c>
      <c r="V102" s="114" t="str">
        <f>IF(AND('Mapa final'!$AB$28="Media",'Mapa final'!$AD$28="Catastrófico"),CONCATENATE("R9C",'Mapa final'!$R$28),"")</f>
        <v/>
      </c>
      <c r="W102" s="142" t="str">
        <f>IF(AND('Mapa final'!$AB$29="Media",'Mapa final'!$AD$29="Catastrófico"),CONCATENATE("R9C",'Mapa final'!$R$29),"")</f>
        <v/>
      </c>
      <c r="X102" s="115" t="str">
        <f>IF(AND('Mapa final'!$AB$30="Media",'Mapa final'!$AD$30="Catastrófico"),CONCATENATE("R9C",'Mapa final'!$R$30),"")</f>
        <v/>
      </c>
      <c r="Y102" s="38"/>
      <c r="Z102" s="323"/>
      <c r="AA102" s="324"/>
      <c r="AB102" s="324"/>
      <c r="AC102" s="324"/>
      <c r="AD102" s="324"/>
      <c r="AE102" s="325"/>
      <c r="AF102" s="38"/>
      <c r="AG102" s="38"/>
      <c r="AH102" s="38"/>
      <c r="AI102" s="38"/>
      <c r="AJ102" s="38"/>
      <c r="AK102" s="38"/>
      <c r="AL102" s="38"/>
      <c r="AM102" s="38"/>
      <c r="AN102" s="38"/>
      <c r="AO102" s="38"/>
      <c r="AP102" s="38"/>
      <c r="AQ102" s="38"/>
      <c r="AR102" s="38"/>
      <c r="AS102" s="38"/>
      <c r="AT102" s="38"/>
      <c r="AU102" s="38"/>
      <c r="AV102" s="38"/>
      <c r="AW102" s="38"/>
      <c r="AX102" s="38"/>
      <c r="AY102" s="38"/>
      <c r="AZ102" s="38"/>
      <c r="BA102" s="38"/>
      <c r="BB102" s="38"/>
      <c r="BC102" s="38"/>
      <c r="BD102" s="38"/>
      <c r="BE102" s="38"/>
      <c r="BF102" s="38"/>
      <c r="BG102" s="38"/>
      <c r="BH102" s="38"/>
      <c r="BI102" s="38"/>
    </row>
    <row r="103" spans="1:61" ht="15" customHeight="1" x14ac:dyDescent="0.3">
      <c r="A103" s="38"/>
      <c r="B103" s="306"/>
      <c r="C103" s="307"/>
      <c r="D103" s="308"/>
      <c r="E103" s="290"/>
      <c r="F103" s="289"/>
      <c r="G103" s="289"/>
      <c r="H103" s="289"/>
      <c r="I103" s="289"/>
      <c r="J103" s="119" t="str">
        <f>IF(AND('Mapa final'!$AB$31="Media",'Mapa final'!$AD$31="Leve"),CONCATENATE("R10C",'Mapa final'!$R$31),"")</f>
        <v/>
      </c>
      <c r="K103" s="143" t="str">
        <f>IF(AND('Mapa final'!$AB$32="Media",'Mapa final'!$AD$32="Leve"),CONCATENATE("R10C",'Mapa final'!$R$32),"")</f>
        <v/>
      </c>
      <c r="L103" s="120" t="str">
        <f>IF(AND('Mapa final'!$AB$33="Media",'Mapa final'!$AD$33="Leve"),CONCATENATE("R10C",'Mapa final'!$R$33),"")</f>
        <v/>
      </c>
      <c r="M103" s="119" t="str">
        <f>IF(AND('Mapa final'!$AB$31="Media",'Mapa final'!$AD$31="Menor"),CONCATENATE("R10C",'Mapa final'!$R$31),"")</f>
        <v/>
      </c>
      <c r="N103" s="143" t="str">
        <f>IF(AND('Mapa final'!$AB$32="Media",'Mapa final'!$AD$32="Menor"),CONCATENATE("R10C",'Mapa final'!$R$32),"")</f>
        <v/>
      </c>
      <c r="O103" s="120" t="str">
        <f>IF(AND('Mapa final'!$AB$33="Media",'Mapa final'!$AD$33="Menor"),CONCATENATE("R10C",'Mapa final'!$R$33),"")</f>
        <v/>
      </c>
      <c r="P103" s="119" t="str">
        <f>IF(AND('Mapa final'!$AB$31="Media",'Mapa final'!$AD$31="Moderado"),CONCATENATE("R10C",'Mapa final'!$R$31),"")</f>
        <v/>
      </c>
      <c r="Q103" s="143" t="str">
        <f>IF(AND('Mapa final'!$AB$32="Media",'Mapa final'!$AD$32="Moderado"),CONCATENATE("R10C",'Mapa final'!$R$32),"")</f>
        <v/>
      </c>
      <c r="R103" s="120" t="str">
        <f>IF(AND('Mapa final'!$AB$33="Media",'Mapa final'!$AD$33="Moderado"),CONCATENATE("R10C",'Mapa final'!$R$33),"")</f>
        <v/>
      </c>
      <c r="S103" s="148" t="str">
        <f>IF(AND('Mapa final'!$AB$31="Media",'Mapa final'!$AD$31="Mayor"),CONCATENATE("R10C",'Mapa final'!$R$31),"")</f>
        <v/>
      </c>
      <c r="T103" s="149" t="str">
        <f>IF(AND('Mapa final'!$AB$32="Media",'Mapa final'!$AD$32="Mayor"),CONCATENATE("R10C",'Mapa final'!$R$32),"")</f>
        <v/>
      </c>
      <c r="U103" s="150" t="str">
        <f>IF(AND('Mapa final'!$AB$33="Media",'Mapa final'!$AD$33="Mayor"),CONCATENATE("R10C",'Mapa final'!$R$33),"")</f>
        <v/>
      </c>
      <c r="V103" s="114" t="str">
        <f>IF(AND('Mapa final'!$AB$31="Media",'Mapa final'!$AD$31="Catastrófico"),CONCATENATE("R10C",'Mapa final'!$R$31),"")</f>
        <v/>
      </c>
      <c r="W103" s="142" t="str">
        <f>IF(AND('Mapa final'!$AB$32="Media",'Mapa final'!$AD$32="Catastrófico"),CONCATENATE("R10C",'Mapa final'!$R$32),"")</f>
        <v/>
      </c>
      <c r="X103" s="115" t="str">
        <f>IF(AND('Mapa final'!$AB$33="Media",'Mapa final'!$AD$33="Catastrófico"),CONCATENATE("R10C",'Mapa final'!$R$33),"")</f>
        <v/>
      </c>
      <c r="Y103" s="38"/>
      <c r="Z103" s="323"/>
      <c r="AA103" s="324"/>
      <c r="AB103" s="324"/>
      <c r="AC103" s="324"/>
      <c r="AD103" s="324"/>
      <c r="AE103" s="325"/>
      <c r="AF103" s="38"/>
      <c r="AG103" s="38"/>
      <c r="AH103" s="38"/>
      <c r="AI103" s="38"/>
      <c r="AJ103" s="38"/>
      <c r="AK103" s="38"/>
      <c r="AL103" s="38"/>
      <c r="AM103" s="38"/>
      <c r="AN103" s="38"/>
      <c r="AO103" s="38"/>
      <c r="AP103" s="38"/>
      <c r="AQ103" s="38"/>
      <c r="AR103" s="38"/>
      <c r="AS103" s="38"/>
      <c r="AT103" s="38"/>
      <c r="AU103" s="38"/>
      <c r="AV103" s="38"/>
      <c r="AW103" s="38"/>
      <c r="AX103" s="38"/>
      <c r="AY103" s="38"/>
      <c r="AZ103" s="38"/>
      <c r="BA103" s="38"/>
      <c r="BB103" s="38"/>
      <c r="BC103" s="38"/>
      <c r="BD103" s="38"/>
      <c r="BE103" s="38"/>
      <c r="BF103" s="38"/>
      <c r="BG103" s="38"/>
      <c r="BH103" s="38"/>
      <c r="BI103" s="38"/>
    </row>
    <row r="104" spans="1:61" ht="15" customHeight="1" x14ac:dyDescent="0.3">
      <c r="A104" s="38"/>
      <c r="B104" s="306"/>
      <c r="C104" s="307"/>
      <c r="D104" s="308"/>
      <c r="E104" s="290"/>
      <c r="F104" s="289"/>
      <c r="G104" s="289"/>
      <c r="H104" s="289"/>
      <c r="I104" s="289"/>
      <c r="J104" s="119" t="str">
        <f>IF(AND('Mapa final'!$AB$34="Media",'Mapa final'!$AD$34="Leve"),CONCATENATE("R11C",'Mapa final'!$R$34),"")</f>
        <v/>
      </c>
      <c r="K104" s="143" t="str">
        <f>IF(AND('Mapa final'!$AB$35="Media",'Mapa final'!$AD$35="Leve"),CONCATENATE("R11C",'Mapa final'!$R$35),"")</f>
        <v/>
      </c>
      <c r="L104" s="120" t="str">
        <f>IF(AND('Mapa final'!$AB$36="Media",'Mapa final'!$AD$36="Leve"),CONCATENATE("R11C",'Mapa final'!$R$36),"")</f>
        <v/>
      </c>
      <c r="M104" s="119" t="str">
        <f>IF(AND('Mapa final'!$AB$34="Media",'Mapa final'!$AD$34="Menor"),CONCATENATE("R11C",'Mapa final'!$R$34),"")</f>
        <v/>
      </c>
      <c r="N104" s="143" t="str">
        <f>IF(AND('Mapa final'!$AB$35="Media",'Mapa final'!$AD$35="Menor"),CONCATENATE("R11C",'Mapa final'!$R$35),"")</f>
        <v/>
      </c>
      <c r="O104" s="120" t="str">
        <f>IF(AND('Mapa final'!$AB$36="Media",'Mapa final'!$AD$36="Menor"),CONCATENATE("R11C",'Mapa final'!$R$36),"")</f>
        <v/>
      </c>
      <c r="P104" s="119" t="str">
        <f>IF(AND('Mapa final'!$AB$34="Media",'Mapa final'!$AD$34="Moderado"),CONCATENATE("R11C",'Mapa final'!$R$34),"")</f>
        <v/>
      </c>
      <c r="Q104" s="143" t="str">
        <f>IF(AND('Mapa final'!$AB$35="Media",'Mapa final'!$AD$35="Moderado"),CONCATENATE("R11C",'Mapa final'!$R$35),"")</f>
        <v/>
      </c>
      <c r="R104" s="120" t="str">
        <f>IF(AND('Mapa final'!$AB$36="Media",'Mapa final'!$AD$36="Moderado"),CONCATENATE("R11C",'Mapa final'!$R$36),"")</f>
        <v/>
      </c>
      <c r="S104" s="148" t="str">
        <f>IF(AND('Mapa final'!$AB$34="Media",'Mapa final'!$AD$34="Mayor"),CONCATENATE("R11C",'Mapa final'!$R$34),"")</f>
        <v/>
      </c>
      <c r="T104" s="149" t="str">
        <f>IF(AND('Mapa final'!$AB$35="Media",'Mapa final'!$AD$35="Mayor"),CONCATENATE("R11C",'Mapa final'!$R$35),"")</f>
        <v/>
      </c>
      <c r="U104" s="150" t="str">
        <f>IF(AND('Mapa final'!$AB$36="Media",'Mapa final'!$AD$36="Mayor"),CONCATENATE("R11C",'Mapa final'!$R$36),"")</f>
        <v/>
      </c>
      <c r="V104" s="114" t="str">
        <f>IF(AND('Mapa final'!$AB$34="Media",'Mapa final'!$AD$34="Catastrófico"),CONCATENATE("R11C",'Mapa final'!$R$34),"")</f>
        <v/>
      </c>
      <c r="W104" s="142" t="str">
        <f>IF(AND('Mapa final'!$AB$35="Media",'Mapa final'!$AD$35="Catastrófico"),CONCATENATE("R11C",'Mapa final'!$R$35),"")</f>
        <v/>
      </c>
      <c r="X104" s="115" t="str">
        <f>IF(AND('Mapa final'!$AB$36="Media",'Mapa final'!$AD$36="Catastrófico"),CONCATENATE("R11C",'Mapa final'!$R$36),"")</f>
        <v/>
      </c>
      <c r="Y104" s="38"/>
      <c r="Z104" s="323"/>
      <c r="AA104" s="324"/>
      <c r="AB104" s="324"/>
      <c r="AC104" s="324"/>
      <c r="AD104" s="324"/>
      <c r="AE104" s="325"/>
      <c r="AF104" s="38"/>
      <c r="AG104" s="38"/>
      <c r="AH104" s="38"/>
      <c r="AI104" s="38"/>
      <c r="AJ104" s="38"/>
      <c r="AK104" s="38"/>
      <c r="AL104" s="38"/>
      <c r="AM104" s="38"/>
      <c r="AN104" s="38"/>
      <c r="AO104" s="38"/>
      <c r="AP104" s="38"/>
      <c r="AQ104" s="38"/>
      <c r="AR104" s="38"/>
      <c r="AS104" s="38"/>
      <c r="AT104" s="38"/>
      <c r="AU104" s="38"/>
      <c r="AV104" s="38"/>
      <c r="AW104" s="38"/>
      <c r="AX104" s="38"/>
      <c r="AY104" s="38"/>
      <c r="AZ104" s="38"/>
      <c r="BA104" s="38"/>
      <c r="BB104" s="38"/>
      <c r="BC104" s="38"/>
      <c r="BD104" s="38"/>
      <c r="BE104" s="38"/>
      <c r="BF104" s="38"/>
      <c r="BG104" s="38"/>
      <c r="BH104" s="38"/>
      <c r="BI104" s="38"/>
    </row>
    <row r="105" spans="1:61" ht="15" customHeight="1" x14ac:dyDescent="0.3">
      <c r="A105" s="38"/>
      <c r="B105" s="306"/>
      <c r="C105" s="307"/>
      <c r="D105" s="308"/>
      <c r="E105" s="290"/>
      <c r="F105" s="289"/>
      <c r="G105" s="289"/>
      <c r="H105" s="289"/>
      <c r="I105" s="289"/>
      <c r="J105" s="119" t="str">
        <f>IF(AND('Mapa final'!$AB$37="Media",'Mapa final'!$AD$37="Leve"),CONCATENATE("R12C",'Mapa final'!$R$37),"")</f>
        <v/>
      </c>
      <c r="K105" s="143" t="str">
        <f>IF(AND('Mapa final'!$AB$38="Media",'Mapa final'!$AD$38="Leve"),CONCATENATE("R12C",'Mapa final'!$R$38),"")</f>
        <v/>
      </c>
      <c r="L105" s="120" t="str">
        <f>IF(AND('Mapa final'!$AB$39="Media",'Mapa final'!$AD$39="Leve"),CONCATENATE("R12C",'Mapa final'!$R$39),"")</f>
        <v/>
      </c>
      <c r="M105" s="119" t="str">
        <f>IF(AND('Mapa final'!$AB$37="Media",'Mapa final'!$AD$37="Menor"),CONCATENATE("R12C",'Mapa final'!$R$37),"")</f>
        <v/>
      </c>
      <c r="N105" s="143" t="str">
        <f>IF(AND('Mapa final'!$AB$38="Media",'Mapa final'!$AD$38="Menor"),CONCATENATE("R12C",'Mapa final'!$R$38),"")</f>
        <v/>
      </c>
      <c r="O105" s="120" t="str">
        <f>IF(AND('Mapa final'!$AB$39="Media",'Mapa final'!$AD$39="Menor"),CONCATENATE("R12C",'Mapa final'!$R$39),"")</f>
        <v/>
      </c>
      <c r="P105" s="119" t="str">
        <f>IF(AND('Mapa final'!$AB$37="Media",'Mapa final'!$AD$37="Moderado"),CONCATENATE("R12C",'Mapa final'!$R$37),"")</f>
        <v/>
      </c>
      <c r="Q105" s="143" t="str">
        <f>IF(AND('Mapa final'!$AB$38="Media",'Mapa final'!$AD$38="Moderado"),CONCATENATE("R12C",'Mapa final'!$R$38),"")</f>
        <v/>
      </c>
      <c r="R105" s="120" t="str">
        <f>IF(AND('Mapa final'!$AB$39="Media",'Mapa final'!$AD$39="Moderado"),CONCATENATE("R12C",'Mapa final'!$R$39),"")</f>
        <v/>
      </c>
      <c r="S105" s="148" t="str">
        <f>IF(AND('Mapa final'!$AB$37="Media",'Mapa final'!$AD$37="Mayor"),CONCATENATE("R12C",'Mapa final'!$R$37),"")</f>
        <v/>
      </c>
      <c r="T105" s="149" t="str">
        <f>IF(AND('Mapa final'!$AB$38="Media",'Mapa final'!$AD$38="Mayor"),CONCATENATE("R12C",'Mapa final'!$R$38),"")</f>
        <v/>
      </c>
      <c r="U105" s="150" t="str">
        <f>IF(AND('Mapa final'!$AB$39="Media",'Mapa final'!$AD$39="Mayor"),CONCATENATE("R12C",'Mapa final'!$R$39),"")</f>
        <v/>
      </c>
      <c r="V105" s="114" t="str">
        <f>IF(AND('Mapa final'!$AB$37="Media",'Mapa final'!$AD$37="Catastrófico"),CONCATENATE("R12C",'Mapa final'!$R$37),"")</f>
        <v/>
      </c>
      <c r="W105" s="142" t="str">
        <f>IF(AND('Mapa final'!$AB$38="Media",'Mapa final'!$AD$38="Catastrófico"),CONCATENATE("R12C",'Mapa final'!$R$38),"")</f>
        <v/>
      </c>
      <c r="X105" s="115" t="str">
        <f>IF(AND('Mapa final'!$AB$39="Media",'Mapa final'!$AD$39="Catastrófico"),CONCATENATE("R12C",'Mapa final'!$R$39),"")</f>
        <v/>
      </c>
      <c r="Y105" s="38"/>
      <c r="Z105" s="323"/>
      <c r="AA105" s="324"/>
      <c r="AB105" s="324"/>
      <c r="AC105" s="324"/>
      <c r="AD105" s="324"/>
      <c r="AE105" s="325"/>
      <c r="AF105" s="38"/>
      <c r="AG105" s="38"/>
      <c r="AH105" s="38"/>
      <c r="AI105" s="38"/>
      <c r="AJ105" s="38"/>
      <c r="AK105" s="38"/>
      <c r="AL105" s="38"/>
      <c r="AM105" s="38"/>
      <c r="AN105" s="38"/>
      <c r="AO105" s="38"/>
      <c r="AP105" s="38"/>
      <c r="AQ105" s="38"/>
      <c r="AR105" s="38"/>
      <c r="AS105" s="38"/>
      <c r="AT105" s="38"/>
      <c r="AU105" s="38"/>
      <c r="AV105" s="38"/>
      <c r="AW105" s="38"/>
      <c r="AX105" s="38"/>
      <c r="AY105" s="38"/>
      <c r="AZ105" s="38"/>
      <c r="BA105" s="38"/>
      <c r="BB105" s="38"/>
      <c r="BC105" s="38"/>
      <c r="BD105" s="38"/>
      <c r="BE105" s="38"/>
      <c r="BF105" s="38"/>
      <c r="BG105" s="38"/>
      <c r="BH105" s="38"/>
      <c r="BI105" s="38"/>
    </row>
    <row r="106" spans="1:61" ht="15" customHeight="1" x14ac:dyDescent="0.3">
      <c r="A106" s="38"/>
      <c r="B106" s="306"/>
      <c r="C106" s="307"/>
      <c r="D106" s="308"/>
      <c r="E106" s="290"/>
      <c r="F106" s="289"/>
      <c r="G106" s="289"/>
      <c r="H106" s="289"/>
      <c r="I106" s="289"/>
      <c r="J106" s="119" t="str">
        <f>IF(AND('Mapa final'!$AB$40="Media",'Mapa final'!$AD$40="Leve"),CONCATENATE("R12C",'Mapa final'!$R$40),"")</f>
        <v/>
      </c>
      <c r="K106" s="143" t="str">
        <f>IF(AND('Mapa final'!$AB$41="Media",'Mapa final'!$AD$41="Leve"),CONCATENATE("R13C",'Mapa final'!$R$41),"")</f>
        <v/>
      </c>
      <c r="L106" s="120" t="str">
        <f>IF(AND('Mapa final'!$AB$42="Media",'Mapa final'!$AD$42="Leve"),CONCATENATE("R13C",'Mapa final'!$R$42),"")</f>
        <v/>
      </c>
      <c r="M106" s="119" t="str">
        <f>IF(AND('Mapa final'!$AB$40="Media",'Mapa final'!$AD$40="Menor"),CONCATENATE("R12C",'Mapa final'!$R$40),"")</f>
        <v/>
      </c>
      <c r="N106" s="143" t="str">
        <f>IF(AND('Mapa final'!$AB$41="Media",'Mapa final'!$AD$41="Menor"),CONCATENATE("R13C",'Mapa final'!$R$41),"")</f>
        <v/>
      </c>
      <c r="O106" s="120" t="str">
        <f>IF(AND('Mapa final'!$AB$42="Media",'Mapa final'!$AD$42="Menor"),CONCATENATE("R13C",'Mapa final'!$R$42),"")</f>
        <v/>
      </c>
      <c r="P106" s="119" t="str">
        <f>IF(AND('Mapa final'!$AB$40="Media",'Mapa final'!$AD$40="Moderado"),CONCATENATE("R12C",'Mapa final'!$R$40),"")</f>
        <v/>
      </c>
      <c r="Q106" s="143" t="str">
        <f>IF(AND('Mapa final'!$AB$41="Media",'Mapa final'!$AD$41="Moderado"),CONCATENATE("R13C",'Mapa final'!$R$41),"")</f>
        <v/>
      </c>
      <c r="R106" s="120" t="str">
        <f>IF(AND('Mapa final'!$AB$42="Media",'Mapa final'!$AD$42="Moderado"),CONCATENATE("R13C",'Mapa final'!$R$42),"")</f>
        <v/>
      </c>
      <c r="S106" s="148" t="str">
        <f>IF(AND('Mapa final'!$AB$40="Media",'Mapa final'!$AD$40="Mayor"),CONCATENATE("R12C",'Mapa final'!$R$40),"")</f>
        <v/>
      </c>
      <c r="T106" s="149" t="str">
        <f>IF(AND('Mapa final'!$AB$41="Media",'Mapa final'!$AD$41="Mayor"),CONCATENATE("R13C",'Mapa final'!$R$41),"")</f>
        <v/>
      </c>
      <c r="U106" s="150" t="str">
        <f>IF(AND('Mapa final'!$AB$42="Media",'Mapa final'!$AD$42="Mayor"),CONCATENATE("R13C",'Mapa final'!$R$42),"")</f>
        <v/>
      </c>
      <c r="V106" s="114" t="str">
        <f>IF(AND('Mapa final'!$AB$40="Media",'Mapa final'!$AD$40="Catastrófico"),CONCATENATE("R12C",'Mapa final'!$R$40),"")</f>
        <v/>
      </c>
      <c r="W106" s="142" t="str">
        <f>IF(AND('Mapa final'!$AB$41="Media",'Mapa final'!$AD$41="Catastrófico"),CONCATENATE("R13C",'Mapa final'!$R$41),"")</f>
        <v/>
      </c>
      <c r="X106" s="115" t="str">
        <f>IF(AND('Mapa final'!$AB$42="Media",'Mapa final'!$AD$42="Catastrófico"),CONCATENATE("R13C",'Mapa final'!$R$42),"")</f>
        <v/>
      </c>
      <c r="Y106" s="38"/>
      <c r="Z106" s="323"/>
      <c r="AA106" s="324"/>
      <c r="AB106" s="324"/>
      <c r="AC106" s="324"/>
      <c r="AD106" s="324"/>
      <c r="AE106" s="325"/>
      <c r="AF106" s="38"/>
      <c r="AG106" s="38"/>
      <c r="AH106" s="38"/>
      <c r="AI106" s="38"/>
      <c r="AJ106" s="38"/>
      <c r="AK106" s="38"/>
      <c r="AL106" s="38"/>
      <c r="AM106" s="38"/>
      <c r="AN106" s="38"/>
      <c r="AO106" s="38"/>
      <c r="AP106" s="38"/>
      <c r="AQ106" s="38"/>
      <c r="AR106" s="38"/>
      <c r="AS106" s="38"/>
      <c r="AT106" s="38"/>
      <c r="AU106" s="38"/>
      <c r="AV106" s="38"/>
      <c r="AW106" s="38"/>
      <c r="AX106" s="38"/>
      <c r="AY106" s="38"/>
      <c r="AZ106" s="38"/>
      <c r="BA106" s="38"/>
      <c r="BB106" s="38"/>
      <c r="BC106" s="38"/>
      <c r="BD106" s="38"/>
      <c r="BE106" s="38"/>
      <c r="BF106" s="38"/>
      <c r="BG106" s="38"/>
      <c r="BH106" s="38"/>
      <c r="BI106" s="38"/>
    </row>
    <row r="107" spans="1:61" ht="15" customHeight="1" x14ac:dyDescent="0.3">
      <c r="A107" s="38"/>
      <c r="B107" s="306"/>
      <c r="C107" s="307"/>
      <c r="D107" s="308"/>
      <c r="E107" s="290"/>
      <c r="F107" s="289"/>
      <c r="G107" s="289"/>
      <c r="H107" s="289"/>
      <c r="I107" s="289"/>
      <c r="J107" s="119" t="str">
        <f>IF(AND('Mapa final'!$AB$43="Media",'Mapa final'!$AD$43="Leve"),CONCATENATE("R13C",'Mapa final'!$R$43),"")</f>
        <v/>
      </c>
      <c r="K107" s="143" t="str">
        <f>IF(AND('Mapa final'!$AB$44="Media",'Mapa final'!$AD$44="Leve"),CONCATENATE("R14C",'Mapa final'!$R$44),"")</f>
        <v/>
      </c>
      <c r="L107" s="120" t="str">
        <f>IF(AND('Mapa final'!$AB$45="Media",'Mapa final'!$AD$45="Leve"),CONCATENATE("R14C",'Mapa final'!$R$45),"")</f>
        <v/>
      </c>
      <c r="M107" s="119" t="str">
        <f>IF(AND('Mapa final'!$AB$43="Media",'Mapa final'!$AD$43="Menor"),CONCATENATE("R13C",'Mapa final'!$R$43),"")</f>
        <v/>
      </c>
      <c r="N107" s="143" t="str">
        <f>IF(AND('Mapa final'!$AB$44="Media",'Mapa final'!$AD$44="Menor"),CONCATENATE("R14C",'Mapa final'!$R$44),"")</f>
        <v/>
      </c>
      <c r="O107" s="120" t="str">
        <f>IF(AND('Mapa final'!$AB$45="Media",'Mapa final'!$AD$45="Menor"),CONCATENATE("R14C",'Mapa final'!$R$45),"")</f>
        <v/>
      </c>
      <c r="P107" s="119" t="str">
        <f>IF(AND('Mapa final'!$AB$43="Media",'Mapa final'!$AD$43="Moderado"),CONCATENATE("R13C",'Mapa final'!$R$43),"")</f>
        <v/>
      </c>
      <c r="Q107" s="143" t="str">
        <f>IF(AND('Mapa final'!$AB$44="Media",'Mapa final'!$AD$44="Moderado"),CONCATENATE("R14C",'Mapa final'!$R$44),"")</f>
        <v/>
      </c>
      <c r="R107" s="120" t="str">
        <f>IF(AND('Mapa final'!$AB$45="Media",'Mapa final'!$AD$45="Moderado"),CONCATENATE("R14C",'Mapa final'!$R$45),"")</f>
        <v/>
      </c>
      <c r="S107" s="148" t="str">
        <f>IF(AND('Mapa final'!$AB$43="Media",'Mapa final'!$AD$43="Mayor"),CONCATENATE("R13C",'Mapa final'!$R$43),"")</f>
        <v/>
      </c>
      <c r="T107" s="149" t="str">
        <f>IF(AND('Mapa final'!$AB$44="Media",'Mapa final'!$AD$44="Mayor"),CONCATENATE("R14C",'Mapa final'!$R$44),"")</f>
        <v/>
      </c>
      <c r="U107" s="150" t="str">
        <f>IF(AND('Mapa final'!$AB$45="Media",'Mapa final'!$AD$45="Mayor"),CONCATENATE("R14C",'Mapa final'!$R$45),"")</f>
        <v/>
      </c>
      <c r="V107" s="114" t="str">
        <f>IF(AND('Mapa final'!$AB$43="Media",'Mapa final'!$AD$43="Catastrófico"),CONCATENATE("R13C",'Mapa final'!$R$43),"")</f>
        <v/>
      </c>
      <c r="W107" s="142" t="str">
        <f>IF(AND('Mapa final'!$AB$44="Media",'Mapa final'!$AD$44="Catastrófico"),CONCATENATE("R14C",'Mapa final'!$R$44),"")</f>
        <v/>
      </c>
      <c r="X107" s="115" t="str">
        <f>IF(AND('Mapa final'!$AB$45="Media",'Mapa final'!$AD$45="Catastrófico"),CONCATENATE("R14C",'Mapa final'!$R$45),"")</f>
        <v/>
      </c>
      <c r="Y107" s="38"/>
      <c r="Z107" s="323"/>
      <c r="AA107" s="324"/>
      <c r="AB107" s="324"/>
      <c r="AC107" s="324"/>
      <c r="AD107" s="324"/>
      <c r="AE107" s="325"/>
      <c r="AF107" s="38"/>
      <c r="AG107" s="38"/>
      <c r="AH107" s="38"/>
      <c r="AI107" s="38"/>
      <c r="AJ107" s="38"/>
      <c r="AK107" s="38"/>
      <c r="AL107" s="38"/>
      <c r="AM107" s="38"/>
      <c r="AN107" s="38"/>
      <c r="AO107" s="38"/>
      <c r="AP107" s="38"/>
      <c r="AQ107" s="38"/>
      <c r="AR107" s="38"/>
      <c r="AS107" s="38"/>
      <c r="AT107" s="38"/>
      <c r="AU107" s="38"/>
      <c r="AV107" s="38"/>
      <c r="AW107" s="38"/>
      <c r="AX107" s="38"/>
      <c r="AY107" s="38"/>
      <c r="AZ107" s="38"/>
      <c r="BA107" s="38"/>
      <c r="BB107" s="38"/>
      <c r="BC107" s="38"/>
      <c r="BD107" s="38"/>
      <c r="BE107" s="38"/>
      <c r="BF107" s="38"/>
      <c r="BG107" s="38"/>
      <c r="BH107" s="38"/>
      <c r="BI107" s="38"/>
    </row>
    <row r="108" spans="1:61" ht="15" customHeight="1" x14ac:dyDescent="0.3">
      <c r="A108" s="38"/>
      <c r="B108" s="306"/>
      <c r="C108" s="307"/>
      <c r="D108" s="308"/>
      <c r="E108" s="290"/>
      <c r="F108" s="289"/>
      <c r="G108" s="289"/>
      <c r="H108" s="289"/>
      <c r="I108" s="289"/>
      <c r="J108" s="119" t="str">
        <f>IF(AND('Mapa final'!$AB$46="Media",'Mapa final'!$AD$46="Leve"),CONCATENATE("R14C",'Mapa final'!$R$46),"")</f>
        <v/>
      </c>
      <c r="K108" s="143" t="str">
        <f>IF(AND('Mapa final'!$AB$47="Media",'Mapa final'!$AD$47="Leve"),CONCATENATE("R14C",'Mapa final'!$R$47),"")</f>
        <v/>
      </c>
      <c r="L108" s="120" t="str">
        <f>IF(AND('Mapa final'!$AB$48="Media",'Mapa final'!$AD$48="Leve"),CONCATENATE("R14C",'Mapa final'!$R$48),"")</f>
        <v/>
      </c>
      <c r="M108" s="119" t="str">
        <f>IF(AND('Mapa final'!$AB$46="Media",'Mapa final'!$AD$46="Menor"),CONCATENATE("R14C",'Mapa final'!$R$46),"")</f>
        <v/>
      </c>
      <c r="N108" s="143" t="str">
        <f>IF(AND('Mapa final'!$AB$47="Media",'Mapa final'!$AD$47="Menor"),CONCATENATE("R14C",'Mapa final'!$R$47),"")</f>
        <v/>
      </c>
      <c r="O108" s="120" t="str">
        <f>IF(AND('Mapa final'!$AB$48="Media",'Mapa final'!$AD$48="Menor"),CONCATENATE("R14C",'Mapa final'!$R$48),"")</f>
        <v/>
      </c>
      <c r="P108" s="119" t="str">
        <f>IF(AND('Mapa final'!$AB$46="Media",'Mapa final'!$AD$46="Moderado"),CONCATENATE("R14C",'Mapa final'!$R$46),"")</f>
        <v/>
      </c>
      <c r="Q108" s="143" t="str">
        <f>IF(AND('Mapa final'!$AB$47="Media",'Mapa final'!$AD$47="Moderado"),CONCATENATE("R14C",'Mapa final'!$R$47),"")</f>
        <v/>
      </c>
      <c r="R108" s="120" t="str">
        <f>IF(AND('Mapa final'!$AB$48="Media",'Mapa final'!$AD$48="Moderado"),CONCATENATE("R14C",'Mapa final'!$R$48),"")</f>
        <v/>
      </c>
      <c r="S108" s="148" t="str">
        <f>IF(AND('Mapa final'!$AB$46="Media",'Mapa final'!$AD$46="Mayor"),CONCATENATE("R14C",'Mapa final'!$R$46),"")</f>
        <v/>
      </c>
      <c r="T108" s="149" t="str">
        <f>IF(AND('Mapa final'!$AB$47="Media",'Mapa final'!$AD$47="Mayor"),CONCATENATE("R14C",'Mapa final'!$R$47),"")</f>
        <v/>
      </c>
      <c r="U108" s="150" t="str">
        <f>IF(AND('Mapa final'!$AB$48="Media",'Mapa final'!$AD$48="Mayor"),CONCATENATE("R14C",'Mapa final'!$R$48),"")</f>
        <v/>
      </c>
      <c r="V108" s="114" t="str">
        <f>IF(AND('Mapa final'!$AB$46="Media",'Mapa final'!$AD$46="Catastrófico"),CONCATENATE("R14C",'Mapa final'!$R$46),"")</f>
        <v/>
      </c>
      <c r="W108" s="142" t="str">
        <f>IF(AND('Mapa final'!$AB$47="Media",'Mapa final'!$AD$47="Catastrófico"),CONCATENATE("R14C",'Mapa final'!$R$47),"")</f>
        <v/>
      </c>
      <c r="X108" s="115" t="str">
        <f>IF(AND('Mapa final'!$AB$48="Media",'Mapa final'!$AD$48="Catastrófico"),CONCATENATE("R14C",'Mapa final'!$R$48),"")</f>
        <v/>
      </c>
      <c r="Y108" s="38"/>
      <c r="Z108" s="323"/>
      <c r="AA108" s="324"/>
      <c r="AB108" s="324"/>
      <c r="AC108" s="324"/>
      <c r="AD108" s="324"/>
      <c r="AE108" s="325"/>
      <c r="AF108" s="38"/>
      <c r="AG108" s="38"/>
      <c r="AH108" s="38"/>
      <c r="AI108" s="38"/>
      <c r="AJ108" s="38"/>
      <c r="AK108" s="38"/>
      <c r="AL108" s="38"/>
      <c r="AM108" s="38"/>
      <c r="AN108" s="38"/>
      <c r="AO108" s="38"/>
      <c r="AP108" s="38"/>
      <c r="AQ108" s="38"/>
      <c r="AR108" s="38"/>
      <c r="AS108" s="38"/>
      <c r="AT108" s="38"/>
      <c r="AU108" s="38"/>
      <c r="AV108" s="38"/>
      <c r="AW108" s="38"/>
      <c r="AX108" s="38"/>
      <c r="AY108" s="38"/>
      <c r="AZ108" s="38"/>
      <c r="BA108" s="38"/>
      <c r="BB108" s="38"/>
      <c r="BC108" s="38"/>
      <c r="BD108" s="38"/>
      <c r="BE108" s="38"/>
      <c r="BF108" s="38"/>
      <c r="BG108" s="38"/>
      <c r="BH108" s="38"/>
      <c r="BI108" s="38"/>
    </row>
    <row r="109" spans="1:61" ht="15" customHeight="1" x14ac:dyDescent="0.3">
      <c r="A109" s="38"/>
      <c r="B109" s="306"/>
      <c r="C109" s="307"/>
      <c r="D109" s="308"/>
      <c r="E109" s="290"/>
      <c r="F109" s="289"/>
      <c r="G109" s="289"/>
      <c r="H109" s="289"/>
      <c r="I109" s="289"/>
      <c r="J109" s="119" t="str">
        <f>IF(AND('Mapa final'!$AB$49="Media",'Mapa final'!$AD$49="Leve"),CONCATENATE("R15C",'Mapa final'!$R$49),"")</f>
        <v/>
      </c>
      <c r="K109" s="143" t="str">
        <f>IF(AND('Mapa final'!$AB$50="Media",'Mapa final'!$AD$50="Leve"),CONCATENATE("R15C",'Mapa final'!$R$50),"")</f>
        <v/>
      </c>
      <c r="L109" s="120" t="str">
        <f>IF(AND('Mapa final'!$AB$51="Media",'Mapa final'!$AD$51="Leve"),CONCATENATE("R15C",'Mapa final'!$R$51),"")</f>
        <v/>
      </c>
      <c r="M109" s="119" t="str">
        <f>IF(AND('Mapa final'!$AB$49="Media",'Mapa final'!$AD$49="Menor"),CONCATENATE("R15C",'Mapa final'!$R$49),"")</f>
        <v/>
      </c>
      <c r="N109" s="143" t="str">
        <f>IF(AND('Mapa final'!$AB$50="Media",'Mapa final'!$AD$50="Menor"),CONCATENATE("R15C",'Mapa final'!$R$50),"")</f>
        <v/>
      </c>
      <c r="O109" s="120" t="str">
        <f>IF(AND('Mapa final'!$AB$51="Media",'Mapa final'!$AD$51="Menor"),CONCATENATE("R15C",'Mapa final'!$R$51),"")</f>
        <v/>
      </c>
      <c r="P109" s="119" t="str">
        <f>IF(AND('Mapa final'!$AB$49="Media",'Mapa final'!$AD$49="Moderado"),CONCATENATE("R15C",'Mapa final'!$R$49),"")</f>
        <v/>
      </c>
      <c r="Q109" s="143" t="str">
        <f>IF(AND('Mapa final'!$AB$50="Media",'Mapa final'!$AD$50="Moderado"),CONCATENATE("R15C",'Mapa final'!$R$50),"")</f>
        <v/>
      </c>
      <c r="R109" s="120" t="str">
        <f>IF(AND('Mapa final'!$AB$51="Media",'Mapa final'!$AD$51="Moderado"),CONCATENATE("R15C",'Mapa final'!$R$51),"")</f>
        <v/>
      </c>
      <c r="S109" s="148" t="str">
        <f>IF(AND('Mapa final'!$AB$49="Media",'Mapa final'!$AD$49="Mayor"),CONCATENATE("R15C",'Mapa final'!$R$49),"")</f>
        <v/>
      </c>
      <c r="T109" s="149" t="str">
        <f>IF(AND('Mapa final'!$AB$50="Media",'Mapa final'!$AD$50="Mayor"),CONCATENATE("R15C",'Mapa final'!$R$50),"")</f>
        <v/>
      </c>
      <c r="U109" s="150" t="str">
        <f>IF(AND('Mapa final'!$AB$51="Media",'Mapa final'!$AD$51="Mayor"),CONCATENATE("R15C",'Mapa final'!$R$51),"")</f>
        <v/>
      </c>
      <c r="V109" s="114" t="str">
        <f>IF(AND('Mapa final'!$AB$49="Media",'Mapa final'!$AD$49="Catastrófico"),CONCATENATE("R15C",'Mapa final'!$R$49),"")</f>
        <v/>
      </c>
      <c r="W109" s="142" t="str">
        <f>IF(AND('Mapa final'!$AB$50="Media",'Mapa final'!$AD$50="Catastrófico"),CONCATENATE("R15C",'Mapa final'!$R$50),"")</f>
        <v/>
      </c>
      <c r="X109" s="115" t="str">
        <f>IF(AND('Mapa final'!$AB$51="Media",'Mapa final'!$AD$51="Catastrófico"),CONCATENATE("R15C",'Mapa final'!$R$51),"")</f>
        <v/>
      </c>
      <c r="Y109" s="38"/>
      <c r="Z109" s="323"/>
      <c r="AA109" s="324"/>
      <c r="AB109" s="324"/>
      <c r="AC109" s="324"/>
      <c r="AD109" s="324"/>
      <c r="AE109" s="325"/>
      <c r="AF109" s="38"/>
      <c r="AG109" s="38"/>
      <c r="AH109" s="38"/>
      <c r="AI109" s="38"/>
      <c r="AJ109" s="38"/>
      <c r="AK109" s="38"/>
      <c r="AL109" s="38"/>
      <c r="AM109" s="38"/>
      <c r="AN109" s="38"/>
      <c r="AO109" s="38"/>
      <c r="AP109" s="38"/>
      <c r="AQ109" s="38"/>
      <c r="AR109" s="38"/>
      <c r="AS109" s="38"/>
      <c r="AT109" s="38"/>
      <c r="AU109" s="38"/>
      <c r="AV109" s="38"/>
      <c r="AW109" s="38"/>
      <c r="AX109" s="38"/>
      <c r="AY109" s="38"/>
      <c r="AZ109" s="38"/>
      <c r="BA109" s="38"/>
      <c r="BB109" s="38"/>
      <c r="BC109" s="38"/>
      <c r="BD109" s="38"/>
      <c r="BE109" s="38"/>
      <c r="BF109" s="38"/>
      <c r="BG109" s="38"/>
      <c r="BH109" s="38"/>
      <c r="BI109" s="38"/>
    </row>
    <row r="110" spans="1:61" ht="15" customHeight="1" x14ac:dyDescent="0.3">
      <c r="A110" s="38"/>
      <c r="B110" s="306"/>
      <c r="C110" s="307"/>
      <c r="D110" s="308"/>
      <c r="E110" s="290"/>
      <c r="F110" s="289"/>
      <c r="G110" s="289"/>
      <c r="H110" s="289"/>
      <c r="I110" s="289"/>
      <c r="J110" s="119" t="str">
        <f>IF(AND('Mapa final'!$AB$52="Media",'Mapa final'!$AD$52="Leve"),CONCATENATE("R16C",'Mapa final'!$R$52),"")</f>
        <v/>
      </c>
      <c r="K110" s="143" t="str">
        <f>IF(AND('Mapa final'!$AB$53="Media",'Mapa final'!$AD$53="Leve"),CONCATENATE("R16C",'Mapa final'!$R$53),"")</f>
        <v/>
      </c>
      <c r="L110" s="120" t="str">
        <f>IF(AND('Mapa final'!$AB$54="Media",'Mapa final'!$AD$54="Leve"),CONCATENATE("R16C",'Mapa final'!$R$54),"")</f>
        <v/>
      </c>
      <c r="M110" s="119" t="str">
        <f>IF(AND('Mapa final'!$AB$52="Media",'Mapa final'!$AD$52="Menor"),CONCATENATE("R16C",'Mapa final'!$R$52),"")</f>
        <v/>
      </c>
      <c r="N110" s="143" t="str">
        <f>IF(AND('Mapa final'!$AB$53="Media",'Mapa final'!$AD$53="Menor"),CONCATENATE("R16C",'Mapa final'!$R$53),"")</f>
        <v/>
      </c>
      <c r="O110" s="120" t="str">
        <f>IF(AND('Mapa final'!$AB$54="Media",'Mapa final'!$AD$54="Menor"),CONCATENATE("R16C",'Mapa final'!$R$54),"")</f>
        <v/>
      </c>
      <c r="P110" s="119" t="str">
        <f>IF(AND('Mapa final'!$AB$52="Media",'Mapa final'!$AD$52="Moderado"),CONCATENATE("R16C",'Mapa final'!$R$52),"")</f>
        <v/>
      </c>
      <c r="Q110" s="143" t="str">
        <f>IF(AND('Mapa final'!$AB$53="Media",'Mapa final'!$AD$53="Moderado"),CONCATENATE("R16C",'Mapa final'!$R$53),"")</f>
        <v/>
      </c>
      <c r="R110" s="120" t="str">
        <f>IF(AND('Mapa final'!$AB$54="Media",'Mapa final'!$AD$54="Moderado"),CONCATENATE("R16C",'Mapa final'!$R$54),"")</f>
        <v/>
      </c>
      <c r="S110" s="148" t="str">
        <f>IF(AND('Mapa final'!$AB$52="Media",'Mapa final'!$AD$52="Mayor"),CONCATENATE("R16C",'Mapa final'!$R$52),"")</f>
        <v/>
      </c>
      <c r="T110" s="149" t="str">
        <f>IF(AND('Mapa final'!$AB$53="Media",'Mapa final'!$AD$53="Mayor"),CONCATENATE("R16C",'Mapa final'!$R$53),"")</f>
        <v/>
      </c>
      <c r="U110" s="150" t="str">
        <f>IF(AND('Mapa final'!$AB$54="Media",'Mapa final'!$AD$54="Mayor"),CONCATENATE("R16C",'Mapa final'!$R$54),"")</f>
        <v/>
      </c>
      <c r="V110" s="114" t="str">
        <f>IF(AND('Mapa final'!$AB$52="Media",'Mapa final'!$AD$52="Catastrófico"),CONCATENATE("R16C",'Mapa final'!$R$52),"")</f>
        <v/>
      </c>
      <c r="W110" s="142" t="str">
        <f>IF(AND('Mapa final'!$AB$53="Media",'Mapa final'!$AD$53="Catastrófico"),CONCATENATE("R16C",'Mapa final'!$R$53),"")</f>
        <v/>
      </c>
      <c r="X110" s="115" t="str">
        <f>IF(AND('Mapa final'!$AB$54="Media",'Mapa final'!$AD$54="Catastrófico"),CONCATENATE("R16C",'Mapa final'!$R$54),"")</f>
        <v/>
      </c>
      <c r="Y110" s="38"/>
      <c r="Z110" s="323"/>
      <c r="AA110" s="324"/>
      <c r="AB110" s="324"/>
      <c r="AC110" s="324"/>
      <c r="AD110" s="324"/>
      <c r="AE110" s="325"/>
      <c r="AF110" s="38"/>
      <c r="AG110" s="38"/>
      <c r="AH110" s="38"/>
      <c r="AI110" s="38"/>
      <c r="AJ110" s="38"/>
      <c r="AK110" s="38"/>
      <c r="AL110" s="38"/>
      <c r="AM110" s="38"/>
      <c r="AN110" s="38"/>
      <c r="AO110" s="38"/>
      <c r="AP110" s="38"/>
      <c r="AQ110" s="38"/>
      <c r="AR110" s="38"/>
      <c r="AS110" s="38"/>
      <c r="AT110" s="38"/>
      <c r="AU110" s="38"/>
      <c r="AV110" s="38"/>
      <c r="AW110" s="38"/>
      <c r="AX110" s="38"/>
      <c r="AY110" s="38"/>
      <c r="AZ110" s="38"/>
      <c r="BA110" s="38"/>
      <c r="BB110" s="38"/>
      <c r="BC110" s="38"/>
      <c r="BD110" s="38"/>
      <c r="BE110" s="38"/>
      <c r="BF110" s="38"/>
      <c r="BG110" s="38"/>
      <c r="BH110" s="38"/>
      <c r="BI110" s="38"/>
    </row>
    <row r="111" spans="1:61" ht="15" customHeight="1" x14ac:dyDescent="0.3">
      <c r="A111" s="38"/>
      <c r="B111" s="306"/>
      <c r="C111" s="307"/>
      <c r="D111" s="308"/>
      <c r="E111" s="290"/>
      <c r="F111" s="289"/>
      <c r="G111" s="289"/>
      <c r="H111" s="289"/>
      <c r="I111" s="289"/>
      <c r="J111" s="119" t="str">
        <f>IF(AND('Mapa final'!$AB$55="Media",'Mapa final'!$AD$55="Leve"),CONCATENATE("R17C",'Mapa final'!$R$55),"")</f>
        <v/>
      </c>
      <c r="K111" s="143" t="str">
        <f>IF(AND('Mapa final'!$AB$56="Media",'Mapa final'!$AD$56="Leve"),CONCATENATE("R17C",'Mapa final'!$R$56),"")</f>
        <v/>
      </c>
      <c r="L111" s="120" t="str">
        <f>IF(AND('Mapa final'!$AB$57="Media",'Mapa final'!$AD$57="Leve"),CONCATENATE("R17C",'Mapa final'!$R$57),"")</f>
        <v/>
      </c>
      <c r="M111" s="119" t="str">
        <f>IF(AND('Mapa final'!$AB$55="Media",'Mapa final'!$AD$55="Menor"),CONCATENATE("R17C",'Mapa final'!$R$55),"")</f>
        <v/>
      </c>
      <c r="N111" s="143" t="str">
        <f>IF(AND('Mapa final'!$AB$56="Media",'Mapa final'!$AD$56="Menor"),CONCATENATE("R17C",'Mapa final'!$R$56),"")</f>
        <v/>
      </c>
      <c r="O111" s="120" t="str">
        <f>IF(AND('Mapa final'!$AB$57="Media",'Mapa final'!$AD$57="Menor"),CONCATENATE("R17C",'Mapa final'!$R$57),"")</f>
        <v/>
      </c>
      <c r="P111" s="119" t="str">
        <f>IF(AND('Mapa final'!$AB$55="Media",'Mapa final'!$AD$55="Moderado"),CONCATENATE("R17C",'Mapa final'!$R$55),"")</f>
        <v/>
      </c>
      <c r="Q111" s="143" t="str">
        <f>IF(AND('Mapa final'!$AB$56="Media",'Mapa final'!$AD$56="Moderado"),CONCATENATE("R17C",'Mapa final'!$R$56),"")</f>
        <v/>
      </c>
      <c r="R111" s="120" t="str">
        <f>IF(AND('Mapa final'!$AB$57="Media",'Mapa final'!$AD$57="Moderado"),CONCATENATE("R17C",'Mapa final'!$R$57),"")</f>
        <v/>
      </c>
      <c r="S111" s="148" t="str">
        <f>IF(AND('Mapa final'!$AB$55="Media",'Mapa final'!$AD$55="Mayor"),CONCATENATE("R17C",'Mapa final'!$R$55),"")</f>
        <v/>
      </c>
      <c r="T111" s="149" t="str">
        <f>IF(AND('Mapa final'!$AB$56="Media",'Mapa final'!$AD$56="Mayor"),CONCATENATE("R17C",'Mapa final'!$R$56),"")</f>
        <v/>
      </c>
      <c r="U111" s="150" t="str">
        <f>IF(AND('Mapa final'!$AB$57="Media",'Mapa final'!$AD$57="Mayor"),CONCATENATE("R17C",'Mapa final'!$R$57),"")</f>
        <v/>
      </c>
      <c r="V111" s="114" t="str">
        <f>IF(AND('Mapa final'!$AB$55="Media",'Mapa final'!$AD$55="Catastrófico"),CONCATENATE("R17C",'Mapa final'!$R$55),"")</f>
        <v/>
      </c>
      <c r="W111" s="142" t="str">
        <f>IF(AND('Mapa final'!$AB$56="Media",'Mapa final'!$AD$56="Catastrófico"),CONCATENATE("R17C",'Mapa final'!$R$56),"")</f>
        <v/>
      </c>
      <c r="X111" s="115" t="str">
        <f>IF(AND('Mapa final'!$AB$57="Media",'Mapa final'!$AD$57="Catastrófico"),CONCATENATE("R17C",'Mapa final'!$R$57),"")</f>
        <v/>
      </c>
      <c r="Y111" s="38"/>
      <c r="Z111" s="323"/>
      <c r="AA111" s="324"/>
      <c r="AB111" s="324"/>
      <c r="AC111" s="324"/>
      <c r="AD111" s="324"/>
      <c r="AE111" s="325"/>
      <c r="AF111" s="38"/>
      <c r="AG111" s="38"/>
      <c r="AH111" s="38"/>
      <c r="AI111" s="38"/>
      <c r="AJ111" s="38"/>
      <c r="AK111" s="38"/>
      <c r="AL111" s="38"/>
      <c r="AM111" s="38"/>
      <c r="AN111" s="38"/>
      <c r="AO111" s="38"/>
      <c r="AP111" s="38"/>
      <c r="AQ111" s="38"/>
      <c r="AR111" s="38"/>
      <c r="AS111" s="38"/>
      <c r="AT111" s="38"/>
      <c r="AU111" s="38"/>
      <c r="AV111" s="38"/>
      <c r="AW111" s="38"/>
      <c r="AX111" s="38"/>
      <c r="AY111" s="38"/>
      <c r="AZ111" s="38"/>
      <c r="BA111" s="38"/>
      <c r="BB111" s="38"/>
      <c r="BC111" s="38"/>
      <c r="BD111" s="38"/>
      <c r="BE111" s="38"/>
      <c r="BF111" s="38"/>
      <c r="BG111" s="38"/>
      <c r="BH111" s="38"/>
      <c r="BI111" s="38"/>
    </row>
    <row r="112" spans="1:61" ht="15" customHeight="1" x14ac:dyDescent="0.3">
      <c r="A112" s="38"/>
      <c r="B112" s="306"/>
      <c r="C112" s="307"/>
      <c r="D112" s="308"/>
      <c r="E112" s="290"/>
      <c r="F112" s="289"/>
      <c r="G112" s="289"/>
      <c r="H112" s="289"/>
      <c r="I112" s="289"/>
      <c r="J112" s="119" t="str">
        <f>IF(AND('Mapa final'!$AB$58="Media",'Mapa final'!$AD$58="Leve"),CONCATENATE("R18C",'Mapa final'!$R$58),"")</f>
        <v/>
      </c>
      <c r="K112" s="143" t="str">
        <f>IF(AND('Mapa final'!$AB$59="Media",'Mapa final'!$AD$59="Leve"),CONCATENATE("R18C",'Mapa final'!$R$59),"")</f>
        <v/>
      </c>
      <c r="L112" s="120" t="str">
        <f>IF(AND('Mapa final'!$AB$60="Media",'Mapa final'!$AD$60="Leve"),CONCATENATE("R18C",'Mapa final'!$R$60),"")</f>
        <v/>
      </c>
      <c r="M112" s="119" t="str">
        <f>IF(AND('Mapa final'!$AB$58="Media",'Mapa final'!$AD$58="Menor"),CONCATENATE("R18C",'Mapa final'!$R$58),"")</f>
        <v/>
      </c>
      <c r="N112" s="143" t="str">
        <f>IF(AND('Mapa final'!$AB$59="Media",'Mapa final'!$AD$59="Menor"),CONCATENATE("R18C",'Mapa final'!$R$59),"")</f>
        <v/>
      </c>
      <c r="O112" s="120" t="str">
        <f>IF(AND('Mapa final'!$AB$60="Media",'Mapa final'!$AD$60="Menor"),CONCATENATE("R18C",'Mapa final'!$R$60),"")</f>
        <v/>
      </c>
      <c r="P112" s="119" t="str">
        <f>IF(AND('Mapa final'!$AB$58="Media",'Mapa final'!$AD$58="Moderado"),CONCATENATE("R18C",'Mapa final'!$R$58),"")</f>
        <v/>
      </c>
      <c r="Q112" s="143" t="str">
        <f>IF(AND('Mapa final'!$AB$59="Media",'Mapa final'!$AD$59="Moderado"),CONCATENATE("R18C",'Mapa final'!$R$59),"")</f>
        <v/>
      </c>
      <c r="R112" s="120" t="str">
        <f>IF(AND('Mapa final'!$AB$60="Media",'Mapa final'!$AD$60="Moderado"),CONCATENATE("R18C",'Mapa final'!$R$60),"")</f>
        <v/>
      </c>
      <c r="S112" s="148" t="str">
        <f>IF(AND('Mapa final'!$AB$58="Media",'Mapa final'!$AD$58="Mayor"),CONCATENATE("R18C",'Mapa final'!$R$58),"")</f>
        <v/>
      </c>
      <c r="T112" s="149" t="str">
        <f>IF(AND('Mapa final'!$AB$59="Media",'Mapa final'!$AD$59="Mayor"),CONCATENATE("R18C",'Mapa final'!$R$59),"")</f>
        <v/>
      </c>
      <c r="U112" s="150" t="str">
        <f>IF(AND('Mapa final'!$AB$60="Media",'Mapa final'!$AD$60="Mayor"),CONCATENATE("R18C",'Mapa final'!$R$60),"")</f>
        <v/>
      </c>
      <c r="V112" s="114" t="str">
        <f>IF(AND('Mapa final'!$AB$58="Media",'Mapa final'!$AD$58="Catastrófico"),CONCATENATE("R18C",'Mapa final'!$R$58),"")</f>
        <v/>
      </c>
      <c r="W112" s="142" t="str">
        <f>IF(AND('Mapa final'!$AB$59="Media",'Mapa final'!$AD$59="Catastrófico"),CONCATENATE("R18C",'Mapa final'!$R$59),"")</f>
        <v/>
      </c>
      <c r="X112" s="115" t="str">
        <f>IF(AND('Mapa final'!$AB$60="Media",'Mapa final'!$AD$60="Catastrófico"),CONCATENATE("R18C",'Mapa final'!$R$60),"")</f>
        <v/>
      </c>
      <c r="Y112" s="38"/>
      <c r="Z112" s="323"/>
      <c r="AA112" s="324"/>
      <c r="AB112" s="324"/>
      <c r="AC112" s="324"/>
      <c r="AD112" s="324"/>
      <c r="AE112" s="325"/>
      <c r="AF112" s="38"/>
      <c r="AG112" s="38"/>
      <c r="AH112" s="38"/>
      <c r="AI112" s="38"/>
      <c r="AJ112" s="38"/>
      <c r="AK112" s="38"/>
      <c r="AL112" s="38"/>
      <c r="AM112" s="38"/>
      <c r="AN112" s="38"/>
      <c r="AO112" s="38"/>
      <c r="AP112" s="38"/>
      <c r="AQ112" s="38"/>
      <c r="AR112" s="38"/>
      <c r="AS112" s="38"/>
      <c r="AT112" s="38"/>
      <c r="AU112" s="38"/>
      <c r="AV112" s="38"/>
      <c r="AW112" s="38"/>
      <c r="AX112" s="38"/>
      <c r="AY112" s="38"/>
      <c r="AZ112" s="38"/>
      <c r="BA112" s="38"/>
      <c r="BB112" s="38"/>
      <c r="BC112" s="38"/>
      <c r="BD112" s="38"/>
      <c r="BE112" s="38"/>
      <c r="BF112" s="38"/>
      <c r="BG112" s="38"/>
      <c r="BH112" s="38"/>
      <c r="BI112" s="38"/>
    </row>
    <row r="113" spans="1:61" ht="15" customHeight="1" x14ac:dyDescent="0.3">
      <c r="A113" s="38"/>
      <c r="B113" s="306"/>
      <c r="C113" s="307"/>
      <c r="D113" s="308"/>
      <c r="E113" s="290"/>
      <c r="F113" s="289"/>
      <c r="G113" s="289"/>
      <c r="H113" s="289"/>
      <c r="I113" s="289"/>
      <c r="J113" s="119" t="str">
        <f>IF(AND('Mapa final'!$AB$61="Media",'Mapa final'!$AD$61="Leve"),CONCATENATE("R19C",'Mapa final'!$R$61),"")</f>
        <v/>
      </c>
      <c r="K113" s="143" t="str">
        <f>IF(AND('Mapa final'!$AB$62="Media",'Mapa final'!$AD$62="Leve"),CONCATENATE("R19C",'Mapa final'!$R$62),"")</f>
        <v/>
      </c>
      <c r="L113" s="120" t="str">
        <f>IF(AND('Mapa final'!$AB$63="Media",'Mapa final'!$AD$63="Leve"),CONCATENATE("R19C",'Mapa final'!$R$63),"")</f>
        <v/>
      </c>
      <c r="M113" s="119" t="str">
        <f>IF(AND('Mapa final'!$AB$61="Media",'Mapa final'!$AD$61="Menor"),CONCATENATE("R19C",'Mapa final'!$R$61),"")</f>
        <v/>
      </c>
      <c r="N113" s="143" t="str">
        <f>IF(AND('Mapa final'!$AB$62="Media",'Mapa final'!$AD$62="Menor"),CONCATENATE("R19C",'Mapa final'!$R$62),"")</f>
        <v/>
      </c>
      <c r="O113" s="120" t="str">
        <f>IF(AND('Mapa final'!$AB$63="Media",'Mapa final'!$AD$63="Menor"),CONCATENATE("R19C",'Mapa final'!$R$63),"")</f>
        <v/>
      </c>
      <c r="P113" s="119" t="str">
        <f>IF(AND('Mapa final'!$AB$61="Media",'Mapa final'!$AD$61="Moderado"),CONCATENATE("R19C",'Mapa final'!$R$61),"")</f>
        <v/>
      </c>
      <c r="Q113" s="143" t="str">
        <f>IF(AND('Mapa final'!$AB$62="Media",'Mapa final'!$AD$62="Moderado"),CONCATENATE("R19C",'Mapa final'!$R$62),"")</f>
        <v/>
      </c>
      <c r="R113" s="120" t="str">
        <f>IF(AND('Mapa final'!$AB$63="Media",'Mapa final'!$AD$63="Moderado"),CONCATENATE("R19C",'Mapa final'!$R$63),"")</f>
        <v/>
      </c>
      <c r="S113" s="148" t="str">
        <f>IF(AND('Mapa final'!$AB$61="Media",'Mapa final'!$AD$61="Mayor"),CONCATENATE("R19C",'Mapa final'!$R$61),"")</f>
        <v/>
      </c>
      <c r="T113" s="149" t="str">
        <f>IF(AND('Mapa final'!$AB$62="Media",'Mapa final'!$AD$62="Mayor"),CONCATENATE("R19C",'Mapa final'!$R$62),"")</f>
        <v/>
      </c>
      <c r="U113" s="150" t="str">
        <f>IF(AND('Mapa final'!$AB$63="Media",'Mapa final'!$AD$63="Mayor"),CONCATENATE("R19C",'Mapa final'!$R$63),"")</f>
        <v/>
      </c>
      <c r="V113" s="114" t="str">
        <f>IF(AND('Mapa final'!$AB$61="Media",'Mapa final'!$AD$61="Catastrófico"),CONCATENATE("R19C",'Mapa final'!$R$61),"")</f>
        <v/>
      </c>
      <c r="W113" s="142" t="str">
        <f>IF(AND('Mapa final'!$AB$62="Media",'Mapa final'!$AD$62="Catastrófico"),CONCATENATE("R19C",'Mapa final'!$R$62),"")</f>
        <v/>
      </c>
      <c r="X113" s="115" t="str">
        <f>IF(AND('Mapa final'!$AB$63="Media",'Mapa final'!$AD$63="Catastrófico"),CONCATENATE("R19C",'Mapa final'!$R$63),"")</f>
        <v/>
      </c>
      <c r="Y113" s="38"/>
      <c r="Z113" s="323"/>
      <c r="AA113" s="324"/>
      <c r="AB113" s="324"/>
      <c r="AC113" s="324"/>
      <c r="AD113" s="324"/>
      <c r="AE113" s="325"/>
      <c r="AF113" s="38"/>
      <c r="AG113" s="38"/>
      <c r="AH113" s="38"/>
      <c r="AI113" s="38"/>
      <c r="AJ113" s="38"/>
      <c r="AK113" s="38"/>
      <c r="AL113" s="38"/>
      <c r="AM113" s="38"/>
      <c r="AN113" s="38"/>
      <c r="AO113" s="38"/>
      <c r="AP113" s="38"/>
      <c r="AQ113" s="38"/>
      <c r="AR113" s="38"/>
      <c r="AS113" s="38"/>
      <c r="AT113" s="38"/>
      <c r="AU113" s="38"/>
      <c r="AV113" s="38"/>
      <c r="AW113" s="38"/>
      <c r="AX113" s="38"/>
      <c r="AY113" s="38"/>
      <c r="AZ113" s="38"/>
      <c r="BA113" s="38"/>
      <c r="BB113" s="38"/>
      <c r="BC113" s="38"/>
      <c r="BD113" s="38"/>
      <c r="BE113" s="38"/>
      <c r="BF113" s="38"/>
      <c r="BG113" s="38"/>
      <c r="BH113" s="38"/>
      <c r="BI113" s="38"/>
    </row>
    <row r="114" spans="1:61" ht="15" customHeight="1" x14ac:dyDescent="0.3">
      <c r="A114" s="38"/>
      <c r="B114" s="306"/>
      <c r="C114" s="307"/>
      <c r="D114" s="308"/>
      <c r="E114" s="290"/>
      <c r="F114" s="289"/>
      <c r="G114" s="289"/>
      <c r="H114" s="289"/>
      <c r="I114" s="289"/>
      <c r="J114" s="119" t="str">
        <f>IF(AND('Mapa final'!$AB$64="Media",'Mapa final'!$AD$64="Leve"),CONCATENATE("R20",'Mapa final'!$R$64),"")</f>
        <v/>
      </c>
      <c r="K114" s="143" t="str">
        <f>IF(AND('Mapa final'!$AB$65="Media",'Mapa final'!$AD$65="Leve"),CONCATENATE("R20C",'Mapa final'!$R$65),"")</f>
        <v/>
      </c>
      <c r="L114" s="120" t="str">
        <f>IF(AND('Mapa final'!$AB$66="Media",'Mapa final'!$AD$66="Leve"),CONCATENATE("R20C",'Mapa final'!$R$66),"")</f>
        <v/>
      </c>
      <c r="M114" s="119" t="str">
        <f>IF(AND('Mapa final'!$AB$64="Media",'Mapa final'!$AD$64="Menor"),CONCATENATE("R20",'Mapa final'!$R$64),"")</f>
        <v/>
      </c>
      <c r="N114" s="143" t="str">
        <f>IF(AND('Mapa final'!$AB$65="Media",'Mapa final'!$AD$65="Menor"),CONCATENATE("R20C",'Mapa final'!$R$65),"")</f>
        <v/>
      </c>
      <c r="O114" s="120" t="str">
        <f>IF(AND('Mapa final'!$AB$66="Media",'Mapa final'!$AD$66="Menor"),CONCATENATE("R20C",'Mapa final'!$R$66),"")</f>
        <v/>
      </c>
      <c r="P114" s="119" t="str">
        <f>IF(AND('Mapa final'!$AB$64="Media",'Mapa final'!$AD$64="Moderado"),CONCATENATE("R20",'Mapa final'!$R$64),"")</f>
        <v/>
      </c>
      <c r="Q114" s="143" t="str">
        <f>IF(AND('Mapa final'!$AB$65="Media",'Mapa final'!$AD$65="Moderado"),CONCATENATE("R20C",'Mapa final'!$R$65),"")</f>
        <v/>
      </c>
      <c r="R114" s="120" t="str">
        <f>IF(AND('Mapa final'!$AB$66="Media",'Mapa final'!$AD$66="Moderado"),CONCATENATE("R20C",'Mapa final'!$R$66),"")</f>
        <v/>
      </c>
      <c r="S114" s="148" t="str">
        <f>IF(AND('Mapa final'!$AB$64="Media",'Mapa final'!$AD$64="Mayor"),CONCATENATE("R20",'Mapa final'!$R$64),"")</f>
        <v/>
      </c>
      <c r="T114" s="149" t="str">
        <f>IF(AND('Mapa final'!$AB$65="Media",'Mapa final'!$AD$65="Mayor"),CONCATENATE("R20C",'Mapa final'!$R$65),"")</f>
        <v/>
      </c>
      <c r="U114" s="150" t="str">
        <f>IF(AND('Mapa final'!$AB$66="Media",'Mapa final'!$AD$66="Mayor"),CONCATENATE("R20C",'Mapa final'!$R$66),"")</f>
        <v/>
      </c>
      <c r="V114" s="114" t="str">
        <f>IF(AND('Mapa final'!$AB$64="Media",'Mapa final'!$AD$64="Catastrófico"),CONCATENATE("R20",'Mapa final'!$R$64),"")</f>
        <v/>
      </c>
      <c r="W114" s="142" t="str">
        <f>IF(AND('Mapa final'!$AB$65="Media",'Mapa final'!$AD$65="Catastrófico"),CONCATENATE("R20C",'Mapa final'!$R$65),"")</f>
        <v/>
      </c>
      <c r="X114" s="115" t="str">
        <f>IF(AND('Mapa final'!$AB$66="Media",'Mapa final'!$AD$66="Catastrófico"),CONCATENATE("R20C",'Mapa final'!$R$66),"")</f>
        <v/>
      </c>
      <c r="Y114" s="38"/>
      <c r="Z114" s="323"/>
      <c r="AA114" s="324"/>
      <c r="AB114" s="324"/>
      <c r="AC114" s="324"/>
      <c r="AD114" s="324"/>
      <c r="AE114" s="325"/>
      <c r="AF114" s="38"/>
      <c r="AG114" s="38"/>
      <c r="AH114" s="38"/>
      <c r="AI114" s="38"/>
      <c r="AJ114" s="38"/>
      <c r="AK114" s="38"/>
      <c r="AL114" s="38"/>
      <c r="AM114" s="38"/>
      <c r="AN114" s="38"/>
      <c r="AO114" s="38"/>
      <c r="AP114" s="38"/>
      <c r="AQ114" s="38"/>
      <c r="AR114" s="38"/>
      <c r="AS114" s="38"/>
      <c r="AT114" s="38"/>
      <c r="AU114" s="38"/>
      <c r="AV114" s="38"/>
      <c r="AW114" s="38"/>
      <c r="AX114" s="38"/>
      <c r="AY114" s="38"/>
      <c r="AZ114" s="38"/>
      <c r="BA114" s="38"/>
      <c r="BB114" s="38"/>
      <c r="BC114" s="38"/>
      <c r="BD114" s="38"/>
      <c r="BE114" s="38"/>
      <c r="BF114" s="38"/>
      <c r="BG114" s="38"/>
      <c r="BH114" s="38"/>
      <c r="BI114" s="38"/>
    </row>
    <row r="115" spans="1:61" ht="15" customHeight="1" x14ac:dyDescent="0.3">
      <c r="A115" s="38"/>
      <c r="B115" s="306"/>
      <c r="C115" s="307"/>
      <c r="D115" s="308"/>
      <c r="E115" s="290"/>
      <c r="F115" s="289"/>
      <c r="G115" s="289"/>
      <c r="H115" s="289"/>
      <c r="I115" s="289"/>
      <c r="J115" s="119" t="str">
        <f>IF(AND('Mapa final'!$AB$67="Media",'Mapa final'!$AD$67="Leve"),CONCATENATE("R21C",'Mapa final'!$R$67),"")</f>
        <v/>
      </c>
      <c r="K115" s="143" t="str">
        <f>IF(AND('Mapa final'!$AB$68="Media",'Mapa final'!$AD$68="Leve"),CONCATENATE("R21C",'Mapa final'!$R$68),"")</f>
        <v/>
      </c>
      <c r="L115" s="120" t="str">
        <f>IF(AND('Mapa final'!$AB$69="Media",'Mapa final'!$AD$69="Leve"),CONCATENATE("R21C",'Mapa final'!$R$69),"")</f>
        <v/>
      </c>
      <c r="M115" s="119" t="str">
        <f>IF(AND('Mapa final'!$AB$67="Media",'Mapa final'!$AD$67="Menor"),CONCATENATE("R21C",'Mapa final'!$R$67),"")</f>
        <v/>
      </c>
      <c r="N115" s="143" t="str">
        <f>IF(AND('Mapa final'!$AB$68="Media",'Mapa final'!$AD$68="Menor"),CONCATENATE("R21C",'Mapa final'!$R$68),"")</f>
        <v/>
      </c>
      <c r="O115" s="120" t="str">
        <f>IF(AND('Mapa final'!$AB$69="Media",'Mapa final'!$AD$69="Menor"),CONCATENATE("R21C",'Mapa final'!$R$69),"")</f>
        <v/>
      </c>
      <c r="P115" s="119" t="str">
        <f>IF(AND('Mapa final'!$AB$67="Media",'Mapa final'!$AD$67="Moderado"),CONCATENATE("R21C",'Mapa final'!$R$67),"")</f>
        <v>R21C1</v>
      </c>
      <c r="Q115" s="143" t="str">
        <f>IF(AND('Mapa final'!$AB$68="Media",'Mapa final'!$AD$68="Moderado"),CONCATENATE("R21C",'Mapa final'!$R$68),"")</f>
        <v/>
      </c>
      <c r="R115" s="120" t="str">
        <f>IF(AND('Mapa final'!$AB$69="Media",'Mapa final'!$AD$69="Moderado"),CONCATENATE("R21C",'Mapa final'!$R$69),"")</f>
        <v/>
      </c>
      <c r="S115" s="148" t="str">
        <f>IF(AND('Mapa final'!$AB$67="Media",'Mapa final'!$AD$67="Mayor"),CONCATENATE("R21C",'Mapa final'!$R$67),"")</f>
        <v/>
      </c>
      <c r="T115" s="149" t="str">
        <f>IF(AND('Mapa final'!$AB$68="Media",'Mapa final'!$AD$68="Mayor"),CONCATENATE("R21C",'Mapa final'!$R$68),"")</f>
        <v/>
      </c>
      <c r="U115" s="150" t="str">
        <f>IF(AND('Mapa final'!$AB$69="Media",'Mapa final'!$AD$69="Mayor"),CONCATENATE("R21C",'Mapa final'!$R$69),"")</f>
        <v/>
      </c>
      <c r="V115" s="114" t="str">
        <f>IF(AND('Mapa final'!$AB$67="Media",'Mapa final'!$AD$67="Catastrófico"),CONCATENATE("R21C",'Mapa final'!$R$67),"")</f>
        <v/>
      </c>
      <c r="W115" s="142" t="str">
        <f>IF(AND('Mapa final'!$AB$68="Media",'Mapa final'!$AD$68="Catastrófico"),CONCATENATE("R21C",'Mapa final'!$R$68),"")</f>
        <v/>
      </c>
      <c r="X115" s="115" t="str">
        <f>IF(AND('Mapa final'!$AB$69="Media",'Mapa final'!$AD$69="Catastrófico"),CONCATENATE("R21C",'Mapa final'!$R$69),"")</f>
        <v/>
      </c>
      <c r="Y115" s="38"/>
      <c r="Z115" s="323"/>
      <c r="AA115" s="324"/>
      <c r="AB115" s="324"/>
      <c r="AC115" s="324"/>
      <c r="AD115" s="324"/>
      <c r="AE115" s="325"/>
      <c r="AF115" s="38"/>
      <c r="AG115" s="38"/>
      <c r="AH115" s="38"/>
      <c r="AI115" s="38"/>
      <c r="AJ115" s="38"/>
      <c r="AK115" s="38"/>
      <c r="AL115" s="38"/>
      <c r="AM115" s="38"/>
      <c r="AN115" s="38"/>
      <c r="AO115" s="38"/>
      <c r="AP115" s="38"/>
      <c r="AQ115" s="38"/>
      <c r="AR115" s="38"/>
      <c r="AS115" s="38"/>
      <c r="AT115" s="38"/>
      <c r="AU115" s="38"/>
      <c r="AV115" s="38"/>
      <c r="AW115" s="38"/>
      <c r="AX115" s="38"/>
      <c r="AY115" s="38"/>
      <c r="AZ115" s="38"/>
      <c r="BA115" s="38"/>
      <c r="BB115" s="38"/>
      <c r="BC115" s="38"/>
      <c r="BD115" s="38"/>
      <c r="BE115" s="38"/>
      <c r="BF115" s="38"/>
      <c r="BG115" s="38"/>
      <c r="BH115" s="38"/>
      <c r="BI115" s="38"/>
    </row>
    <row r="116" spans="1:61" ht="15" customHeight="1" x14ac:dyDescent="0.3">
      <c r="A116" s="38"/>
      <c r="B116" s="306"/>
      <c r="C116" s="307"/>
      <c r="D116" s="308"/>
      <c r="E116" s="290"/>
      <c r="F116" s="289"/>
      <c r="G116" s="289"/>
      <c r="H116" s="289"/>
      <c r="I116" s="289"/>
      <c r="J116" s="119" t="str">
        <f>IF(AND('Mapa final'!$AB$70="Media",'Mapa final'!$AD$70="Leve"),CONCATENATE("R22C",'Mapa final'!$R$70),"")</f>
        <v/>
      </c>
      <c r="K116" s="143" t="str">
        <f>IF(AND('Mapa final'!$AB$71="Media",'Mapa final'!$AD$71="Leve"),CONCATENATE("R22C",'Mapa final'!$R$71),"")</f>
        <v/>
      </c>
      <c r="L116" s="120" t="str">
        <f>IF(AND('Mapa final'!$AB$72="Media",'Mapa final'!$AD$72="Leve"),CONCATENATE("R2C",'Mapa final'!$R$72),"")</f>
        <v/>
      </c>
      <c r="M116" s="119" t="str">
        <f>IF(AND('Mapa final'!$AB$70="Media",'Mapa final'!$AD$70="Menor"),CONCATENATE("R22C",'Mapa final'!$R$70),"")</f>
        <v/>
      </c>
      <c r="N116" s="143" t="str">
        <f>IF(AND('Mapa final'!$AB$71="Media",'Mapa final'!$AD$71="Menor"),CONCATENATE("R22C",'Mapa final'!$R$71),"")</f>
        <v/>
      </c>
      <c r="O116" s="120" t="str">
        <f>IF(AND('Mapa final'!$AB$72="Media",'Mapa final'!$AD$72="Menor"),CONCATENATE("R2C",'Mapa final'!$R$72),"")</f>
        <v/>
      </c>
      <c r="P116" s="119" t="str">
        <f>IF(AND('Mapa final'!$AB$70="Media",'Mapa final'!$AD$70="Moderado"),CONCATENATE("R22C",'Mapa final'!$R$70),"")</f>
        <v/>
      </c>
      <c r="Q116" s="143" t="str">
        <f>IF(AND('Mapa final'!$AB$71="Media",'Mapa final'!$AD$71="Moderado"),CONCATENATE("R22C",'Mapa final'!$R$71),"")</f>
        <v/>
      </c>
      <c r="R116" s="120" t="str">
        <f>IF(AND('Mapa final'!$AB$72="Media",'Mapa final'!$AD$72="Moderado"),CONCATENATE("R2C",'Mapa final'!$R$72),"")</f>
        <v/>
      </c>
      <c r="S116" s="148" t="str">
        <f>IF(AND('Mapa final'!$AB$70="Media",'Mapa final'!$AD$70="Mayor"),CONCATENATE("R22C",'Mapa final'!$R$70),"")</f>
        <v/>
      </c>
      <c r="T116" s="149" t="str">
        <f>IF(AND('Mapa final'!$AB$71="Media",'Mapa final'!$AD$71="Mayor"),CONCATENATE("R22C",'Mapa final'!$R$71),"")</f>
        <v/>
      </c>
      <c r="U116" s="150" t="str">
        <f>IF(AND('Mapa final'!$AB$72="Media",'Mapa final'!$AD$72="Mayor"),CONCATENATE("R2C",'Mapa final'!$R$72),"")</f>
        <v/>
      </c>
      <c r="V116" s="114" t="str">
        <f>IF(AND('Mapa final'!$AB$70="Media",'Mapa final'!$AD$70="Catastrófico"),CONCATENATE("R22C",'Mapa final'!$R$70),"")</f>
        <v/>
      </c>
      <c r="W116" s="142" t="str">
        <f>IF(AND('Mapa final'!$AB$71="Media",'Mapa final'!$AD$71="Catastrófico"),CONCATENATE("R22C",'Mapa final'!$R$71),"")</f>
        <v/>
      </c>
      <c r="X116" s="115" t="str">
        <f>IF(AND('Mapa final'!$AB$72="Media",'Mapa final'!$AD$72="Catastrófico"),CONCATENATE("R2C",'Mapa final'!$R$72),"")</f>
        <v/>
      </c>
      <c r="Y116" s="38"/>
      <c r="Z116" s="323"/>
      <c r="AA116" s="324"/>
      <c r="AB116" s="324"/>
      <c r="AC116" s="324"/>
      <c r="AD116" s="324"/>
      <c r="AE116" s="325"/>
      <c r="AF116" s="38"/>
      <c r="AG116" s="38"/>
      <c r="AH116" s="38"/>
      <c r="AI116" s="38"/>
      <c r="AJ116" s="38"/>
      <c r="AK116" s="38"/>
      <c r="AL116" s="38"/>
      <c r="AM116" s="38"/>
      <c r="AN116" s="38"/>
      <c r="AO116" s="38"/>
      <c r="AP116" s="38"/>
      <c r="AQ116" s="38"/>
      <c r="AR116" s="38"/>
      <c r="AS116" s="38"/>
      <c r="AT116" s="38"/>
      <c r="AU116" s="38"/>
      <c r="AV116" s="38"/>
      <c r="AW116" s="38"/>
      <c r="AX116" s="38"/>
      <c r="AY116" s="38"/>
      <c r="AZ116" s="38"/>
      <c r="BA116" s="38"/>
      <c r="BB116" s="38"/>
      <c r="BC116" s="38"/>
      <c r="BD116" s="38"/>
      <c r="BE116" s="38"/>
      <c r="BF116" s="38"/>
      <c r="BG116" s="38"/>
      <c r="BH116" s="38"/>
      <c r="BI116" s="38"/>
    </row>
    <row r="117" spans="1:61" ht="15" customHeight="1" x14ac:dyDescent="0.3">
      <c r="A117" s="38"/>
      <c r="B117" s="306"/>
      <c r="C117" s="307"/>
      <c r="D117" s="308"/>
      <c r="E117" s="290"/>
      <c r="F117" s="289"/>
      <c r="G117" s="289"/>
      <c r="H117" s="289"/>
      <c r="I117" s="289"/>
      <c r="J117" s="119" t="str">
        <f>IF(AND('Mapa final'!$AB$73="Media",'Mapa final'!$AD$73="Leve"),CONCATENATE("R23C",'Mapa final'!$R$73),"")</f>
        <v/>
      </c>
      <c r="K117" s="143" t="str">
        <f>IF(AND('Mapa final'!$AB$74="Media",'Mapa final'!$AD$74="Leve"),CONCATENATE("R23C",'Mapa final'!$R$74),"")</f>
        <v/>
      </c>
      <c r="L117" s="120" t="str">
        <f>IF(AND('Mapa final'!$AB$75="Media",'Mapa final'!$AD$75="Leve"),CONCATENATE("R23C",'Mapa final'!$R$75),"")</f>
        <v/>
      </c>
      <c r="M117" s="119" t="str">
        <f>IF(AND('Mapa final'!$AB$73="Media",'Mapa final'!$AD$73="Menor"),CONCATENATE("R23C",'Mapa final'!$R$73),"")</f>
        <v/>
      </c>
      <c r="N117" s="143" t="str">
        <f>IF(AND('Mapa final'!$AB$74="Media",'Mapa final'!$AD$74="Menor"),CONCATENATE("R23C",'Mapa final'!$R$74),"")</f>
        <v/>
      </c>
      <c r="O117" s="120" t="str">
        <f>IF(AND('Mapa final'!$AB$75="Media",'Mapa final'!$AD$75="Menor"),CONCATENATE("R23C",'Mapa final'!$R$75),"")</f>
        <v/>
      </c>
      <c r="P117" s="119" t="str">
        <f>IF(AND('Mapa final'!$AB$73="Media",'Mapa final'!$AD$73="Moderado"),CONCATENATE("R23C",'Mapa final'!$R$73),"")</f>
        <v/>
      </c>
      <c r="Q117" s="143" t="str">
        <f>IF(AND('Mapa final'!$AB$74="Media",'Mapa final'!$AD$74="Moderado"),CONCATENATE("R23C",'Mapa final'!$R$74),"")</f>
        <v/>
      </c>
      <c r="R117" s="120" t="str">
        <f>IF(AND('Mapa final'!$AB$75="Media",'Mapa final'!$AD$75="Moderado"),CONCATENATE("R23C",'Mapa final'!$R$75),"")</f>
        <v/>
      </c>
      <c r="S117" s="148" t="str">
        <f>IF(AND('Mapa final'!$AB$73="Media",'Mapa final'!$AD$73="Mayor"),CONCATENATE("R23C",'Mapa final'!$R$73),"")</f>
        <v/>
      </c>
      <c r="T117" s="149" t="str">
        <f>IF(AND('Mapa final'!$AB$74="Media",'Mapa final'!$AD$74="Mayor"),CONCATENATE("R23C",'Mapa final'!$R$74),"")</f>
        <v/>
      </c>
      <c r="U117" s="150" t="str">
        <f>IF(AND('Mapa final'!$AB$75="Media",'Mapa final'!$AD$75="Mayor"),CONCATENATE("R23C",'Mapa final'!$R$75),"")</f>
        <v/>
      </c>
      <c r="V117" s="114" t="str">
        <f>IF(AND('Mapa final'!$AB$73="Media",'Mapa final'!$AD$73="Catastrófico"),CONCATENATE("R23C",'Mapa final'!$R$73),"")</f>
        <v/>
      </c>
      <c r="W117" s="142" t="str">
        <f>IF(AND('Mapa final'!$AB$74="Media",'Mapa final'!$AD$74="Catastrófico"),CONCATENATE("R23C",'Mapa final'!$R$74),"")</f>
        <v/>
      </c>
      <c r="X117" s="115" t="str">
        <f>IF(AND('Mapa final'!$AB$75="Media",'Mapa final'!$AD$75="Catastrófico"),CONCATENATE("R23C",'Mapa final'!$R$75),"")</f>
        <v/>
      </c>
      <c r="Y117" s="38"/>
      <c r="Z117" s="323"/>
      <c r="AA117" s="324"/>
      <c r="AB117" s="324"/>
      <c r="AC117" s="324"/>
      <c r="AD117" s="324"/>
      <c r="AE117" s="325"/>
      <c r="AF117" s="38"/>
      <c r="AG117" s="38"/>
      <c r="AH117" s="38"/>
      <c r="AI117" s="38"/>
      <c r="AJ117" s="38"/>
      <c r="AK117" s="38"/>
      <c r="AL117" s="38"/>
      <c r="AM117" s="38"/>
      <c r="AN117" s="38"/>
      <c r="AO117" s="38"/>
      <c r="AP117" s="38"/>
      <c r="AQ117" s="38"/>
      <c r="AR117" s="38"/>
      <c r="AS117" s="38"/>
      <c r="AT117" s="38"/>
      <c r="AU117" s="38"/>
      <c r="AV117" s="38"/>
      <c r="AW117" s="38"/>
      <c r="AX117" s="38"/>
      <c r="AY117" s="38"/>
      <c r="AZ117" s="38"/>
      <c r="BA117" s="38"/>
      <c r="BB117" s="38"/>
      <c r="BC117" s="38"/>
      <c r="BD117" s="38"/>
      <c r="BE117" s="38"/>
      <c r="BF117" s="38"/>
      <c r="BG117" s="38"/>
      <c r="BH117" s="38"/>
      <c r="BI117" s="38"/>
    </row>
    <row r="118" spans="1:61" ht="15" customHeight="1" x14ac:dyDescent="0.3">
      <c r="A118" s="38"/>
      <c r="B118" s="306"/>
      <c r="C118" s="307"/>
      <c r="D118" s="308"/>
      <c r="E118" s="290"/>
      <c r="F118" s="289"/>
      <c r="G118" s="289"/>
      <c r="H118" s="289"/>
      <c r="I118" s="289"/>
      <c r="J118" s="119" t="str">
        <f>IF(AND('Mapa final'!$AB$76="Media",'Mapa final'!$AD$76="Leve"),CONCATENATE("R24C",'Mapa final'!$R$76),"")</f>
        <v/>
      </c>
      <c r="K118" s="143" t="str">
        <f>IF(AND('Mapa final'!$AB$77="Media",'Mapa final'!$AD$77="Leve"),CONCATENATE("R24C",'Mapa final'!$R$77),"")</f>
        <v/>
      </c>
      <c r="L118" s="120" t="str">
        <f>IF(AND('Mapa final'!$AB$78="Media",'Mapa final'!$AD$78="Leve"),CONCATENATE("R24C",'Mapa final'!$R$78),"")</f>
        <v/>
      </c>
      <c r="M118" s="119" t="str">
        <f>IF(AND('Mapa final'!$AB$76="Media",'Mapa final'!$AD$76="Menor"),CONCATENATE("R24C",'Mapa final'!$R$76),"")</f>
        <v/>
      </c>
      <c r="N118" s="143" t="str">
        <f>IF(AND('Mapa final'!$AB$77="Media",'Mapa final'!$AD$77="Menor"),CONCATENATE("R24C",'Mapa final'!$R$77),"")</f>
        <v/>
      </c>
      <c r="O118" s="120" t="str">
        <f>IF(AND('Mapa final'!$AB$78="Media",'Mapa final'!$AD$78="Menor"),CONCATENATE("R24C",'Mapa final'!$R$78),"")</f>
        <v/>
      </c>
      <c r="P118" s="119" t="str">
        <f>IF(AND('Mapa final'!$AB$76="Media",'Mapa final'!$AD$76="Moderado"),CONCATENATE("R24C",'Mapa final'!$R$76),"")</f>
        <v/>
      </c>
      <c r="Q118" s="143" t="str">
        <f>IF(AND('Mapa final'!$AB$77="Media",'Mapa final'!$AD$77="Moderado"),CONCATENATE("R24C",'Mapa final'!$R$77),"")</f>
        <v/>
      </c>
      <c r="R118" s="120" t="str">
        <f>IF(AND('Mapa final'!$AB$78="Media",'Mapa final'!$AD$78="Moderado"),CONCATENATE("R24C",'Mapa final'!$R$78),"")</f>
        <v/>
      </c>
      <c r="S118" s="148" t="str">
        <f>IF(AND('Mapa final'!$AB$76="Media",'Mapa final'!$AD$76="Mayor"),CONCATENATE("R24C",'Mapa final'!$R$76),"")</f>
        <v/>
      </c>
      <c r="T118" s="149" t="str">
        <f>IF(AND('Mapa final'!$AB$77="Media",'Mapa final'!$AD$77="Mayor"),CONCATENATE("R24C",'Mapa final'!$R$77),"")</f>
        <v/>
      </c>
      <c r="U118" s="150" t="str">
        <f>IF(AND('Mapa final'!$AB$78="Media",'Mapa final'!$AD$78="Mayor"),CONCATENATE("R24C",'Mapa final'!$R$78),"")</f>
        <v/>
      </c>
      <c r="V118" s="114" t="str">
        <f>IF(AND('Mapa final'!$AB$76="Media",'Mapa final'!$AD$76="Catastrófico"),CONCATENATE("R24C",'Mapa final'!$R$76),"")</f>
        <v/>
      </c>
      <c r="W118" s="142" t="str">
        <f>IF(AND('Mapa final'!$AB$77="Media",'Mapa final'!$AD$77="Catastrófico"),CONCATENATE("R24C",'Mapa final'!$R$77),"")</f>
        <v/>
      </c>
      <c r="X118" s="115" t="str">
        <f>IF(AND('Mapa final'!$AB$78="Media",'Mapa final'!$AD$78="Catastrófico"),CONCATENATE("R24C",'Mapa final'!$R$78),"")</f>
        <v/>
      </c>
      <c r="Y118" s="38"/>
      <c r="Z118" s="323"/>
      <c r="AA118" s="324"/>
      <c r="AB118" s="324"/>
      <c r="AC118" s="324"/>
      <c r="AD118" s="324"/>
      <c r="AE118" s="325"/>
      <c r="AF118" s="38"/>
      <c r="AG118" s="38"/>
      <c r="AH118" s="38"/>
      <c r="AI118" s="38"/>
      <c r="AJ118" s="38"/>
      <c r="AK118" s="38"/>
      <c r="AL118" s="38"/>
      <c r="AM118" s="38"/>
      <c r="AN118" s="38"/>
      <c r="AO118" s="38"/>
      <c r="AP118" s="38"/>
      <c r="AQ118" s="38"/>
      <c r="AR118" s="38"/>
      <c r="AS118" s="38"/>
      <c r="AT118" s="38"/>
      <c r="AU118" s="38"/>
      <c r="AV118" s="38"/>
      <c r="AW118" s="38"/>
      <c r="AX118" s="38"/>
      <c r="AY118" s="38"/>
      <c r="AZ118" s="38"/>
      <c r="BA118" s="38"/>
      <c r="BB118" s="38"/>
      <c r="BC118" s="38"/>
      <c r="BD118" s="38"/>
      <c r="BE118" s="38"/>
      <c r="BF118" s="38"/>
      <c r="BG118" s="38"/>
      <c r="BH118" s="38"/>
      <c r="BI118" s="38"/>
    </row>
    <row r="119" spans="1:61" ht="15" customHeight="1" x14ac:dyDescent="0.3">
      <c r="A119" s="38"/>
      <c r="B119" s="306"/>
      <c r="C119" s="307"/>
      <c r="D119" s="308"/>
      <c r="E119" s="290"/>
      <c r="F119" s="289"/>
      <c r="G119" s="289"/>
      <c r="H119" s="289"/>
      <c r="I119" s="289"/>
      <c r="J119" s="119" t="str">
        <f>IF(AND('Mapa final'!$AB$79="Media",'Mapa final'!$AD$79="Leve"),CONCATENATE("R25C",'Mapa final'!$R$79),"")</f>
        <v/>
      </c>
      <c r="K119" s="143" t="str">
        <f>IF(AND('Mapa final'!$AB$80="Media",'Mapa final'!$AD$80="Leve"),CONCATENATE("R25C",'Mapa final'!$R$80),"")</f>
        <v/>
      </c>
      <c r="L119" s="120" t="str">
        <f>IF(AND('Mapa final'!$AB$81="Media",'Mapa final'!$AD$81="Leve"),CONCATENATE("R25C",'Mapa final'!$R$81),"")</f>
        <v/>
      </c>
      <c r="M119" s="119" t="str">
        <f>IF(AND('Mapa final'!$AB$79="Media",'Mapa final'!$AD$79="Menor"),CONCATENATE("R25C",'Mapa final'!$R$79),"")</f>
        <v/>
      </c>
      <c r="N119" s="143" t="str">
        <f>IF(AND('Mapa final'!$AB$80="Media",'Mapa final'!$AD$80="Menor"),CONCATENATE("R25C",'Mapa final'!$R$80),"")</f>
        <v/>
      </c>
      <c r="O119" s="120" t="str">
        <f>IF(AND('Mapa final'!$AB$81="Media",'Mapa final'!$AD$81="Menor"),CONCATENATE("R25C",'Mapa final'!$R$81),"")</f>
        <v/>
      </c>
      <c r="P119" s="119" t="str">
        <f>IF(AND('Mapa final'!$AB$79="Media",'Mapa final'!$AD$79="Moderado"),CONCATENATE("R25C",'Mapa final'!$R$79),"")</f>
        <v>R25C1</v>
      </c>
      <c r="Q119" s="143" t="str">
        <f>IF(AND('Mapa final'!$AB$80="Media",'Mapa final'!$AD$80="Moderado"),CONCATENATE("R25C",'Mapa final'!$R$80),"")</f>
        <v/>
      </c>
      <c r="R119" s="120" t="str">
        <f>IF(AND('Mapa final'!$AB$81="Media",'Mapa final'!$AD$81="Moderado"),CONCATENATE("R25C",'Mapa final'!$R$81),"")</f>
        <v/>
      </c>
      <c r="S119" s="148" t="str">
        <f>IF(AND('Mapa final'!$AB$79="Media",'Mapa final'!$AD$79="Mayor"),CONCATENATE("R25C",'Mapa final'!$R$79),"")</f>
        <v/>
      </c>
      <c r="T119" s="149" t="str">
        <f>IF(AND('Mapa final'!$AB$80="Media",'Mapa final'!$AD$80="Mayor"),CONCATENATE("R25C",'Mapa final'!$R$80),"")</f>
        <v/>
      </c>
      <c r="U119" s="150" t="str">
        <f>IF(AND('Mapa final'!$AB$81="Media",'Mapa final'!$AD$81="Mayor"),CONCATENATE("R25C",'Mapa final'!$R$81),"")</f>
        <v/>
      </c>
      <c r="V119" s="114" t="str">
        <f>IF(AND('Mapa final'!$AB$79="Media",'Mapa final'!$AD$79="Catastrófico"),CONCATENATE("R25C",'Mapa final'!$R$79),"")</f>
        <v/>
      </c>
      <c r="W119" s="142" t="str">
        <f>IF(AND('Mapa final'!$AB$80="Media",'Mapa final'!$AD$80="Catastrófico"),CONCATENATE("R25C",'Mapa final'!$R$80),"")</f>
        <v/>
      </c>
      <c r="X119" s="115" t="str">
        <f>IF(AND('Mapa final'!$AB$81="Media",'Mapa final'!$AD$81="Catastrófico"),CONCATENATE("R25C",'Mapa final'!$R$81),"")</f>
        <v/>
      </c>
      <c r="Y119" s="38"/>
      <c r="Z119" s="323"/>
      <c r="AA119" s="324"/>
      <c r="AB119" s="324"/>
      <c r="AC119" s="324"/>
      <c r="AD119" s="324"/>
      <c r="AE119" s="325"/>
      <c r="AF119" s="38"/>
      <c r="AG119" s="38"/>
      <c r="AH119" s="38"/>
      <c r="AI119" s="38"/>
      <c r="AJ119" s="38"/>
      <c r="AK119" s="38"/>
      <c r="AL119" s="38"/>
      <c r="AM119" s="38"/>
      <c r="AN119" s="38"/>
      <c r="AO119" s="38"/>
      <c r="AP119" s="38"/>
      <c r="AQ119" s="38"/>
      <c r="AR119" s="38"/>
      <c r="AS119" s="38"/>
      <c r="AT119" s="38"/>
      <c r="AU119" s="38"/>
      <c r="AV119" s="38"/>
      <c r="AW119" s="38"/>
      <c r="AX119" s="38"/>
      <c r="AY119" s="38"/>
      <c r="AZ119" s="38"/>
      <c r="BA119" s="38"/>
      <c r="BB119" s="38"/>
      <c r="BC119" s="38"/>
      <c r="BD119" s="38"/>
      <c r="BE119" s="38"/>
      <c r="BF119" s="38"/>
      <c r="BG119" s="38"/>
      <c r="BH119" s="38"/>
      <c r="BI119" s="38"/>
    </row>
    <row r="120" spans="1:61" ht="15" customHeight="1" x14ac:dyDescent="0.3">
      <c r="A120" s="38"/>
      <c r="B120" s="306"/>
      <c r="C120" s="307"/>
      <c r="D120" s="308"/>
      <c r="E120" s="290"/>
      <c r="F120" s="289"/>
      <c r="G120" s="289"/>
      <c r="H120" s="289"/>
      <c r="I120" s="289"/>
      <c r="J120" s="119" t="str">
        <f>IF(AND('Mapa final'!$AB$82="Media",'Mapa final'!$AD$82="Leve"),CONCATENATE("R26C",'Mapa final'!$R$82),"")</f>
        <v/>
      </c>
      <c r="K120" s="143" t="str">
        <f>IF(AND('Mapa final'!$AB$83="Media",'Mapa final'!$AD$83="Leve"),CONCATENATE("R26C",'Mapa final'!$R$83),"")</f>
        <v/>
      </c>
      <c r="L120" s="120" t="str">
        <f>IF(AND('Mapa final'!$AB$84="Media",'Mapa final'!$AD$84="Leve"),CONCATENATE("R26C",'Mapa final'!$R$84),"")</f>
        <v/>
      </c>
      <c r="M120" s="119" t="str">
        <f>IF(AND('Mapa final'!$AB$82="Media",'Mapa final'!$AD$82="Menor"),CONCATENATE("R26C",'Mapa final'!$R$82),"")</f>
        <v/>
      </c>
      <c r="N120" s="143" t="str">
        <f>IF(AND('Mapa final'!$AB$83="Media",'Mapa final'!$AD$83="Menor"),CONCATENATE("R26C",'Mapa final'!$R$83),"")</f>
        <v/>
      </c>
      <c r="O120" s="120" t="str">
        <f>IF(AND('Mapa final'!$AB$84="Media",'Mapa final'!$AD$84="Menor"),CONCATENATE("R26C",'Mapa final'!$R$84),"")</f>
        <v/>
      </c>
      <c r="P120" s="119" t="str">
        <f>IF(AND('Mapa final'!$AB$82="Media",'Mapa final'!$AD$82="Moderado"),CONCATENATE("R26C",'Mapa final'!$R$82),"")</f>
        <v/>
      </c>
      <c r="Q120" s="143" t="str">
        <f>IF(AND('Mapa final'!$AB$83="Media",'Mapa final'!$AD$83="Moderado"),CONCATENATE("R26C",'Mapa final'!$R$83),"")</f>
        <v/>
      </c>
      <c r="R120" s="120" t="str">
        <f>IF(AND('Mapa final'!$AB$84="Media",'Mapa final'!$AD$84="Moderado"),CONCATENATE("R26C",'Mapa final'!$R$84),"")</f>
        <v/>
      </c>
      <c r="S120" s="148" t="str">
        <f>IF(AND('Mapa final'!$AB$82="Media",'Mapa final'!$AD$82="Mayor"),CONCATENATE("R26C",'Mapa final'!$R$82),"")</f>
        <v/>
      </c>
      <c r="T120" s="149" t="str">
        <f>IF(AND('Mapa final'!$AB$83="Media",'Mapa final'!$AD$83="Mayor"),CONCATENATE("R26C",'Mapa final'!$R$83),"")</f>
        <v/>
      </c>
      <c r="U120" s="150" t="str">
        <f>IF(AND('Mapa final'!$AB$84="Media",'Mapa final'!$AD$84="Mayor"),CONCATENATE("R26C",'Mapa final'!$R$84),"")</f>
        <v/>
      </c>
      <c r="V120" s="114" t="str">
        <f>IF(AND('Mapa final'!$AB$82="Media",'Mapa final'!$AD$82="Catastrófico"),CONCATENATE("R26C",'Mapa final'!$R$82),"")</f>
        <v/>
      </c>
      <c r="W120" s="142" t="str">
        <f>IF(AND('Mapa final'!$AB$83="Media",'Mapa final'!$AD$83="Catastrófico"),CONCATENATE("R26C",'Mapa final'!$R$83),"")</f>
        <v/>
      </c>
      <c r="X120" s="115" t="str">
        <f>IF(AND('Mapa final'!$AB$84="Media",'Mapa final'!$AD$84="Catastrófico"),CONCATENATE("R26C",'Mapa final'!$R$84),"")</f>
        <v/>
      </c>
      <c r="Y120" s="38"/>
      <c r="Z120" s="323"/>
      <c r="AA120" s="324"/>
      <c r="AB120" s="324"/>
      <c r="AC120" s="324"/>
      <c r="AD120" s="324"/>
      <c r="AE120" s="325"/>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row>
    <row r="121" spans="1:61" ht="15" customHeight="1" x14ac:dyDescent="0.3">
      <c r="A121" s="38"/>
      <c r="B121" s="306"/>
      <c r="C121" s="307"/>
      <c r="D121" s="308"/>
      <c r="E121" s="290"/>
      <c r="F121" s="289"/>
      <c r="G121" s="289"/>
      <c r="H121" s="289"/>
      <c r="I121" s="289"/>
      <c r="J121" s="119" t="str">
        <f>IF(AND('Mapa final'!$AB$85="Media",'Mapa final'!$AD$85="Leve"),CONCATENATE("R27C",'Mapa final'!$R$85),"")</f>
        <v/>
      </c>
      <c r="K121" s="143" t="str">
        <f>IF(AND('Mapa final'!$AB$86="Media",'Mapa final'!$AD$86="Leve"),CONCATENATE("R27C",'Mapa final'!$R$86),"")</f>
        <v/>
      </c>
      <c r="L121" s="120" t="str">
        <f>IF(AND('Mapa final'!$AB$87="Media",'Mapa final'!$AD$87="Leve"),CONCATENATE("R27C",'Mapa final'!$R$87),"")</f>
        <v/>
      </c>
      <c r="M121" s="119" t="str">
        <f>IF(AND('Mapa final'!$AB$85="Media",'Mapa final'!$AD$85="Menor"),CONCATENATE("R27C",'Mapa final'!$R$85),"")</f>
        <v/>
      </c>
      <c r="N121" s="143" t="str">
        <f>IF(AND('Mapa final'!$AB$86="Media",'Mapa final'!$AD$86="Menor"),CONCATENATE("R27C",'Mapa final'!$R$86),"")</f>
        <v/>
      </c>
      <c r="O121" s="120" t="str">
        <f>IF(AND('Mapa final'!$AB$87="Media",'Mapa final'!$AD$87="Menor"),CONCATENATE("R27C",'Mapa final'!$R$87),"")</f>
        <v/>
      </c>
      <c r="P121" s="119" t="str">
        <f>IF(AND('Mapa final'!$AB$85="Media",'Mapa final'!$AD$85="Moderado"),CONCATENATE("R27C",'Mapa final'!$R$85),"")</f>
        <v/>
      </c>
      <c r="Q121" s="143" t="str">
        <f>IF(AND('Mapa final'!$AB$86="Media",'Mapa final'!$AD$86="Moderado"),CONCATENATE("R27C",'Mapa final'!$R$86),"")</f>
        <v/>
      </c>
      <c r="R121" s="120" t="str">
        <f>IF(AND('Mapa final'!$AB$87="Media",'Mapa final'!$AD$87="Moderado"),CONCATENATE("R27C",'Mapa final'!$R$87),"")</f>
        <v/>
      </c>
      <c r="S121" s="148" t="str">
        <f>IF(AND('Mapa final'!$AB$85="Media",'Mapa final'!$AD$85="Mayor"),CONCATENATE("R27C",'Mapa final'!$R$85),"")</f>
        <v>R27C1</v>
      </c>
      <c r="T121" s="149" t="str">
        <f>IF(AND('Mapa final'!$AB$86="Media",'Mapa final'!$AD$86="Mayor"),CONCATENATE("R27C",'Mapa final'!$R$86),"")</f>
        <v/>
      </c>
      <c r="U121" s="150" t="str">
        <f>IF(AND('Mapa final'!$AB$87="Media",'Mapa final'!$AD$87="Mayor"),CONCATENATE("R27C",'Mapa final'!$R$87),"")</f>
        <v/>
      </c>
      <c r="V121" s="114" t="str">
        <f>IF(AND('Mapa final'!$AB$85="Media",'Mapa final'!$AD$85="Catastrófico"),CONCATENATE("R27C",'Mapa final'!$R$85),"")</f>
        <v/>
      </c>
      <c r="W121" s="142" t="str">
        <f>IF(AND('Mapa final'!$AB$86="Media",'Mapa final'!$AD$86="Catastrófico"),CONCATENATE("R27C",'Mapa final'!$R$86),"")</f>
        <v/>
      </c>
      <c r="X121" s="115" t="str">
        <f>IF(AND('Mapa final'!$AB$87="Media",'Mapa final'!$AD$87="Catastrófico"),CONCATENATE("R27C",'Mapa final'!$R$87),"")</f>
        <v/>
      </c>
      <c r="Y121" s="38"/>
      <c r="Z121" s="323"/>
      <c r="AA121" s="324"/>
      <c r="AB121" s="324"/>
      <c r="AC121" s="324"/>
      <c r="AD121" s="324"/>
      <c r="AE121" s="325"/>
      <c r="AF121" s="38"/>
      <c r="AG121" s="38"/>
      <c r="AH121" s="38"/>
      <c r="AI121" s="38"/>
      <c r="AJ121" s="38"/>
      <c r="AK121" s="38"/>
      <c r="AL121" s="38"/>
      <c r="AM121" s="38"/>
      <c r="AN121" s="38"/>
      <c r="AO121" s="38"/>
      <c r="AP121" s="38"/>
      <c r="AQ121" s="38"/>
      <c r="AR121" s="38"/>
      <c r="AS121" s="38"/>
      <c r="AT121" s="38"/>
      <c r="AU121" s="38"/>
      <c r="AV121" s="38"/>
      <c r="AW121" s="38"/>
      <c r="AX121" s="38"/>
      <c r="AY121" s="38"/>
      <c r="AZ121" s="38"/>
      <c r="BA121" s="38"/>
      <c r="BB121" s="38"/>
      <c r="BC121" s="38"/>
      <c r="BD121" s="38"/>
      <c r="BE121" s="38"/>
      <c r="BF121" s="38"/>
      <c r="BG121" s="38"/>
      <c r="BH121" s="38"/>
      <c r="BI121" s="38"/>
    </row>
    <row r="122" spans="1:61" ht="15" customHeight="1" x14ac:dyDescent="0.3">
      <c r="A122" s="38"/>
      <c r="B122" s="306"/>
      <c r="C122" s="307"/>
      <c r="D122" s="308"/>
      <c r="E122" s="290"/>
      <c r="F122" s="289"/>
      <c r="G122" s="289"/>
      <c r="H122" s="289"/>
      <c r="I122" s="289"/>
      <c r="J122" s="119" t="str">
        <f>IF(AND('Mapa final'!$AB$88="Media",'Mapa final'!$AD$88="Leve"),CONCATENATE("R28C",'Mapa final'!$R$88),"")</f>
        <v/>
      </c>
      <c r="K122" s="143" t="str">
        <f>IF(AND('Mapa final'!$AB$89="Media",'Mapa final'!$AD$89="Leve"),CONCATENATE("R28C",'Mapa final'!$R$89),"")</f>
        <v/>
      </c>
      <c r="L122" s="120" t="str">
        <f>IF(AND('Mapa final'!$AB$90="Media",'Mapa final'!$AD$90="Leve"),CONCATENATE("R28C",'Mapa final'!$R$90),"")</f>
        <v/>
      </c>
      <c r="M122" s="119" t="str">
        <f>IF(AND('Mapa final'!$AB$88="Media",'Mapa final'!$AD$88="Menor"),CONCATENATE("R28C",'Mapa final'!$R$88),"")</f>
        <v/>
      </c>
      <c r="N122" s="143" t="str">
        <f>IF(AND('Mapa final'!$AB$89="Media",'Mapa final'!$AD$89="Menor"),CONCATENATE("R28C",'Mapa final'!$R$89),"")</f>
        <v/>
      </c>
      <c r="O122" s="120" t="str">
        <f>IF(AND('Mapa final'!$AB$90="Media",'Mapa final'!$AD$90="Menor"),CONCATENATE("R28C",'Mapa final'!$R$90),"")</f>
        <v/>
      </c>
      <c r="P122" s="119" t="str">
        <f>IF(AND('Mapa final'!$AB$88="Media",'Mapa final'!$AD$88="Moderado"),CONCATENATE("R28C",'Mapa final'!$R$88),"")</f>
        <v/>
      </c>
      <c r="Q122" s="143" t="str">
        <f>IF(AND('Mapa final'!$AB$89="Media",'Mapa final'!$AD$89="Moderado"),CONCATENATE("R28C",'Mapa final'!$R$89),"")</f>
        <v/>
      </c>
      <c r="R122" s="120" t="str">
        <f>IF(AND('Mapa final'!$AB$90="Media",'Mapa final'!$AD$90="Moderado"),CONCATENATE("R28C",'Mapa final'!$R$90),"")</f>
        <v/>
      </c>
      <c r="S122" s="148" t="str">
        <f>IF(AND('Mapa final'!$AB$88="Media",'Mapa final'!$AD$88="Mayor"),CONCATENATE("R28C",'Mapa final'!$R$88),"")</f>
        <v/>
      </c>
      <c r="T122" s="149" t="str">
        <f>IF(AND('Mapa final'!$AB$89="Media",'Mapa final'!$AD$89="Mayor"),CONCATENATE("R28C",'Mapa final'!$R$89),"")</f>
        <v/>
      </c>
      <c r="U122" s="150" t="str">
        <f>IF(AND('Mapa final'!$AB$90="Media",'Mapa final'!$AD$90="Mayor"),CONCATENATE("R28C",'Mapa final'!$R$90),"")</f>
        <v/>
      </c>
      <c r="V122" s="114" t="str">
        <f>IF(AND('Mapa final'!$AB$88="Media",'Mapa final'!$AD$88="Catastrófico"),CONCATENATE("R28C",'Mapa final'!$R$88),"")</f>
        <v/>
      </c>
      <c r="W122" s="142" t="str">
        <f>IF(AND('Mapa final'!$AB$89="Media",'Mapa final'!$AD$89="Catastrófico"),CONCATENATE("R28C",'Mapa final'!$R$89),"")</f>
        <v/>
      </c>
      <c r="X122" s="115" t="str">
        <f>IF(AND('Mapa final'!$AB$90="Media",'Mapa final'!$AD$90="Catastrófico"),CONCATENATE("R28C",'Mapa final'!$R$90),"")</f>
        <v/>
      </c>
      <c r="Y122" s="38"/>
      <c r="Z122" s="323"/>
      <c r="AA122" s="324"/>
      <c r="AB122" s="324"/>
      <c r="AC122" s="324"/>
      <c r="AD122" s="324"/>
      <c r="AE122" s="325"/>
      <c r="AF122" s="38"/>
      <c r="AG122" s="38"/>
      <c r="AH122" s="38"/>
      <c r="AI122" s="38"/>
      <c r="AJ122" s="38"/>
      <c r="AK122" s="38"/>
      <c r="AL122" s="38"/>
      <c r="AM122" s="38"/>
      <c r="AN122" s="38"/>
      <c r="AO122" s="38"/>
      <c r="AP122" s="38"/>
      <c r="AQ122" s="38"/>
      <c r="AR122" s="38"/>
      <c r="AS122" s="38"/>
      <c r="AT122" s="38"/>
      <c r="AU122" s="38"/>
      <c r="AV122" s="38"/>
      <c r="AW122" s="38"/>
      <c r="AX122" s="38"/>
      <c r="AY122" s="38"/>
      <c r="AZ122" s="38"/>
      <c r="BA122" s="38"/>
      <c r="BB122" s="38"/>
      <c r="BC122" s="38"/>
      <c r="BD122" s="38"/>
      <c r="BE122" s="38"/>
      <c r="BF122" s="38"/>
      <c r="BG122" s="38"/>
      <c r="BH122" s="38"/>
      <c r="BI122" s="38"/>
    </row>
    <row r="123" spans="1:61" ht="15" customHeight="1" x14ac:dyDescent="0.3">
      <c r="A123" s="38"/>
      <c r="B123" s="306"/>
      <c r="C123" s="307"/>
      <c r="D123" s="308"/>
      <c r="E123" s="290"/>
      <c r="F123" s="289"/>
      <c r="G123" s="289"/>
      <c r="H123" s="289"/>
      <c r="I123" s="289"/>
      <c r="J123" s="119" t="str">
        <f>IF(AND('Mapa final'!$AB$91="Media",'Mapa final'!$AD$91="Leve"),CONCATENATE("R29C",'Mapa final'!$R$91),"")</f>
        <v/>
      </c>
      <c r="K123" s="143" t="str">
        <f>IF(AND('Mapa final'!$AB$92="Media",'Mapa final'!$AD$92="Leve"),CONCATENATE("R29C",'Mapa final'!$R$92),"")</f>
        <v/>
      </c>
      <c r="L123" s="120" t="str">
        <f>IF(AND('Mapa final'!$AB$93="Media",'Mapa final'!$AD$93="Leve"),CONCATENATE("R29C",'Mapa final'!$R$93),"")</f>
        <v/>
      </c>
      <c r="M123" s="119" t="str">
        <f>IF(AND('Mapa final'!$AB$91="Media",'Mapa final'!$AD$91="Menor"),CONCATENATE("R29C",'Mapa final'!$R$91),"")</f>
        <v/>
      </c>
      <c r="N123" s="143" t="str">
        <f>IF(AND('Mapa final'!$AB$92="Media",'Mapa final'!$AD$92="Menor"),CONCATENATE("R29C",'Mapa final'!$R$92),"")</f>
        <v/>
      </c>
      <c r="O123" s="120" t="str">
        <f>IF(AND('Mapa final'!$AB$93="Media",'Mapa final'!$AD$93="Menor"),CONCATENATE("R29C",'Mapa final'!$R$93),"")</f>
        <v/>
      </c>
      <c r="P123" s="119" t="str">
        <f>IF(AND('Mapa final'!$AB$91="Media",'Mapa final'!$AD$91="Moderado"),CONCATENATE("R29C",'Mapa final'!$R$91),"")</f>
        <v/>
      </c>
      <c r="Q123" s="143" t="str">
        <f>IF(AND('Mapa final'!$AB$92="Media",'Mapa final'!$AD$92="Moderado"),CONCATENATE("R29C",'Mapa final'!$R$92),"")</f>
        <v/>
      </c>
      <c r="R123" s="120" t="str">
        <f>IF(AND('Mapa final'!$AB$93="Media",'Mapa final'!$AD$93="Moderado"),CONCATENATE("R29C",'Mapa final'!$R$93),"")</f>
        <v/>
      </c>
      <c r="S123" s="148" t="str">
        <f>IF(AND('Mapa final'!$AB$91="Media",'Mapa final'!$AD$91="Mayor"),CONCATENATE("R29C",'Mapa final'!$R$91),"")</f>
        <v/>
      </c>
      <c r="T123" s="149" t="str">
        <f>IF(AND('Mapa final'!$AB$92="Media",'Mapa final'!$AD$92="Mayor"),CONCATENATE("R29C",'Mapa final'!$R$92),"")</f>
        <v/>
      </c>
      <c r="U123" s="150" t="str">
        <f>IF(AND('Mapa final'!$AB$93="Media",'Mapa final'!$AD$93="Mayor"),CONCATENATE("R29C",'Mapa final'!$R$93),"")</f>
        <v/>
      </c>
      <c r="V123" s="114" t="str">
        <f>IF(AND('Mapa final'!$AB$91="Media",'Mapa final'!$AD$91="Catastrófico"),CONCATENATE("R29C",'Mapa final'!$R$91),"")</f>
        <v/>
      </c>
      <c r="W123" s="142" t="str">
        <f>IF(AND('Mapa final'!$AB$92="Media",'Mapa final'!$AD$92="Catastrófico"),CONCATENATE("R29C",'Mapa final'!$R$92),"")</f>
        <v/>
      </c>
      <c r="X123" s="115" t="str">
        <f>IF(AND('Mapa final'!$AB$93="Media",'Mapa final'!$AD$93="Catastrófico"),CONCATENATE("R29C",'Mapa final'!$R$93),"")</f>
        <v/>
      </c>
      <c r="Y123" s="38"/>
      <c r="Z123" s="323"/>
      <c r="AA123" s="324"/>
      <c r="AB123" s="324"/>
      <c r="AC123" s="324"/>
      <c r="AD123" s="324"/>
      <c r="AE123" s="325"/>
      <c r="AF123" s="38"/>
      <c r="AG123" s="38"/>
      <c r="AH123" s="38"/>
      <c r="AI123" s="38"/>
      <c r="AJ123" s="38"/>
      <c r="AK123" s="38"/>
      <c r="AL123" s="38"/>
      <c r="AM123" s="38"/>
      <c r="AN123" s="38"/>
      <c r="AO123" s="38"/>
      <c r="AP123" s="38"/>
      <c r="AQ123" s="38"/>
      <c r="AR123" s="38"/>
      <c r="AS123" s="38"/>
      <c r="AT123" s="38"/>
      <c r="AU123" s="38"/>
      <c r="AV123" s="38"/>
      <c r="AW123" s="38"/>
      <c r="AX123" s="38"/>
      <c r="AY123" s="38"/>
      <c r="AZ123" s="38"/>
      <c r="BA123" s="38"/>
      <c r="BB123" s="38"/>
      <c r="BC123" s="38"/>
      <c r="BD123" s="38"/>
      <c r="BE123" s="38"/>
      <c r="BF123" s="38"/>
      <c r="BG123" s="38"/>
      <c r="BH123" s="38"/>
      <c r="BI123" s="38"/>
    </row>
    <row r="124" spans="1:61" ht="15" customHeight="1" x14ac:dyDescent="0.3">
      <c r="A124" s="38"/>
      <c r="B124" s="306"/>
      <c r="C124" s="307"/>
      <c r="D124" s="308"/>
      <c r="E124" s="290"/>
      <c r="F124" s="289"/>
      <c r="G124" s="289"/>
      <c r="H124" s="289"/>
      <c r="I124" s="289"/>
      <c r="J124" s="119" t="str">
        <f>IF(AND('Mapa final'!$AB$94="Media",'Mapa final'!$AD$94="Leve"),CONCATENATE("R30C",'Mapa final'!$R$94),"")</f>
        <v/>
      </c>
      <c r="K124" s="143" t="str">
        <f>IF(AND('Mapa final'!$AB$95="Media",'Mapa final'!$AD$95="Leve"),CONCATENATE("R30C",'Mapa final'!$R$95),"")</f>
        <v/>
      </c>
      <c r="L124" s="120" t="str">
        <f>IF(AND('Mapa final'!$AB$96="Media",'Mapa final'!$AD$96="Leve"),CONCATENATE("R30C",'Mapa final'!$R$96),"")</f>
        <v/>
      </c>
      <c r="M124" s="119" t="str">
        <f>IF(AND('Mapa final'!$AB$94="Media",'Mapa final'!$AD$94="Menor"),CONCATENATE("R30C",'Mapa final'!$R$94),"")</f>
        <v/>
      </c>
      <c r="N124" s="143" t="str">
        <f>IF(AND('Mapa final'!$AB$95="Media",'Mapa final'!$AD$95="Menor"),CONCATENATE("R30C",'Mapa final'!$R$95),"")</f>
        <v/>
      </c>
      <c r="O124" s="120" t="str">
        <f>IF(AND('Mapa final'!$AB$96="Media",'Mapa final'!$AD$96="Menor"),CONCATENATE("R30C",'Mapa final'!$R$96),"")</f>
        <v/>
      </c>
      <c r="P124" s="119" t="str">
        <f>IF(AND('Mapa final'!$AB$94="Media",'Mapa final'!$AD$94="Moderado"),CONCATENATE("R30C",'Mapa final'!$R$94),"")</f>
        <v/>
      </c>
      <c r="Q124" s="143" t="str">
        <f>IF(AND('Mapa final'!$AB$95="Media",'Mapa final'!$AD$95="Moderado"),CONCATENATE("R30C",'Mapa final'!$R$95),"")</f>
        <v/>
      </c>
      <c r="R124" s="120" t="str">
        <f>IF(AND('Mapa final'!$AB$96="Media",'Mapa final'!$AD$96="Moderado"),CONCATENATE("R30C",'Mapa final'!$R$96),"")</f>
        <v/>
      </c>
      <c r="S124" s="148" t="str">
        <f>IF(AND('Mapa final'!$AB$94="Media",'Mapa final'!$AD$94="Mayor"),CONCATENATE("R30C",'Mapa final'!$R$94),"")</f>
        <v/>
      </c>
      <c r="T124" s="149" t="str">
        <f>IF(AND('Mapa final'!$AB$95="Media",'Mapa final'!$AD$95="Mayor"),CONCATENATE("R30C",'Mapa final'!$R$95),"")</f>
        <v/>
      </c>
      <c r="U124" s="150" t="str">
        <f>IF(AND('Mapa final'!$AB$96="Media",'Mapa final'!$AD$96="Mayor"),CONCATENATE("R30C",'Mapa final'!$R$96),"")</f>
        <v/>
      </c>
      <c r="V124" s="114" t="str">
        <f>IF(AND('Mapa final'!$AB$94="Media",'Mapa final'!$AD$94="Catastrófico"),CONCATENATE("R30C",'Mapa final'!$R$94),"")</f>
        <v/>
      </c>
      <c r="W124" s="142" t="str">
        <f>IF(AND('Mapa final'!$AB$95="Media",'Mapa final'!$AD$95="Catastrófico"),CONCATENATE("R30C",'Mapa final'!$R$95),"")</f>
        <v/>
      </c>
      <c r="X124" s="115" t="str">
        <f>IF(AND('Mapa final'!$AB$96="Media",'Mapa final'!$AD$96="Catastrófico"),CONCATENATE("R30C",'Mapa final'!$R$96),"")</f>
        <v/>
      </c>
      <c r="Y124" s="38"/>
      <c r="Z124" s="323"/>
      <c r="AA124" s="324"/>
      <c r="AB124" s="324"/>
      <c r="AC124" s="324"/>
      <c r="AD124" s="324"/>
      <c r="AE124" s="325"/>
      <c r="AF124" s="38"/>
      <c r="AG124" s="38"/>
      <c r="AH124" s="38"/>
      <c r="AI124" s="38"/>
      <c r="AJ124" s="38"/>
      <c r="AK124" s="38"/>
      <c r="AL124" s="38"/>
      <c r="AM124" s="38"/>
      <c r="AN124" s="38"/>
      <c r="AO124" s="38"/>
      <c r="AP124" s="38"/>
      <c r="AQ124" s="38"/>
      <c r="AR124" s="38"/>
      <c r="AS124" s="38"/>
      <c r="AT124" s="38"/>
      <c r="AU124" s="38"/>
      <c r="AV124" s="38"/>
      <c r="AW124" s="38"/>
      <c r="AX124" s="38"/>
      <c r="AY124" s="38"/>
      <c r="AZ124" s="38"/>
      <c r="BA124" s="38"/>
      <c r="BB124" s="38"/>
      <c r="BC124" s="38"/>
      <c r="BD124" s="38"/>
      <c r="BE124" s="38"/>
      <c r="BF124" s="38"/>
      <c r="BG124" s="38"/>
      <c r="BH124" s="38"/>
      <c r="BI124" s="38"/>
    </row>
    <row r="125" spans="1:61" ht="15" customHeight="1" x14ac:dyDescent="0.3">
      <c r="A125" s="38"/>
      <c r="B125" s="306"/>
      <c r="C125" s="307"/>
      <c r="D125" s="308"/>
      <c r="E125" s="290"/>
      <c r="F125" s="289"/>
      <c r="G125" s="289"/>
      <c r="H125" s="289"/>
      <c r="I125" s="289"/>
      <c r="J125" s="119" t="str">
        <f>IF(AND('Mapa final'!$AB$97="Media",'Mapa final'!$AD$97="Leve"),CONCATENATE("R31C",'Mapa final'!$R$97),"")</f>
        <v/>
      </c>
      <c r="K125" s="143" t="str">
        <f>IF(AND('Mapa final'!$AB$98="Media",'Mapa final'!$AD$98="Leve"),CONCATENATE("R31C",'Mapa final'!$R$98),"")</f>
        <v/>
      </c>
      <c r="L125" s="120" t="str">
        <f>IF(AND('Mapa final'!$AB$99="Media",'Mapa final'!$AD$99="Leve"),CONCATENATE("R31C",'Mapa final'!$R$99),"")</f>
        <v/>
      </c>
      <c r="M125" s="119" t="str">
        <f>IF(AND('Mapa final'!$AB$97="Media",'Mapa final'!$AD$97="Menor"),CONCATENATE("R31C",'Mapa final'!$R$97),"")</f>
        <v/>
      </c>
      <c r="N125" s="143" t="str">
        <f>IF(AND('Mapa final'!$AB$98="Media",'Mapa final'!$AD$98="Menor"),CONCATENATE("R31C",'Mapa final'!$R$98),"")</f>
        <v/>
      </c>
      <c r="O125" s="120" t="str">
        <f>IF(AND('Mapa final'!$AB$99="Media",'Mapa final'!$AD$99="Menor"),CONCATENATE("R31C",'Mapa final'!$R$99),"")</f>
        <v/>
      </c>
      <c r="P125" s="119" t="str">
        <f>IF(AND('Mapa final'!$AB$97="Media",'Mapa final'!$AD$97="Moderado"),CONCATENATE("R31C",'Mapa final'!$R$97),"")</f>
        <v/>
      </c>
      <c r="Q125" s="143" t="str">
        <f>IF(AND('Mapa final'!$AB$98="Media",'Mapa final'!$AD$98="Moderado"),CONCATENATE("R31C",'Mapa final'!$R$98),"")</f>
        <v/>
      </c>
      <c r="R125" s="120" t="str">
        <f>IF(AND('Mapa final'!$AB$99="Media",'Mapa final'!$AD$99="Moderado"),CONCATENATE("R31C",'Mapa final'!$R$99),"")</f>
        <v/>
      </c>
      <c r="S125" s="148" t="str">
        <f>IF(AND('Mapa final'!$AB$97="Media",'Mapa final'!$AD$97="Mayor"),CONCATENATE("R31C",'Mapa final'!$R$97),"")</f>
        <v/>
      </c>
      <c r="T125" s="149" t="str">
        <f>IF(AND('Mapa final'!$AB$98="Media",'Mapa final'!$AD$98="Mayor"),CONCATENATE("R31C",'Mapa final'!$R$98),"")</f>
        <v/>
      </c>
      <c r="U125" s="150" t="str">
        <f>IF(AND('Mapa final'!$AB$99="Media",'Mapa final'!$AD$99="Mayor"),CONCATENATE("R31C",'Mapa final'!$R$99),"")</f>
        <v/>
      </c>
      <c r="V125" s="114" t="str">
        <f>IF(AND('Mapa final'!$AB$97="Media",'Mapa final'!$AD$97="Catastrófico"),CONCATENATE("R31C",'Mapa final'!$R$97),"")</f>
        <v/>
      </c>
      <c r="W125" s="142" t="str">
        <f>IF(AND('Mapa final'!$AB$98="Media",'Mapa final'!$AD$98="Catastrófico"),CONCATENATE("R31C",'Mapa final'!$R$98),"")</f>
        <v/>
      </c>
      <c r="X125" s="115" t="str">
        <f>IF(AND('Mapa final'!$AB$99="Media",'Mapa final'!$AD$99="Catastrófico"),CONCATENATE("R31C",'Mapa final'!$R$99),"")</f>
        <v/>
      </c>
      <c r="Y125" s="38"/>
      <c r="Z125" s="323"/>
      <c r="AA125" s="324"/>
      <c r="AB125" s="324"/>
      <c r="AC125" s="324"/>
      <c r="AD125" s="324"/>
      <c r="AE125" s="325"/>
      <c r="AF125" s="38"/>
      <c r="AG125" s="38"/>
      <c r="AH125" s="38"/>
      <c r="AI125" s="38"/>
      <c r="AJ125" s="38"/>
      <c r="AK125" s="38"/>
      <c r="AL125" s="38"/>
      <c r="AM125" s="38"/>
      <c r="AN125" s="38"/>
      <c r="AO125" s="38"/>
      <c r="AP125" s="38"/>
      <c r="AQ125" s="38"/>
      <c r="AR125" s="38"/>
      <c r="AS125" s="38"/>
      <c r="AT125" s="38"/>
      <c r="AU125" s="38"/>
      <c r="AV125" s="38"/>
      <c r="AW125" s="38"/>
      <c r="AX125" s="38"/>
      <c r="AY125" s="38"/>
      <c r="AZ125" s="38"/>
      <c r="BA125" s="38"/>
      <c r="BB125" s="38"/>
      <c r="BC125" s="38"/>
      <c r="BD125" s="38"/>
      <c r="BE125" s="38"/>
      <c r="BF125" s="38"/>
      <c r="BG125" s="38"/>
      <c r="BH125" s="38"/>
      <c r="BI125" s="38"/>
    </row>
    <row r="126" spans="1:61" ht="15" customHeight="1" x14ac:dyDescent="0.3">
      <c r="A126" s="38"/>
      <c r="B126" s="306"/>
      <c r="C126" s="307"/>
      <c r="D126" s="308"/>
      <c r="E126" s="290"/>
      <c r="F126" s="289"/>
      <c r="G126" s="289"/>
      <c r="H126" s="289"/>
      <c r="I126" s="289"/>
      <c r="J126" s="119" t="str">
        <f>IF(AND('Mapa final'!$AB$100="Media",'Mapa final'!$AD$100="Leve"),CONCATENATE("R32C",'Mapa final'!$R$100),"")</f>
        <v/>
      </c>
      <c r="K126" s="143" t="str">
        <f>IF(AND('Mapa final'!$AB$101="Media",'Mapa final'!$AD$101="Leve"),CONCATENATE("R32C",'Mapa final'!$R$101),"")</f>
        <v/>
      </c>
      <c r="L126" s="120" t="str">
        <f>IF(AND('Mapa final'!$AB$102="Media",'Mapa final'!$AD$102="Leve"),CONCATENATE("R32C",'Mapa final'!$R$102),"")</f>
        <v/>
      </c>
      <c r="M126" s="119" t="str">
        <f>IF(AND('Mapa final'!$AB$100="Media",'Mapa final'!$AD$100="Menor"),CONCATENATE("R32C",'Mapa final'!$R$100),"")</f>
        <v/>
      </c>
      <c r="N126" s="143" t="str">
        <f>IF(AND('Mapa final'!$AB$101="Media",'Mapa final'!$AD$101="Menor"),CONCATENATE("R32C",'Mapa final'!$R$101),"")</f>
        <v/>
      </c>
      <c r="O126" s="120" t="str">
        <f>IF(AND('Mapa final'!$AB$102="Media",'Mapa final'!$AD$102="Menor"),CONCATENATE("R32C",'Mapa final'!$R$102),"")</f>
        <v/>
      </c>
      <c r="P126" s="119" t="str">
        <f>IF(AND('Mapa final'!$AB$100="Media",'Mapa final'!$AD$100="Moderado"),CONCATENATE("R32C",'Mapa final'!$R$100),"")</f>
        <v/>
      </c>
      <c r="Q126" s="143" t="str">
        <f>IF(AND('Mapa final'!$AB$101="Media",'Mapa final'!$AD$101="Moderado"),CONCATENATE("R32C",'Mapa final'!$R$101),"")</f>
        <v/>
      </c>
      <c r="R126" s="120" t="str">
        <f>IF(AND('Mapa final'!$AB$102="Media",'Mapa final'!$AD$102="Moderado"),CONCATENATE("R32C",'Mapa final'!$R$102),"")</f>
        <v/>
      </c>
      <c r="S126" s="148" t="str">
        <f>IF(AND('Mapa final'!$AB$100="Media",'Mapa final'!$AD$100="Mayor"),CONCATENATE("R32C",'Mapa final'!$R$100),"")</f>
        <v/>
      </c>
      <c r="T126" s="149" t="str">
        <f>IF(AND('Mapa final'!$AB$101="Media",'Mapa final'!$AD$101="Mayor"),CONCATENATE("R32C",'Mapa final'!$R$101),"")</f>
        <v/>
      </c>
      <c r="U126" s="150" t="str">
        <f>IF(AND('Mapa final'!$AB$102="Media",'Mapa final'!$AD$102="Mayor"),CONCATENATE("R32C",'Mapa final'!$R$102),"")</f>
        <v/>
      </c>
      <c r="V126" s="114" t="str">
        <f>IF(AND('Mapa final'!$AB$100="Media",'Mapa final'!$AD$100="Catastrófico"),CONCATENATE("R32C",'Mapa final'!$R$100),"")</f>
        <v/>
      </c>
      <c r="W126" s="142" t="str">
        <f>IF(AND('Mapa final'!$AB$101="Media",'Mapa final'!$AD$101="Catastrófico"),CONCATENATE("R32C",'Mapa final'!$R$101),"")</f>
        <v/>
      </c>
      <c r="X126" s="115" t="str">
        <f>IF(AND('Mapa final'!$AB$102="Media",'Mapa final'!$AD$102="Catastrófico"),CONCATENATE("R32C",'Mapa final'!$R$102),"")</f>
        <v/>
      </c>
      <c r="Y126" s="38"/>
      <c r="Z126" s="323"/>
      <c r="AA126" s="324"/>
      <c r="AB126" s="324"/>
      <c r="AC126" s="324"/>
      <c r="AD126" s="324"/>
      <c r="AE126" s="325"/>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row>
    <row r="127" spans="1:61" ht="15" customHeight="1" x14ac:dyDescent="0.3">
      <c r="A127" s="38"/>
      <c r="B127" s="306"/>
      <c r="C127" s="307"/>
      <c r="D127" s="308"/>
      <c r="E127" s="290"/>
      <c r="F127" s="289"/>
      <c r="G127" s="289"/>
      <c r="H127" s="289"/>
      <c r="I127" s="289"/>
      <c r="J127" s="119" t="str">
        <f>IF(AND('Mapa final'!$AB$103="Media",'Mapa final'!$AD$103="Leve"),CONCATENATE("R33C",'Mapa final'!$R$103),"")</f>
        <v/>
      </c>
      <c r="K127" s="143" t="str">
        <f>IF(AND('Mapa final'!$AB$104="Media",'Mapa final'!$AD$104="Leve"),CONCATENATE("R33C",'Mapa final'!$R$104),"")</f>
        <v/>
      </c>
      <c r="L127" s="120" t="str">
        <f>IF(AND('Mapa final'!$AB$105="Media",'Mapa final'!$AD$105="Leve"),CONCATENATE("R33C",'Mapa final'!$R$105),"")</f>
        <v/>
      </c>
      <c r="M127" s="119" t="str">
        <f>IF(AND('Mapa final'!$AB$103="Media",'Mapa final'!$AD$103="Menor"),CONCATENATE("R33C",'Mapa final'!$R$103),"")</f>
        <v/>
      </c>
      <c r="N127" s="143" t="str">
        <f>IF(AND('Mapa final'!$AB$104="Media",'Mapa final'!$AD$104="Menor"),CONCATENATE("R33C",'Mapa final'!$R$104),"")</f>
        <v/>
      </c>
      <c r="O127" s="120" t="str">
        <f>IF(AND('Mapa final'!$AB$105="Media",'Mapa final'!$AD$105="Menor"),CONCATENATE("R33C",'Mapa final'!$R$105),"")</f>
        <v/>
      </c>
      <c r="P127" s="119" t="str">
        <f>IF(AND('Mapa final'!$AB$103="Media",'Mapa final'!$AD$103="Moderado"),CONCATENATE("R33C",'Mapa final'!$R$103),"")</f>
        <v/>
      </c>
      <c r="Q127" s="143" t="str">
        <f>IF(AND('Mapa final'!$AB$104="Media",'Mapa final'!$AD$104="Moderado"),CONCATENATE("R33C",'Mapa final'!$R$104),"")</f>
        <v/>
      </c>
      <c r="R127" s="120" t="str">
        <f>IF(AND('Mapa final'!$AB$105="Media",'Mapa final'!$AD$105="Moderado"),CONCATENATE("R33C",'Mapa final'!$R$105),"")</f>
        <v/>
      </c>
      <c r="S127" s="148" t="str">
        <f>IF(AND('Mapa final'!$AB$103="Media",'Mapa final'!$AD$103="Mayor"),CONCATENATE("R33C",'Mapa final'!$R$103),"")</f>
        <v/>
      </c>
      <c r="T127" s="149" t="str">
        <f>IF(AND('Mapa final'!$AB$104="Media",'Mapa final'!$AD$104="Mayor"),CONCATENATE("R33C",'Mapa final'!$R$104),"")</f>
        <v/>
      </c>
      <c r="U127" s="150" t="str">
        <f>IF(AND('Mapa final'!$AB$105="Media",'Mapa final'!$AD$105="Mayor"),CONCATENATE("R33C",'Mapa final'!$R$105),"")</f>
        <v/>
      </c>
      <c r="V127" s="114" t="str">
        <f>IF(AND('Mapa final'!$AB$103="Media",'Mapa final'!$AD$103="Catastrófico"),CONCATENATE("R33C",'Mapa final'!$R$103),"")</f>
        <v/>
      </c>
      <c r="W127" s="142" t="str">
        <f>IF(AND('Mapa final'!$AB$104="Media",'Mapa final'!$AD$104="Catastrófico"),CONCATENATE("R33C",'Mapa final'!$R$104),"")</f>
        <v/>
      </c>
      <c r="X127" s="115" t="str">
        <f>IF(AND('Mapa final'!$AB$105="Media",'Mapa final'!$AD$105="Catastrófico"),CONCATENATE("R33C",'Mapa final'!$R$105),"")</f>
        <v/>
      </c>
      <c r="Y127" s="38"/>
      <c r="Z127" s="323"/>
      <c r="AA127" s="324"/>
      <c r="AB127" s="324"/>
      <c r="AC127" s="324"/>
      <c r="AD127" s="324"/>
      <c r="AE127" s="325"/>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c r="BE127" s="38"/>
      <c r="BF127" s="38"/>
      <c r="BG127" s="38"/>
      <c r="BH127" s="38"/>
      <c r="BI127" s="38"/>
    </row>
    <row r="128" spans="1:61" ht="15" customHeight="1" x14ac:dyDescent="0.3">
      <c r="A128" s="38"/>
      <c r="B128" s="306"/>
      <c r="C128" s="307"/>
      <c r="D128" s="308"/>
      <c r="E128" s="290"/>
      <c r="F128" s="289"/>
      <c r="G128" s="289"/>
      <c r="H128" s="289"/>
      <c r="I128" s="289"/>
      <c r="J128" s="119" t="str">
        <f>IF(AND('Mapa final'!$AB$106="Media",'Mapa final'!$AD$106="Leve"),CONCATENATE("R34C",'Mapa final'!$R$106),"")</f>
        <v/>
      </c>
      <c r="K128" s="143" t="str">
        <f>IF(AND('Mapa final'!$AB$107="Media",'Mapa final'!$AD$107="Leve"),CONCATENATE("R34C",'Mapa final'!$R$107),"")</f>
        <v/>
      </c>
      <c r="L128" s="120" t="str">
        <f>IF(AND('Mapa final'!$AB$108="Media",'Mapa final'!$AD$108="Leve"),CONCATENATE("R34C",'Mapa final'!$R$108),"")</f>
        <v/>
      </c>
      <c r="M128" s="119" t="str">
        <f>IF(AND('Mapa final'!$AB$106="Media",'Mapa final'!$AD$106="Menor"),CONCATENATE("R34C",'Mapa final'!$R$106),"")</f>
        <v/>
      </c>
      <c r="N128" s="143" t="str">
        <f>IF(AND('Mapa final'!$AB$107="Media",'Mapa final'!$AD$107="Menor"),CONCATENATE("R34C",'Mapa final'!$R$107),"")</f>
        <v/>
      </c>
      <c r="O128" s="120" t="str">
        <f>IF(AND('Mapa final'!$AB$108="Media",'Mapa final'!$AD$108="Menor"),CONCATENATE("R34C",'Mapa final'!$R$108),"")</f>
        <v/>
      </c>
      <c r="P128" s="119" t="str">
        <f>IF(AND('Mapa final'!$AB$106="Media",'Mapa final'!$AD$106="Moderado"),CONCATENATE("R34C",'Mapa final'!$R$106),"")</f>
        <v>R34C1</v>
      </c>
      <c r="Q128" s="143" t="str">
        <f>IF(AND('Mapa final'!$AB$107="Media",'Mapa final'!$AD$107="Moderado"),CONCATENATE("R34C",'Mapa final'!$R$107),"")</f>
        <v/>
      </c>
      <c r="R128" s="120" t="str">
        <f>IF(AND('Mapa final'!$AB$108="Media",'Mapa final'!$AD$108="Moderado"),CONCATENATE("R34C",'Mapa final'!$R$108),"")</f>
        <v/>
      </c>
      <c r="S128" s="148" t="str">
        <f>IF(AND('Mapa final'!$AB$106="Media",'Mapa final'!$AD$106="Mayor"),CONCATENATE("R34C",'Mapa final'!$R$106),"")</f>
        <v/>
      </c>
      <c r="T128" s="149" t="str">
        <f>IF(AND('Mapa final'!$AB$107="Media",'Mapa final'!$AD$107="Mayor"),CONCATENATE("R34C",'Mapa final'!$R$107),"")</f>
        <v/>
      </c>
      <c r="U128" s="150" t="str">
        <f>IF(AND('Mapa final'!$AB$108="Media",'Mapa final'!$AD$108="Mayor"),CONCATENATE("R34C",'Mapa final'!$R$108),"")</f>
        <v/>
      </c>
      <c r="V128" s="114" t="str">
        <f>IF(AND('Mapa final'!$AB$106="Media",'Mapa final'!$AD$106="Catastrófico"),CONCATENATE("R34C",'Mapa final'!$R$106),"")</f>
        <v/>
      </c>
      <c r="W128" s="142" t="str">
        <f>IF(AND('Mapa final'!$AB$107="Media",'Mapa final'!$AD$107="Catastrófico"),CONCATENATE("R34C",'Mapa final'!$R$107),"")</f>
        <v/>
      </c>
      <c r="X128" s="115" t="str">
        <f>IF(AND('Mapa final'!$AB$108="Media",'Mapa final'!$AD$108="Catastrófico"),CONCATENATE("R34C",'Mapa final'!$R$108),"")</f>
        <v/>
      </c>
      <c r="Y128" s="38"/>
      <c r="Z128" s="323"/>
      <c r="AA128" s="324"/>
      <c r="AB128" s="324"/>
      <c r="AC128" s="324"/>
      <c r="AD128" s="324"/>
      <c r="AE128" s="325"/>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8"/>
      <c r="BF128" s="38"/>
      <c r="BG128" s="38"/>
      <c r="BH128" s="38"/>
      <c r="BI128" s="38"/>
    </row>
    <row r="129" spans="1:61" ht="15" customHeight="1" x14ac:dyDescent="0.3">
      <c r="A129" s="38"/>
      <c r="B129" s="306"/>
      <c r="C129" s="307"/>
      <c r="D129" s="308"/>
      <c r="E129" s="290"/>
      <c r="F129" s="289"/>
      <c r="G129" s="289"/>
      <c r="H129" s="289"/>
      <c r="I129" s="289"/>
      <c r="J129" s="119" t="str">
        <f>IF(AND('Mapa final'!$AB$109="Media",'Mapa final'!$AD$109="Leve"),CONCATENATE("R35C",'Mapa final'!$R$109),"")</f>
        <v/>
      </c>
      <c r="K129" s="143" t="str">
        <f>IF(AND('Mapa final'!$AB$110="Media",'Mapa final'!$AD$110="Leve"),CONCATENATE("R35C",'Mapa final'!$R$110),"")</f>
        <v/>
      </c>
      <c r="L129" s="120" t="str">
        <f>IF(AND('Mapa final'!$AB$111="Media",'Mapa final'!$AD$111="Leve"),CONCATENATE("R35C",'Mapa final'!$R$111),"")</f>
        <v/>
      </c>
      <c r="M129" s="119" t="str">
        <f>IF(AND('Mapa final'!$AB$109="Media",'Mapa final'!$AD$109="Menor"),CONCATENATE("R35C",'Mapa final'!$R$109),"")</f>
        <v/>
      </c>
      <c r="N129" s="143" t="str">
        <f>IF(AND('Mapa final'!$AB$110="Media",'Mapa final'!$AD$110="Menor"),CONCATENATE("R35C",'Mapa final'!$R$110),"")</f>
        <v/>
      </c>
      <c r="O129" s="120" t="str">
        <f>IF(AND('Mapa final'!$AB$111="Media",'Mapa final'!$AD$111="Menor"),CONCATENATE("R35C",'Mapa final'!$R$111),"")</f>
        <v/>
      </c>
      <c r="P129" s="119" t="str">
        <f>IF(AND('Mapa final'!$AB$109="Media",'Mapa final'!$AD$109="Moderado"),CONCATENATE("R35C",'Mapa final'!$R$109),"")</f>
        <v/>
      </c>
      <c r="Q129" s="143" t="str">
        <f>IF(AND('Mapa final'!$AB$110="Media",'Mapa final'!$AD$110="Moderado"),CONCATENATE("R35C",'Mapa final'!$R$110),"")</f>
        <v/>
      </c>
      <c r="R129" s="120" t="str">
        <f>IF(AND('Mapa final'!$AB$111="Media",'Mapa final'!$AD$111="Moderado"),CONCATENATE("R35C",'Mapa final'!$R$111),"")</f>
        <v/>
      </c>
      <c r="S129" s="148" t="str">
        <f>IF(AND('Mapa final'!$AB$109="Media",'Mapa final'!$AD$109="Mayor"),CONCATENATE("R35C",'Mapa final'!$R$109),"")</f>
        <v/>
      </c>
      <c r="T129" s="149" t="str">
        <f>IF(AND('Mapa final'!$AB$110="Media",'Mapa final'!$AD$110="Mayor"),CONCATENATE("R35C",'Mapa final'!$R$110),"")</f>
        <v/>
      </c>
      <c r="U129" s="150" t="str">
        <f>IF(AND('Mapa final'!$AB$111="Media",'Mapa final'!$AD$111="Mayor"),CONCATENATE("R35C",'Mapa final'!$R$111),"")</f>
        <v/>
      </c>
      <c r="V129" s="114" t="str">
        <f>IF(AND('Mapa final'!$AB$109="Media",'Mapa final'!$AD$109="Catastrófico"),CONCATENATE("R35C",'Mapa final'!$R$109),"")</f>
        <v/>
      </c>
      <c r="W129" s="142" t="str">
        <f>IF(AND('Mapa final'!$AB$110="Media",'Mapa final'!$AD$110="Catastrófico"),CONCATENATE("R35C",'Mapa final'!$R$110),"")</f>
        <v/>
      </c>
      <c r="X129" s="115" t="str">
        <f>IF(AND('Mapa final'!$AB$111="Media",'Mapa final'!$AD$111="Catastrófico"),CONCATENATE("R35C",'Mapa final'!$R$111),"")</f>
        <v/>
      </c>
      <c r="Y129" s="38"/>
      <c r="Z129" s="323"/>
      <c r="AA129" s="324"/>
      <c r="AB129" s="324"/>
      <c r="AC129" s="324"/>
      <c r="AD129" s="324"/>
      <c r="AE129" s="325"/>
      <c r="AF129" s="38"/>
      <c r="AG129" s="38"/>
      <c r="AH129" s="38"/>
      <c r="AI129" s="38"/>
      <c r="AJ129" s="38"/>
      <c r="AK129" s="38"/>
      <c r="AL129" s="38"/>
      <c r="AM129" s="38"/>
      <c r="AN129" s="38"/>
      <c r="AO129" s="38"/>
      <c r="AP129" s="38"/>
      <c r="AQ129" s="38"/>
      <c r="AR129" s="38"/>
      <c r="AS129" s="38"/>
      <c r="AT129" s="38"/>
      <c r="AU129" s="38"/>
      <c r="AV129" s="38"/>
      <c r="AW129" s="38"/>
      <c r="AX129" s="38"/>
      <c r="AY129" s="38"/>
      <c r="AZ129" s="38"/>
      <c r="BA129" s="38"/>
      <c r="BB129" s="38"/>
      <c r="BC129" s="38"/>
      <c r="BD129" s="38"/>
      <c r="BE129" s="38"/>
      <c r="BF129" s="38"/>
      <c r="BG129" s="38"/>
      <c r="BH129" s="38"/>
      <c r="BI129" s="38"/>
    </row>
    <row r="130" spans="1:61" ht="15" customHeight="1" x14ac:dyDescent="0.3">
      <c r="A130" s="38"/>
      <c r="B130" s="306"/>
      <c r="C130" s="307"/>
      <c r="D130" s="308"/>
      <c r="E130" s="290"/>
      <c r="F130" s="289"/>
      <c r="G130" s="289"/>
      <c r="H130" s="289"/>
      <c r="I130" s="289"/>
      <c r="J130" s="119" t="str">
        <f>IF(AND('Mapa final'!$AB$112="Media",'Mapa final'!$AD$112="Leve"),CONCATENATE("R36C",'Mapa final'!$R$112),"")</f>
        <v/>
      </c>
      <c r="K130" s="143" t="str">
        <f>IF(AND('Mapa final'!$AB$113="Media",'Mapa final'!$AD$113="Leve"),CONCATENATE("R36C",'Mapa final'!$R$113),"")</f>
        <v/>
      </c>
      <c r="L130" s="120" t="str">
        <f>IF(AND('Mapa final'!$AB$114="Media",'Mapa final'!$AD$114="Leve"),CONCATENATE("R36C",'Mapa final'!$R$114),"")</f>
        <v/>
      </c>
      <c r="M130" s="119" t="str">
        <f>IF(AND('Mapa final'!$AB$112="Media",'Mapa final'!$AD$112="Menor"),CONCATENATE("R36C",'Mapa final'!$R$112),"")</f>
        <v/>
      </c>
      <c r="N130" s="143" t="str">
        <f>IF(AND('Mapa final'!$AB$113="Media",'Mapa final'!$AD$113="Menor"),CONCATENATE("R36C",'Mapa final'!$R$113),"")</f>
        <v/>
      </c>
      <c r="O130" s="120" t="str">
        <f>IF(AND('Mapa final'!$AB$114="Media",'Mapa final'!$AD$114="Menor"),CONCATENATE("R36C",'Mapa final'!$R$114),"")</f>
        <v/>
      </c>
      <c r="P130" s="119" t="str">
        <f>IF(AND('Mapa final'!$AB$112="Media",'Mapa final'!$AD$112="Moderado"),CONCATENATE("R36C",'Mapa final'!$R$112),"")</f>
        <v/>
      </c>
      <c r="Q130" s="143" t="str">
        <f>IF(AND('Mapa final'!$AB$113="Media",'Mapa final'!$AD$113="Moderado"),CONCATENATE("R36C",'Mapa final'!$R$113),"")</f>
        <v/>
      </c>
      <c r="R130" s="120" t="str">
        <f>IF(AND('Mapa final'!$AB$114="Media",'Mapa final'!$AD$114="Moderado"),CONCATENATE("R36C",'Mapa final'!$R$114),"")</f>
        <v/>
      </c>
      <c r="S130" s="148" t="str">
        <f>IF(AND('Mapa final'!$AB$112="Media",'Mapa final'!$AD$112="Mayor"),CONCATENATE("R36C",'Mapa final'!$R$112),"")</f>
        <v/>
      </c>
      <c r="T130" s="149" t="str">
        <f>IF(AND('Mapa final'!$AB$113="Media",'Mapa final'!$AD$113="Mayor"),CONCATENATE("R36C",'Mapa final'!$R$113),"")</f>
        <v/>
      </c>
      <c r="U130" s="150" t="str">
        <f>IF(AND('Mapa final'!$AB$114="Media",'Mapa final'!$AD$114="Mayor"),CONCATENATE("R36C",'Mapa final'!$R$114),"")</f>
        <v/>
      </c>
      <c r="V130" s="114" t="str">
        <f>IF(AND('Mapa final'!$AB$112="Media",'Mapa final'!$AD$112="Catastrófico"),CONCATENATE("R36C",'Mapa final'!$R$112),"")</f>
        <v/>
      </c>
      <c r="W130" s="142" t="str">
        <f>IF(AND('Mapa final'!$AB$113="Media",'Mapa final'!$AD$113="Catastrófico"),CONCATENATE("R36C",'Mapa final'!$R$113),"")</f>
        <v/>
      </c>
      <c r="X130" s="115" t="str">
        <f>IF(AND('Mapa final'!$AB$114="Media",'Mapa final'!$AD$114="Catastrófico"),CONCATENATE("R36C",'Mapa final'!$R$114),"")</f>
        <v/>
      </c>
      <c r="Y130" s="38"/>
      <c r="Z130" s="323"/>
      <c r="AA130" s="324"/>
      <c r="AB130" s="324"/>
      <c r="AC130" s="324"/>
      <c r="AD130" s="324"/>
      <c r="AE130" s="325"/>
      <c r="AF130" s="38"/>
      <c r="AG130" s="38"/>
      <c r="AH130" s="38"/>
      <c r="AI130" s="38"/>
      <c r="AJ130" s="38"/>
      <c r="AK130" s="38"/>
      <c r="AL130" s="38"/>
      <c r="AM130" s="38"/>
      <c r="AN130" s="38"/>
      <c r="AO130" s="38"/>
      <c r="AP130" s="38"/>
      <c r="AQ130" s="38"/>
      <c r="AR130" s="38"/>
      <c r="AS130" s="38"/>
      <c r="AT130" s="38"/>
      <c r="AU130" s="38"/>
      <c r="AV130" s="38"/>
      <c r="AW130" s="38"/>
      <c r="AX130" s="38"/>
      <c r="AY130" s="38"/>
      <c r="AZ130" s="38"/>
      <c r="BA130" s="38"/>
      <c r="BB130" s="38"/>
      <c r="BC130" s="38"/>
      <c r="BD130" s="38"/>
      <c r="BE130" s="38"/>
      <c r="BF130" s="38"/>
      <c r="BG130" s="38"/>
      <c r="BH130" s="38"/>
      <c r="BI130" s="38"/>
    </row>
    <row r="131" spans="1:61" ht="15" customHeight="1" x14ac:dyDescent="0.3">
      <c r="A131" s="38"/>
      <c r="B131" s="306"/>
      <c r="C131" s="307"/>
      <c r="D131" s="308"/>
      <c r="E131" s="290"/>
      <c r="F131" s="289"/>
      <c r="G131" s="289"/>
      <c r="H131" s="289"/>
      <c r="I131" s="289"/>
      <c r="J131" s="119" t="str">
        <f>IF(AND('Mapa final'!$AB$115="Media",'Mapa final'!$AD$115="Leve"),CONCATENATE("R37C",'Mapa final'!$R$115),"")</f>
        <v/>
      </c>
      <c r="K131" s="143" t="str">
        <f>IF(AND('Mapa final'!$AB$116="Media",'Mapa final'!$AD$116="Leve"),CONCATENATE("R37C",'Mapa final'!$R$116),"")</f>
        <v/>
      </c>
      <c r="L131" s="120" t="str">
        <f>IF(AND('Mapa final'!$AB$117="Media",'Mapa final'!$AD$117="Leve"),CONCATENATE("R37C",'Mapa final'!$R$117),"")</f>
        <v/>
      </c>
      <c r="M131" s="119" t="str">
        <f>IF(AND('Mapa final'!$AB$115="Media",'Mapa final'!$AD$115="Menor"),CONCATENATE("R37C",'Mapa final'!$R$115),"")</f>
        <v/>
      </c>
      <c r="N131" s="143" t="str">
        <f>IF(AND('Mapa final'!$AB$116="Media",'Mapa final'!$AD$116="Menor"),CONCATENATE("R37C",'Mapa final'!$R$116),"")</f>
        <v/>
      </c>
      <c r="O131" s="120" t="str">
        <f>IF(AND('Mapa final'!$AB$117="Media",'Mapa final'!$AD$117="Menor"),CONCATENATE("R37C",'Mapa final'!$R$117),"")</f>
        <v/>
      </c>
      <c r="P131" s="119" t="str">
        <f>IF(AND('Mapa final'!$AB$115="Media",'Mapa final'!$AD$115="Moderado"),CONCATENATE("R37C",'Mapa final'!$R$115),"")</f>
        <v>R37C1</v>
      </c>
      <c r="Q131" s="143" t="str">
        <f>IF(AND('Mapa final'!$AB$116="Media",'Mapa final'!$AD$116="Moderado"),CONCATENATE("R37C",'Mapa final'!$R$116),"")</f>
        <v/>
      </c>
      <c r="R131" s="120" t="str">
        <f>IF(AND('Mapa final'!$AB$117="Media",'Mapa final'!$AD$117="Moderado"),CONCATENATE("R37C",'Mapa final'!$R$117),"")</f>
        <v/>
      </c>
      <c r="S131" s="148" t="str">
        <f>IF(AND('Mapa final'!$AB$115="Media",'Mapa final'!$AD$115="Mayor"),CONCATENATE("R37C",'Mapa final'!$R$115),"")</f>
        <v/>
      </c>
      <c r="T131" s="149" t="str">
        <f>IF(AND('Mapa final'!$AB$116="Media",'Mapa final'!$AD$116="Mayor"),CONCATENATE("R37C",'Mapa final'!$R$116),"")</f>
        <v/>
      </c>
      <c r="U131" s="150" t="str">
        <f>IF(AND('Mapa final'!$AB$117="Media",'Mapa final'!$AD$117="Mayor"),CONCATENATE("R37C",'Mapa final'!$R$117),"")</f>
        <v/>
      </c>
      <c r="V131" s="114" t="str">
        <f>IF(AND('Mapa final'!$AB$115="Media",'Mapa final'!$AD$115="Catastrófico"),CONCATENATE("R37C",'Mapa final'!$R$115),"")</f>
        <v/>
      </c>
      <c r="W131" s="142" t="str">
        <f>IF(AND('Mapa final'!$AB$116="Media",'Mapa final'!$AD$116="Catastrófico"),CONCATENATE("R37C",'Mapa final'!$R$116),"")</f>
        <v/>
      </c>
      <c r="X131" s="115" t="str">
        <f>IF(AND('Mapa final'!$AB$117="Media",'Mapa final'!$AD$117="Catastrófico"),CONCATENATE("R37C",'Mapa final'!$R$117),"")</f>
        <v/>
      </c>
      <c r="Y131" s="38"/>
      <c r="Z131" s="323"/>
      <c r="AA131" s="324"/>
      <c r="AB131" s="324"/>
      <c r="AC131" s="324"/>
      <c r="AD131" s="324"/>
      <c r="AE131" s="325"/>
      <c r="AF131" s="38"/>
      <c r="AG131" s="38"/>
      <c r="AH131" s="38"/>
      <c r="AI131" s="38"/>
      <c r="AJ131" s="38"/>
      <c r="AK131" s="38"/>
      <c r="AL131" s="38"/>
      <c r="AM131" s="38"/>
      <c r="AN131" s="38"/>
      <c r="AO131" s="38"/>
      <c r="AP131" s="38"/>
      <c r="AQ131" s="38"/>
      <c r="AR131" s="38"/>
      <c r="AS131" s="38"/>
      <c r="AT131" s="38"/>
      <c r="AU131" s="38"/>
      <c r="AV131" s="38"/>
      <c r="AW131" s="38"/>
      <c r="AX131" s="38"/>
      <c r="AY131" s="38"/>
      <c r="AZ131" s="38"/>
      <c r="BA131" s="38"/>
      <c r="BB131" s="38"/>
      <c r="BC131" s="38"/>
      <c r="BD131" s="38"/>
      <c r="BE131" s="38"/>
      <c r="BF131" s="38"/>
      <c r="BG131" s="38"/>
      <c r="BH131" s="38"/>
      <c r="BI131" s="38"/>
    </row>
    <row r="132" spans="1:61" ht="15" customHeight="1" x14ac:dyDescent="0.3">
      <c r="A132" s="38"/>
      <c r="B132" s="306"/>
      <c r="C132" s="307"/>
      <c r="D132" s="308"/>
      <c r="E132" s="290"/>
      <c r="F132" s="289"/>
      <c r="G132" s="289"/>
      <c r="H132" s="289"/>
      <c r="I132" s="289"/>
      <c r="J132" s="119" t="str">
        <f>IF(AND('Mapa final'!$AB$118="Media",'Mapa final'!$AD$118="Leve"),CONCATENATE("R38C",'Mapa final'!$R$118),"")</f>
        <v/>
      </c>
      <c r="K132" s="143" t="str">
        <f>IF(AND('Mapa final'!$AB$119="Media",'Mapa final'!$AD$119="Leve"),CONCATENATE("R38C",'Mapa final'!$R$119),"")</f>
        <v/>
      </c>
      <c r="L132" s="120" t="str">
        <f>IF(AND('Mapa final'!$AB$120="Media",'Mapa final'!$AD$120="Leve"),CONCATENATE("R38C",'Mapa final'!$R$120),"")</f>
        <v/>
      </c>
      <c r="M132" s="119" t="str">
        <f>IF(AND('Mapa final'!$AB$118="Media",'Mapa final'!$AD$118="Menor"),CONCATENATE("R38C",'Mapa final'!$R$118),"")</f>
        <v/>
      </c>
      <c r="N132" s="143" t="str">
        <f>IF(AND('Mapa final'!$AB$119="Media",'Mapa final'!$AD$119="Menor"),CONCATENATE("R38C",'Mapa final'!$R$119),"")</f>
        <v/>
      </c>
      <c r="O132" s="120" t="str">
        <f>IF(AND('Mapa final'!$AB$120="Media",'Mapa final'!$AD$120="Menor"),CONCATENATE("R38C",'Mapa final'!$R$120),"")</f>
        <v/>
      </c>
      <c r="P132" s="119" t="str">
        <f>IF(AND('Mapa final'!$AB$118="Media",'Mapa final'!$AD$118="Moderado"),CONCATENATE("R38C",'Mapa final'!$R$118),"")</f>
        <v>R38C1</v>
      </c>
      <c r="Q132" s="143" t="str">
        <f>IF(AND('Mapa final'!$AB$119="Media",'Mapa final'!$AD$119="Moderado"),CONCATENATE("R38C",'Mapa final'!$R$119),"")</f>
        <v/>
      </c>
      <c r="R132" s="120" t="str">
        <f>IF(AND('Mapa final'!$AB$120="Media",'Mapa final'!$AD$120="Moderado"),CONCATENATE("R38C",'Mapa final'!$R$120),"")</f>
        <v/>
      </c>
      <c r="S132" s="148" t="str">
        <f>IF(AND('Mapa final'!$AB$118="Media",'Mapa final'!$AD$118="Mayor"),CONCATENATE("R38C",'Mapa final'!$R$118),"")</f>
        <v/>
      </c>
      <c r="T132" s="149" t="str">
        <f>IF(AND('Mapa final'!$AB$119="Media",'Mapa final'!$AD$119="Mayor"),CONCATENATE("R38C",'Mapa final'!$R$119),"")</f>
        <v/>
      </c>
      <c r="U132" s="150" t="str">
        <f>IF(AND('Mapa final'!$AB$120="Media",'Mapa final'!$AD$120="Mayor"),CONCATENATE("R38C",'Mapa final'!$R$120),"")</f>
        <v/>
      </c>
      <c r="V132" s="114" t="str">
        <f>IF(AND('Mapa final'!$AB$118="Media",'Mapa final'!$AD$118="Catastrófico"),CONCATENATE("R38C",'Mapa final'!$R$118),"")</f>
        <v/>
      </c>
      <c r="W132" s="142" t="str">
        <f>IF(AND('Mapa final'!$AB$119="Media",'Mapa final'!$AD$119="Catastrófico"),CONCATENATE("R38C",'Mapa final'!$R$119),"")</f>
        <v/>
      </c>
      <c r="X132" s="115" t="str">
        <f>IF(AND('Mapa final'!$AB$120="Media",'Mapa final'!$AD$120="Catastrófico"),CONCATENATE("R38C",'Mapa final'!$R$120),"")</f>
        <v/>
      </c>
      <c r="Y132" s="38"/>
      <c r="Z132" s="323"/>
      <c r="AA132" s="324"/>
      <c r="AB132" s="324"/>
      <c r="AC132" s="324"/>
      <c r="AD132" s="324"/>
      <c r="AE132" s="325"/>
      <c r="AF132" s="38"/>
      <c r="AG132" s="38"/>
      <c r="AH132" s="38"/>
      <c r="AI132" s="38"/>
      <c r="AJ132" s="38"/>
      <c r="AK132" s="38"/>
      <c r="AL132" s="38"/>
      <c r="AM132" s="38"/>
      <c r="AN132" s="38"/>
      <c r="AO132" s="38"/>
      <c r="AP132" s="38"/>
      <c r="AQ132" s="38"/>
      <c r="AR132" s="38"/>
      <c r="AS132" s="38"/>
      <c r="AT132" s="38"/>
      <c r="AU132" s="38"/>
      <c r="AV132" s="38"/>
      <c r="AW132" s="38"/>
      <c r="AX132" s="38"/>
      <c r="AY132" s="38"/>
      <c r="AZ132" s="38"/>
      <c r="BA132" s="38"/>
      <c r="BB132" s="38"/>
      <c r="BC132" s="38"/>
      <c r="BD132" s="38"/>
      <c r="BE132" s="38"/>
      <c r="BF132" s="38"/>
      <c r="BG132" s="38"/>
      <c r="BH132" s="38"/>
      <c r="BI132" s="38"/>
    </row>
    <row r="133" spans="1:61" ht="15" customHeight="1" x14ac:dyDescent="0.3">
      <c r="A133" s="38"/>
      <c r="B133" s="306"/>
      <c r="C133" s="307"/>
      <c r="D133" s="308"/>
      <c r="E133" s="290"/>
      <c r="F133" s="289"/>
      <c r="G133" s="289"/>
      <c r="H133" s="289"/>
      <c r="I133" s="289"/>
      <c r="J133" s="119" t="str">
        <f>IF(AND('Mapa final'!$AB$121="Media",'Mapa final'!$AD$121="Leve"),CONCATENATE("R39C",'Mapa final'!$R$121),"")</f>
        <v/>
      </c>
      <c r="K133" s="143" t="str">
        <f>IF(AND('Mapa final'!$AB$122="Media",'Mapa final'!$AD$122="Leve"),CONCATENATE("R39C",'Mapa final'!$R$122),"")</f>
        <v/>
      </c>
      <c r="L133" s="120" t="str">
        <f>IF(AND('Mapa final'!$AB$123="Media",'Mapa final'!$AD$123="Leve"),CONCATENATE("R39C",'Mapa final'!$R$123),"")</f>
        <v/>
      </c>
      <c r="M133" s="119" t="str">
        <f>IF(AND('Mapa final'!$AB$121="Media",'Mapa final'!$AD$121="Menor"),CONCATENATE("R39C",'Mapa final'!$R$121),"")</f>
        <v/>
      </c>
      <c r="N133" s="143" t="str">
        <f>IF(AND('Mapa final'!$AB$122="Media",'Mapa final'!$AD$122="Menor"),CONCATENATE("R39C",'Mapa final'!$R$122),"")</f>
        <v/>
      </c>
      <c r="O133" s="120" t="str">
        <f>IF(AND('Mapa final'!$AB$123="Media",'Mapa final'!$AD$123="Menor"),CONCATENATE("R39C",'Mapa final'!$R$123),"")</f>
        <v/>
      </c>
      <c r="P133" s="119" t="str">
        <f>IF(AND('Mapa final'!$AB$121="Media",'Mapa final'!$AD$121="Moderado"),CONCATENATE("R39C",'Mapa final'!$R$121),"")</f>
        <v/>
      </c>
      <c r="Q133" s="143" t="str">
        <f>IF(AND('Mapa final'!$AB$122="Media",'Mapa final'!$AD$122="Moderado"),CONCATENATE("R39C",'Mapa final'!$R$122),"")</f>
        <v/>
      </c>
      <c r="R133" s="120" t="str">
        <f>IF(AND('Mapa final'!$AB$123="Media",'Mapa final'!$AD$123="Moderado"),CONCATENATE("R39C",'Mapa final'!$R$123),"")</f>
        <v/>
      </c>
      <c r="S133" s="148" t="str">
        <f>IF(AND('Mapa final'!$AB$121="Media",'Mapa final'!$AD$121="Mayor"),CONCATENATE("R39C",'Mapa final'!$R$121),"")</f>
        <v/>
      </c>
      <c r="T133" s="149" t="str">
        <f>IF(AND('Mapa final'!$AB$122="Media",'Mapa final'!$AD$122="Mayor"),CONCATENATE("R39C",'Mapa final'!$R$122),"")</f>
        <v/>
      </c>
      <c r="U133" s="150" t="str">
        <f>IF(AND('Mapa final'!$AB$123="Media",'Mapa final'!$AD$123="Mayor"),CONCATENATE("R39C",'Mapa final'!$R$123),"")</f>
        <v/>
      </c>
      <c r="V133" s="114" t="str">
        <f>IF(AND('Mapa final'!$AB$121="Media",'Mapa final'!$AD$121="Catastrófico"),CONCATENATE("R39C",'Mapa final'!$R$121),"")</f>
        <v/>
      </c>
      <c r="W133" s="142" t="str">
        <f>IF(AND('Mapa final'!$AB$122="Media",'Mapa final'!$AD$122="Catastrófico"),CONCATENATE("R39C",'Mapa final'!$R$122),"")</f>
        <v/>
      </c>
      <c r="X133" s="115" t="str">
        <f>IF(AND('Mapa final'!$AB$123="Media",'Mapa final'!$AD$123="Catastrófico"),CONCATENATE("R39C",'Mapa final'!$R$123),"")</f>
        <v/>
      </c>
      <c r="Y133" s="38"/>
      <c r="Z133" s="323"/>
      <c r="AA133" s="324"/>
      <c r="AB133" s="324"/>
      <c r="AC133" s="324"/>
      <c r="AD133" s="324"/>
      <c r="AE133" s="325"/>
      <c r="AF133" s="38"/>
      <c r="AG133" s="38"/>
      <c r="AH133" s="38"/>
      <c r="AI133" s="38"/>
      <c r="AJ133" s="38"/>
      <c r="AK133" s="38"/>
      <c r="AL133" s="38"/>
      <c r="AM133" s="38"/>
      <c r="AN133" s="38"/>
      <c r="AO133" s="38"/>
      <c r="AP133" s="38"/>
      <c r="AQ133" s="38"/>
      <c r="AR133" s="38"/>
      <c r="AS133" s="38"/>
      <c r="AT133" s="38"/>
      <c r="AU133" s="38"/>
      <c r="AV133" s="38"/>
      <c r="AW133" s="38"/>
      <c r="AX133" s="38"/>
      <c r="AY133" s="38"/>
      <c r="AZ133" s="38"/>
      <c r="BA133" s="38"/>
      <c r="BB133" s="38"/>
      <c r="BC133" s="38"/>
      <c r="BD133" s="38"/>
      <c r="BE133" s="38"/>
      <c r="BF133" s="38"/>
      <c r="BG133" s="38"/>
      <c r="BH133" s="38"/>
      <c r="BI133" s="38"/>
    </row>
    <row r="134" spans="1:61" ht="15" customHeight="1" x14ac:dyDescent="0.3">
      <c r="A134" s="38"/>
      <c r="B134" s="306"/>
      <c r="C134" s="307"/>
      <c r="D134" s="308"/>
      <c r="E134" s="290"/>
      <c r="F134" s="289"/>
      <c r="G134" s="289"/>
      <c r="H134" s="289"/>
      <c r="I134" s="289"/>
      <c r="J134" s="119" t="str">
        <f>IF(AND('Mapa final'!$AB$124="Media",'Mapa final'!$AD$124="Leve"),CONCATENATE("R40C",'Mapa final'!$R$124),"")</f>
        <v/>
      </c>
      <c r="K134" s="143" t="str">
        <f>IF(AND('Mapa final'!$AB$125="Media",'Mapa final'!$AD$125="Leve"),CONCATENATE("R40C",'Mapa final'!$R$125),"")</f>
        <v/>
      </c>
      <c r="L134" s="120" t="str">
        <f>IF(AND('Mapa final'!$AB$126="Media",'Mapa final'!$AD$126="Leve"),CONCATENATE("R40C",'Mapa final'!$R$126),"")</f>
        <v/>
      </c>
      <c r="M134" s="119" t="str">
        <f>IF(AND('Mapa final'!$AB$124="Media",'Mapa final'!$AD$124="Menor"),CONCATENATE("R40C",'Mapa final'!$R$124),"")</f>
        <v/>
      </c>
      <c r="N134" s="143" t="str">
        <f>IF(AND('Mapa final'!$AB$125="Media",'Mapa final'!$AD$125="Menor"),CONCATENATE("R40C",'Mapa final'!$R$125),"")</f>
        <v/>
      </c>
      <c r="O134" s="120" t="str">
        <f>IF(AND('Mapa final'!$AB$126="Media",'Mapa final'!$AD$126="Menor"),CONCATENATE("R40C",'Mapa final'!$R$126),"")</f>
        <v/>
      </c>
      <c r="P134" s="119" t="str">
        <f>IF(AND('Mapa final'!$AB$124="Media",'Mapa final'!$AD$124="Moderado"),CONCATENATE("R40C",'Mapa final'!$R$124),"")</f>
        <v/>
      </c>
      <c r="Q134" s="143" t="str">
        <f>IF(AND('Mapa final'!$AB$125="Media",'Mapa final'!$AD$125="Moderado"),CONCATENATE("R40C",'Mapa final'!$R$125),"")</f>
        <v/>
      </c>
      <c r="R134" s="120" t="str">
        <f>IF(AND('Mapa final'!$AB$126="Media",'Mapa final'!$AD$126="Moderado"),CONCATENATE("R40C",'Mapa final'!$R$126),"")</f>
        <v/>
      </c>
      <c r="S134" s="148" t="str">
        <f>IF(AND('Mapa final'!$AB$124="Media",'Mapa final'!$AD$124="Mayor"),CONCATENATE("R40C",'Mapa final'!$R$124),"")</f>
        <v/>
      </c>
      <c r="T134" s="149" t="str">
        <f>IF(AND('Mapa final'!$AB$125="Media",'Mapa final'!$AD$125="Mayor"),CONCATENATE("R40C",'Mapa final'!$R$125),"")</f>
        <v/>
      </c>
      <c r="U134" s="150" t="str">
        <f>IF(AND('Mapa final'!$AB$126="Media",'Mapa final'!$AD$126="Mayor"),CONCATENATE("R40C",'Mapa final'!$R$126),"")</f>
        <v/>
      </c>
      <c r="V134" s="114" t="str">
        <f>IF(AND('Mapa final'!$AB$124="Media",'Mapa final'!$AD$124="Catastrófico"),CONCATENATE("R40C",'Mapa final'!$R$124),"")</f>
        <v/>
      </c>
      <c r="W134" s="142" t="str">
        <f>IF(AND('Mapa final'!$AB$125="Media",'Mapa final'!$AD$125="Catastrófico"),CONCATENATE("R40C",'Mapa final'!$R$125),"")</f>
        <v/>
      </c>
      <c r="X134" s="115" t="str">
        <f>IF(AND('Mapa final'!$AB$126="Media",'Mapa final'!$AD$126="Catastrófico"),CONCATENATE("R40C",'Mapa final'!$R$126),"")</f>
        <v/>
      </c>
      <c r="Y134" s="38"/>
      <c r="Z134" s="323"/>
      <c r="AA134" s="324"/>
      <c r="AB134" s="324"/>
      <c r="AC134" s="324"/>
      <c r="AD134" s="324"/>
      <c r="AE134" s="325"/>
      <c r="AF134" s="38"/>
      <c r="AG134" s="38"/>
      <c r="AH134" s="38"/>
      <c r="AI134" s="38"/>
      <c r="AJ134" s="38"/>
      <c r="AK134" s="38"/>
      <c r="AL134" s="38"/>
      <c r="AM134" s="38"/>
      <c r="AN134" s="38"/>
      <c r="AO134" s="38"/>
      <c r="AP134" s="38"/>
      <c r="AQ134" s="38"/>
      <c r="AR134" s="38"/>
      <c r="AS134" s="38"/>
      <c r="AT134" s="38"/>
      <c r="AU134" s="38"/>
      <c r="AV134" s="38"/>
      <c r="AW134" s="38"/>
      <c r="AX134" s="38"/>
      <c r="AY134" s="38"/>
      <c r="AZ134" s="38"/>
      <c r="BA134" s="38"/>
      <c r="BB134" s="38"/>
      <c r="BC134" s="38"/>
      <c r="BD134" s="38"/>
      <c r="BE134" s="38"/>
      <c r="BF134" s="38"/>
      <c r="BG134" s="38"/>
      <c r="BH134" s="38"/>
      <c r="BI134" s="38"/>
    </row>
    <row r="135" spans="1:61" ht="15" customHeight="1" x14ac:dyDescent="0.3">
      <c r="A135" s="38"/>
      <c r="B135" s="306"/>
      <c r="C135" s="307"/>
      <c r="D135" s="308"/>
      <c r="E135" s="290"/>
      <c r="F135" s="289"/>
      <c r="G135" s="289"/>
      <c r="H135" s="289"/>
      <c r="I135" s="289"/>
      <c r="J135" s="119" t="str">
        <f>IF(AND('Mapa final'!$AB$130="Media",'Mapa final'!$AD$130="Leve"),CONCATENATE("R41C",'Mapa final'!$R$130),"")</f>
        <v/>
      </c>
      <c r="K135" s="143" t="str">
        <f>IF(AND('Mapa final'!$AB$131="Media",'Mapa final'!$AD$131="Leve"),CONCATENATE("R41C",'Mapa final'!$R$131),"")</f>
        <v/>
      </c>
      <c r="L135" s="120" t="str">
        <f>IF(AND('Mapa final'!$AB$132="Media",'Mapa final'!$AD$132="Leve"),CONCATENATE("R41C",'Mapa final'!$R$132),"")</f>
        <v/>
      </c>
      <c r="M135" s="119" t="str">
        <f>IF(AND('Mapa final'!$AB$130="Media",'Mapa final'!$AD$130="Menor"),CONCATENATE("R41C",'Mapa final'!$R$130),"")</f>
        <v/>
      </c>
      <c r="N135" s="143" t="str">
        <f>IF(AND('Mapa final'!$AB$131="Media",'Mapa final'!$AD$131="Menor"),CONCATENATE("R41C",'Mapa final'!$R$131),"")</f>
        <v/>
      </c>
      <c r="O135" s="120" t="str">
        <f>IF(AND('Mapa final'!$AB$132="Media",'Mapa final'!$AD$132="Menor"),CONCATENATE("R41C",'Mapa final'!$R$132),"")</f>
        <v/>
      </c>
      <c r="P135" s="119" t="str">
        <f>IF(AND('Mapa final'!$AB$130="Media",'Mapa final'!$AD$130="Moderado"),CONCATENATE("R41C",'Mapa final'!$R$130),"")</f>
        <v/>
      </c>
      <c r="Q135" s="143" t="str">
        <f>IF(AND('Mapa final'!$AB$131="Media",'Mapa final'!$AD$131="Moderado"),CONCATENATE("R41C",'Mapa final'!$R$131),"")</f>
        <v/>
      </c>
      <c r="R135" s="120" t="str">
        <f>IF(AND('Mapa final'!$AB$132="Media",'Mapa final'!$AD$132="Moderado"),CONCATENATE("R41C",'Mapa final'!$R$132),"")</f>
        <v/>
      </c>
      <c r="S135" s="148" t="str">
        <f>IF(AND('Mapa final'!$AB$130="Media",'Mapa final'!$AD$130="Mayor"),CONCATENATE("R41C",'Mapa final'!$R$130),"")</f>
        <v/>
      </c>
      <c r="T135" s="149" t="str">
        <f>IF(AND('Mapa final'!$AB$131="Media",'Mapa final'!$AD$131="Mayor"),CONCATENATE("R41C",'Mapa final'!$R$131),"")</f>
        <v/>
      </c>
      <c r="U135" s="150" t="str">
        <f>IF(AND('Mapa final'!$AB$132="Media",'Mapa final'!$AD$132="Mayor"),CONCATENATE("R41C",'Mapa final'!$R$132),"")</f>
        <v/>
      </c>
      <c r="V135" s="114" t="str">
        <f>IF(AND('Mapa final'!$AB$130="Media",'Mapa final'!$AD$130="Catastrófico"),CONCATENATE("R41C",'Mapa final'!$R$130),"")</f>
        <v/>
      </c>
      <c r="W135" s="142" t="str">
        <f>IF(AND('Mapa final'!$AB$131="Media",'Mapa final'!$AD$131="Catastrófico"),CONCATENATE("R41C",'Mapa final'!$R$131),"")</f>
        <v/>
      </c>
      <c r="X135" s="115" t="str">
        <f>IF(AND('Mapa final'!$AB$132="Media",'Mapa final'!$AD$132="Catastrófico"),CONCATENATE("R41C",'Mapa final'!$R$132),"")</f>
        <v/>
      </c>
      <c r="Y135" s="38"/>
      <c r="Z135" s="323"/>
      <c r="AA135" s="324"/>
      <c r="AB135" s="324"/>
      <c r="AC135" s="324"/>
      <c r="AD135" s="324"/>
      <c r="AE135" s="325"/>
      <c r="AF135" s="38"/>
      <c r="AG135" s="38"/>
      <c r="AH135" s="38"/>
      <c r="AI135" s="38"/>
      <c r="AJ135" s="38"/>
      <c r="AK135" s="38"/>
      <c r="AL135" s="38"/>
      <c r="AM135" s="38"/>
      <c r="AN135" s="38"/>
      <c r="AO135" s="38"/>
      <c r="AP135" s="38"/>
      <c r="AQ135" s="38"/>
      <c r="AR135" s="38"/>
      <c r="AS135" s="38"/>
      <c r="AT135" s="38"/>
      <c r="AU135" s="38"/>
      <c r="AV135" s="38"/>
      <c r="AW135" s="38"/>
      <c r="AX135" s="38"/>
      <c r="AY135" s="38"/>
      <c r="AZ135" s="38"/>
      <c r="BA135" s="38"/>
      <c r="BB135" s="38"/>
      <c r="BC135" s="38"/>
      <c r="BD135" s="38"/>
      <c r="BE135" s="38"/>
      <c r="BF135" s="38"/>
      <c r="BG135" s="38"/>
      <c r="BH135" s="38"/>
      <c r="BI135" s="38"/>
    </row>
    <row r="136" spans="1:61" ht="15" customHeight="1" x14ac:dyDescent="0.3">
      <c r="A136" s="38"/>
      <c r="B136" s="306"/>
      <c r="C136" s="307"/>
      <c r="D136" s="308"/>
      <c r="E136" s="290"/>
      <c r="F136" s="289"/>
      <c r="G136" s="289"/>
      <c r="H136" s="289"/>
      <c r="I136" s="289"/>
      <c r="J136" s="119" t="str">
        <f>IF(AND('Mapa final'!$AB$133="Media",'Mapa final'!$AD$133="Leve"),CONCATENATE("R42C",'Mapa final'!$R$133),"")</f>
        <v/>
      </c>
      <c r="K136" s="143" t="str">
        <f>IF(AND('Mapa final'!$AB$134="Media",'Mapa final'!$AD$134="Leve"),CONCATENATE("R42C",'Mapa final'!$R$134),"")</f>
        <v/>
      </c>
      <c r="L136" s="120" t="str">
        <f>IF(AND('Mapa final'!$AB$135="Media",'Mapa final'!$AD$135="Leve"),CONCATENATE("R42C",'Mapa final'!$R$135),"")</f>
        <v/>
      </c>
      <c r="M136" s="119" t="str">
        <f>IF(AND('Mapa final'!$AB$133="Media",'Mapa final'!$AD$133="Menor"),CONCATENATE("R42C",'Mapa final'!$R$133),"")</f>
        <v/>
      </c>
      <c r="N136" s="143" t="str">
        <f>IF(AND('Mapa final'!$AB$134="Media",'Mapa final'!$AD$134="Menor"),CONCATENATE("R42C",'Mapa final'!$R$134),"")</f>
        <v/>
      </c>
      <c r="O136" s="120" t="str">
        <f>IF(AND('Mapa final'!$AB$135="Media",'Mapa final'!$AD$135="Menor"),CONCATENATE("R42C",'Mapa final'!$R$135),"")</f>
        <v/>
      </c>
      <c r="P136" s="119" t="str">
        <f>IF(AND('Mapa final'!$AB$133="Media",'Mapa final'!$AD$133="Moderado"),CONCATENATE("R42C",'Mapa final'!$R$133),"")</f>
        <v/>
      </c>
      <c r="Q136" s="143" t="str">
        <f>IF(AND('Mapa final'!$AB$134="Media",'Mapa final'!$AD$134="Moderado"),CONCATENATE("R42C",'Mapa final'!$R$134),"")</f>
        <v/>
      </c>
      <c r="R136" s="120" t="str">
        <f>IF(AND('Mapa final'!$AB$135="Media",'Mapa final'!$AD$135="Moderado"),CONCATENATE("R42C",'Mapa final'!$R$135),"")</f>
        <v/>
      </c>
      <c r="S136" s="148" t="str">
        <f>IF(AND('Mapa final'!$AB$133="Media",'Mapa final'!$AD$133="Mayor"),CONCATENATE("R42C",'Mapa final'!$R$133),"")</f>
        <v/>
      </c>
      <c r="T136" s="149" t="str">
        <f>IF(AND('Mapa final'!$AB$134="Media",'Mapa final'!$AD$134="Mayor"),CONCATENATE("R42C",'Mapa final'!$R$134),"")</f>
        <v/>
      </c>
      <c r="U136" s="150" t="str">
        <f>IF(AND('Mapa final'!$AB$135="Media",'Mapa final'!$AD$135="Mayor"),CONCATENATE("R42C",'Mapa final'!$R$135),"")</f>
        <v/>
      </c>
      <c r="V136" s="114" t="str">
        <f>IF(AND('Mapa final'!$AB$133="Media",'Mapa final'!$AD$133="Catastrófico"),CONCATENATE("R42C",'Mapa final'!$R$133),"")</f>
        <v/>
      </c>
      <c r="W136" s="142" t="str">
        <f>IF(AND('Mapa final'!$AB$134="Media",'Mapa final'!$AD$134="Catastrófico"),CONCATENATE("R42C",'Mapa final'!$R$134),"")</f>
        <v/>
      </c>
      <c r="X136" s="115" t="str">
        <f>IF(AND('Mapa final'!$AB$135="Media",'Mapa final'!$AD$135="Catastrófico"),CONCATENATE("R42C",'Mapa final'!$R$135),"")</f>
        <v/>
      </c>
      <c r="Y136" s="38"/>
      <c r="Z136" s="323"/>
      <c r="AA136" s="324"/>
      <c r="AB136" s="324"/>
      <c r="AC136" s="324"/>
      <c r="AD136" s="324"/>
      <c r="AE136" s="325"/>
      <c r="AF136" s="38"/>
      <c r="AG136" s="38"/>
      <c r="AH136" s="38"/>
      <c r="AI136" s="38"/>
      <c r="AJ136" s="38"/>
      <c r="AK136" s="38"/>
      <c r="AL136" s="38"/>
      <c r="AM136" s="38"/>
      <c r="AN136" s="38"/>
      <c r="AO136" s="38"/>
      <c r="AP136" s="38"/>
      <c r="AQ136" s="38"/>
      <c r="AR136" s="38"/>
      <c r="AS136" s="38"/>
      <c r="AT136" s="38"/>
      <c r="AU136" s="38"/>
      <c r="AV136" s="38"/>
      <c r="AW136" s="38"/>
      <c r="AX136" s="38"/>
      <c r="AY136" s="38"/>
      <c r="AZ136" s="38"/>
      <c r="BA136" s="38"/>
      <c r="BB136" s="38"/>
      <c r="BC136" s="38"/>
      <c r="BD136" s="38"/>
      <c r="BE136" s="38"/>
      <c r="BF136" s="38"/>
      <c r="BG136" s="38"/>
      <c r="BH136" s="38"/>
      <c r="BI136" s="38"/>
    </row>
    <row r="137" spans="1:61" ht="15" customHeight="1" thickBot="1" x14ac:dyDescent="0.35">
      <c r="A137" s="38"/>
      <c r="B137" s="306"/>
      <c r="C137" s="307"/>
      <c r="D137" s="308"/>
      <c r="E137" s="290"/>
      <c r="F137" s="289"/>
      <c r="G137" s="289"/>
      <c r="H137" s="289"/>
      <c r="I137" s="289"/>
      <c r="J137" s="119" t="str">
        <f>IF(AND('Mapa final'!$AB$136="Media",'Mapa final'!$AD$136="Leve"),CONCATENATE("R43C",'Mapa final'!$R$136),"")</f>
        <v/>
      </c>
      <c r="K137" s="143" t="str">
        <f>IF(AND('Mapa final'!$AB$137="Media",'Mapa final'!$AD$137="Leve"),CONCATENATE("R43C",'Mapa final'!$R$137),"")</f>
        <v/>
      </c>
      <c r="L137" s="120" t="str">
        <f>IF(AND('Mapa final'!$AB$138="Media",'Mapa final'!$AD$138="Leve"),CONCATENATE("R43C",'Mapa final'!$R$138),"")</f>
        <v/>
      </c>
      <c r="M137" s="119" t="str">
        <f>IF(AND('Mapa final'!$AB$136="Media",'Mapa final'!$AD$136="Menor"),CONCATENATE("R43C",'Mapa final'!$R$136),"")</f>
        <v/>
      </c>
      <c r="N137" s="143" t="str">
        <f>IF(AND('Mapa final'!$AB$137="Media",'Mapa final'!$AD$137="Menor"),CONCATENATE("R43C",'Mapa final'!$R$137),"")</f>
        <v/>
      </c>
      <c r="O137" s="120" t="str">
        <f>IF(AND('Mapa final'!$AB$138="Media",'Mapa final'!$AD$138="Menor"),CONCATENATE("R43C",'Mapa final'!$R$138),"")</f>
        <v/>
      </c>
      <c r="P137" s="119" t="str">
        <f>IF(AND('Mapa final'!$AB$136="Media",'Mapa final'!$AD$136="Moderado"),CONCATENATE("R43C",'Mapa final'!$R$136),"")</f>
        <v/>
      </c>
      <c r="Q137" s="143" t="str">
        <f>IF(AND('Mapa final'!$AB$137="Media",'Mapa final'!$AD$137="Moderado"),CONCATENATE("R43C",'Mapa final'!$R$137),"")</f>
        <v/>
      </c>
      <c r="R137" s="120" t="str">
        <f>IF(AND('Mapa final'!$AB$138="Media",'Mapa final'!$AD$138="Moderado"),CONCATENATE("R43C",'Mapa final'!$R$138),"")</f>
        <v/>
      </c>
      <c r="S137" s="148" t="str">
        <f>IF(AND('Mapa final'!$AB$136="Media",'Mapa final'!$AD$136="Mayor"),CONCATENATE("R43C",'Mapa final'!$R$136),"")</f>
        <v/>
      </c>
      <c r="T137" s="149" t="str">
        <f>IF(AND('Mapa final'!$AB$137="Media",'Mapa final'!$AD$137="Mayor"),CONCATENATE("R43C",'Mapa final'!$R$137),"")</f>
        <v/>
      </c>
      <c r="U137" s="150" t="str">
        <f>IF(AND('Mapa final'!$AB$138="Media",'Mapa final'!$AD$138="Mayor"),CONCATENATE("R43C",'Mapa final'!$R$138),"")</f>
        <v/>
      </c>
      <c r="V137" s="114" t="str">
        <f>IF(AND('Mapa final'!$AB$136="Media",'Mapa final'!$AD$136="Catastrófico"),CONCATENATE("R43C",'Mapa final'!$R$136),"")</f>
        <v/>
      </c>
      <c r="W137" s="142" t="str">
        <f>IF(AND('Mapa final'!$AB$137="Media",'Mapa final'!$AD$137="Catastrófico"),CONCATENATE("R43C",'Mapa final'!$R$137),"")</f>
        <v/>
      </c>
      <c r="X137" s="115" t="str">
        <f>IF(AND('Mapa final'!$AB$138="Media",'Mapa final'!$AD$138="Catastrófico"),CONCATENATE("R43C",'Mapa final'!$R$138),"")</f>
        <v/>
      </c>
      <c r="Y137" s="38"/>
      <c r="Z137" s="326"/>
      <c r="AA137" s="327"/>
      <c r="AB137" s="327"/>
      <c r="AC137" s="327"/>
      <c r="AD137" s="327"/>
      <c r="AE137" s="328"/>
      <c r="AF137" s="38"/>
      <c r="AG137" s="38"/>
      <c r="AH137" s="38"/>
      <c r="AI137" s="38"/>
      <c r="AJ137" s="38"/>
      <c r="AK137" s="38"/>
      <c r="AL137" s="38"/>
      <c r="AM137" s="38"/>
      <c r="AN137" s="38"/>
      <c r="AO137" s="38"/>
      <c r="AP137" s="38"/>
      <c r="AQ137" s="38"/>
      <c r="AR137" s="38"/>
      <c r="AS137" s="38"/>
      <c r="AT137" s="38"/>
      <c r="AU137" s="38"/>
      <c r="AV137" s="38"/>
      <c r="AW137" s="38"/>
      <c r="AX137" s="38"/>
      <c r="AY137" s="38"/>
      <c r="AZ137" s="38"/>
      <c r="BA137" s="38"/>
      <c r="BB137" s="38"/>
      <c r="BC137" s="38"/>
      <c r="BD137" s="38"/>
      <c r="BE137" s="38"/>
      <c r="BF137" s="38"/>
      <c r="BG137" s="38"/>
      <c r="BH137" s="38"/>
      <c r="BI137" s="38"/>
    </row>
    <row r="138" spans="1:61" ht="15" customHeight="1" x14ac:dyDescent="0.3">
      <c r="A138" s="38"/>
      <c r="B138" s="306"/>
      <c r="C138" s="307"/>
      <c r="D138" s="308"/>
      <c r="E138" s="286" t="s">
        <v>105</v>
      </c>
      <c r="F138" s="287"/>
      <c r="G138" s="287"/>
      <c r="H138" s="287"/>
      <c r="I138" s="287"/>
      <c r="J138" s="124" t="str">
        <f>IF(AND('Mapa final'!$AB$7="Baja",'Mapa final'!$AD$7="Leve"),CONCATENATE("R1C",'Mapa final'!$R$7),"")</f>
        <v/>
      </c>
      <c r="K138" s="125" t="str">
        <f>IF(AND('Mapa final'!$AB$8="Baja",'Mapa final'!$AD$8="Leve"),CONCATENATE("R1C",'Mapa final'!$R$8),"")</f>
        <v/>
      </c>
      <c r="L138" s="126" t="str">
        <f>IF(AND('Mapa final'!$AB$9="Baja",'Mapa final'!$AD$9="Leve"),CONCATENATE("R1C",'Mapa final'!$R$9),"")</f>
        <v/>
      </c>
      <c r="M138" s="116" t="str">
        <f>IF(AND('Mapa final'!$AB$7="Baja",'Mapa final'!$AD$7="Menor"),CONCATENATE("R1C",'Mapa final'!$R$7),"")</f>
        <v/>
      </c>
      <c r="N138" s="117" t="str">
        <f>IF(AND('Mapa final'!$AB$8="Baja",'Mapa final'!$AD$8="Menor"),CONCATENATE("R1C",'Mapa final'!$R$8),"")</f>
        <v/>
      </c>
      <c r="O138" s="118" t="str">
        <f>IF(AND('Mapa final'!$AB$9="Baja",'Mapa final'!$AD$9="Menor"),CONCATENATE("R1C",'Mapa final'!$R$9),"")</f>
        <v/>
      </c>
      <c r="P138" s="116" t="str">
        <f>IF(AND('Mapa final'!$AB$7="Baja",'Mapa final'!$AD$7="Moderado"),CONCATENATE("R1C",'Mapa final'!$R$7),"")</f>
        <v>R1C1</v>
      </c>
      <c r="Q138" s="117" t="str">
        <f>IF(AND('Mapa final'!$AB$8="Baja",'Mapa final'!$AD$8="Moderado"),CONCATENATE("R1C",'Mapa final'!$R$8),"")</f>
        <v>R1C2</v>
      </c>
      <c r="R138" s="118" t="str">
        <f>IF(AND('Mapa final'!$AB$9="Baja",'Mapa final'!$AD$9="Moderado"),CONCATENATE("R1C",'Mapa final'!$R$9),"")</f>
        <v/>
      </c>
      <c r="S138" s="145" t="str">
        <f>IF(AND('Mapa final'!$AB$7="Baja",'Mapa final'!$AD$7="Mayor"),CONCATENATE("R1C",'Mapa final'!$R$7),"")</f>
        <v/>
      </c>
      <c r="T138" s="146" t="str">
        <f>IF(AND('Mapa final'!$AB$8="Baja",'Mapa final'!$AD$8="Mayor"),CONCATENATE("R1C",'Mapa final'!$R$8),"")</f>
        <v/>
      </c>
      <c r="U138" s="147" t="str">
        <f>IF(AND('Mapa final'!$AB$9="Baja",'Mapa final'!$AD$9="Mayor"),CONCATENATE("R1C",'Mapa final'!$R$9),"")</f>
        <v/>
      </c>
      <c r="V138" s="111" t="str">
        <f>IF(AND('Mapa final'!$AB$7="Baja",'Mapa final'!$AD$7="Catastrófico"),CONCATENATE("R1C",'Mapa final'!$R$7),"")</f>
        <v/>
      </c>
      <c r="W138" s="112" t="str">
        <f>IF(AND('Mapa final'!$AB$8="Baja",'Mapa final'!$AD$8="Catastrófico"),CONCATENATE("R1C",'Mapa final'!$R$8),"")</f>
        <v/>
      </c>
      <c r="X138" s="113" t="str">
        <f>IF(AND('Mapa final'!$AB$9="Baja",'Mapa final'!$AD$9="Catastrófico"),CONCATENATE("R1C",'Mapa final'!$R$9),"")</f>
        <v/>
      </c>
      <c r="Y138" s="38"/>
      <c r="Z138" s="317" t="s">
        <v>76</v>
      </c>
      <c r="AA138" s="318"/>
      <c r="AB138" s="318"/>
      <c r="AC138" s="318"/>
      <c r="AD138" s="318"/>
      <c r="AE138" s="319"/>
      <c r="AF138" s="38"/>
      <c r="AG138" s="38"/>
      <c r="AH138" s="38"/>
      <c r="AI138" s="38"/>
      <c r="AJ138" s="38"/>
      <c r="AK138" s="38"/>
      <c r="AL138" s="38"/>
      <c r="AM138" s="38"/>
      <c r="AN138" s="38"/>
      <c r="AO138" s="38"/>
      <c r="AP138" s="38"/>
      <c r="AQ138" s="38"/>
      <c r="AR138" s="38"/>
      <c r="AS138" s="38"/>
      <c r="AT138" s="38"/>
      <c r="AU138" s="38"/>
      <c r="AV138" s="38"/>
      <c r="AW138" s="38"/>
      <c r="AX138" s="38"/>
      <c r="AY138" s="38"/>
      <c r="AZ138" s="38"/>
      <c r="BA138" s="38"/>
      <c r="BB138" s="38"/>
      <c r="BC138" s="38"/>
      <c r="BD138" s="38"/>
      <c r="BE138" s="38"/>
      <c r="BF138" s="38"/>
      <c r="BG138" s="38"/>
      <c r="BH138" s="38"/>
      <c r="BI138" s="38"/>
    </row>
    <row r="139" spans="1:61" ht="15" customHeight="1" x14ac:dyDescent="0.3">
      <c r="A139" s="38"/>
      <c r="B139" s="306"/>
      <c r="C139" s="307"/>
      <c r="D139" s="308"/>
      <c r="E139" s="288"/>
      <c r="F139" s="289"/>
      <c r="G139" s="289"/>
      <c r="H139" s="289"/>
      <c r="I139" s="289"/>
      <c r="J139" s="127" t="str">
        <f>IF(AND('Mapa final'!$AB$10="Baja",'Mapa final'!$AD$10="Leve"),CONCATENATE("R2C",'Mapa final'!$R$10),"")</f>
        <v/>
      </c>
      <c r="K139" s="144" t="str">
        <f>IF(AND('Mapa final'!$AB$11="Baja",'Mapa final'!$AD$11="Leve"),CONCATENATE("R2C",'Mapa final'!$R$11),"")</f>
        <v/>
      </c>
      <c r="L139" s="128" t="str">
        <f>IF(AND('Mapa final'!$AB$12="Baja",'Mapa final'!$AD$12="Leve"),CONCATENATE("R2C",'Mapa final'!$R$12),"")</f>
        <v/>
      </c>
      <c r="M139" s="119" t="str">
        <f>IF(AND('Mapa final'!$AB$10="Baja",'Mapa final'!$AD$10="Menor"),CONCATENATE("R2C",'Mapa final'!$R$10),"")</f>
        <v/>
      </c>
      <c r="N139" s="143" t="str">
        <f>IF(AND('Mapa final'!$AB$11="Baja",'Mapa final'!$AD$11="Menor"),CONCATENATE("R2C",'Mapa final'!$R$11),"")</f>
        <v/>
      </c>
      <c r="O139" s="120" t="str">
        <f>IF(AND('Mapa final'!$AB$12="Baja",'Mapa final'!$AD$12="Menor"),CONCATENATE("R2C",'Mapa final'!$R$12),"")</f>
        <v/>
      </c>
      <c r="P139" s="119" t="str">
        <f>IF(AND('Mapa final'!$AB$10="Baja",'Mapa final'!$AD$10="Moderado"),CONCATENATE("R2C",'Mapa final'!$R$10),"")</f>
        <v>R2C1</v>
      </c>
      <c r="Q139" s="143" t="str">
        <f>IF(AND('Mapa final'!$AB$11="Baja",'Mapa final'!$AD$11="Moderado"),CONCATENATE("R2C",'Mapa final'!$R$11),"")</f>
        <v/>
      </c>
      <c r="R139" s="120" t="str">
        <f>IF(AND('Mapa final'!$AB$12="Baja",'Mapa final'!$AD$12="Moderado"),CONCATENATE("R2C",'Mapa final'!$R$12),"")</f>
        <v/>
      </c>
      <c r="S139" s="148" t="str">
        <f>IF(AND('Mapa final'!$AB$10="Baja",'Mapa final'!$AD$10="Mayor"),CONCATENATE("R2C",'Mapa final'!$R$10),"")</f>
        <v/>
      </c>
      <c r="T139" s="149" t="str">
        <f>IF(AND('Mapa final'!$AB$11="Baja",'Mapa final'!$AD$11="Mayor"),CONCATENATE("R2C",'Mapa final'!$R$11),"")</f>
        <v/>
      </c>
      <c r="U139" s="150" t="str">
        <f>IF(AND('Mapa final'!$AB$12="Baja",'Mapa final'!$AD$12="Mayor"),CONCATENATE("R2C",'Mapa final'!$R$12),"")</f>
        <v/>
      </c>
      <c r="V139" s="114" t="str">
        <f>IF(AND('Mapa final'!$AB$10="Baja",'Mapa final'!$AD$10="Catastrófico"),CONCATENATE("R2C",'Mapa final'!$R$10),"")</f>
        <v/>
      </c>
      <c r="W139" s="142" t="str">
        <f>IF(AND('Mapa final'!$AB$11="Baja",'Mapa final'!$AD$11="Catastrófico"),CONCATENATE("R2C",'Mapa final'!$R$11),"")</f>
        <v/>
      </c>
      <c r="X139" s="115" t="str">
        <f>IF(AND('Mapa final'!$AB$12="Baja",'Mapa final'!$AD$12="Catastrófico"),CONCATENATE("R2C",'Mapa final'!$R$12),"")</f>
        <v/>
      </c>
      <c r="Y139" s="38"/>
      <c r="Z139" s="317"/>
      <c r="AA139" s="318"/>
      <c r="AB139" s="318"/>
      <c r="AC139" s="318"/>
      <c r="AD139" s="318"/>
      <c r="AE139" s="319"/>
      <c r="AF139" s="38"/>
      <c r="AG139" s="38"/>
      <c r="AH139" s="38"/>
      <c r="AI139" s="38"/>
      <c r="AJ139" s="38"/>
      <c r="AK139" s="38"/>
      <c r="AL139" s="38"/>
      <c r="AM139" s="38"/>
      <c r="AN139" s="38"/>
      <c r="AO139" s="38"/>
      <c r="AP139" s="38"/>
      <c r="AQ139" s="38"/>
      <c r="AR139" s="38"/>
      <c r="AS139" s="38"/>
      <c r="AT139" s="38"/>
      <c r="AU139" s="38"/>
      <c r="AV139" s="38"/>
      <c r="AW139" s="38"/>
      <c r="AX139" s="38"/>
      <c r="AY139" s="38"/>
      <c r="AZ139" s="38"/>
      <c r="BA139" s="38"/>
      <c r="BB139" s="38"/>
      <c r="BC139" s="38"/>
      <c r="BD139" s="38"/>
      <c r="BE139" s="38"/>
      <c r="BF139" s="38"/>
      <c r="BG139" s="38"/>
      <c r="BH139" s="38"/>
      <c r="BI139" s="38"/>
    </row>
    <row r="140" spans="1:61" ht="15" customHeight="1" x14ac:dyDescent="0.3">
      <c r="A140" s="38"/>
      <c r="B140" s="306"/>
      <c r="C140" s="307"/>
      <c r="D140" s="308"/>
      <c r="E140" s="288"/>
      <c r="F140" s="289"/>
      <c r="G140" s="289"/>
      <c r="H140" s="289"/>
      <c r="I140" s="289"/>
      <c r="J140" s="127" t="e">
        <f>IF(AND('Mapa final'!#REF!="Baja",'Mapa final'!#REF!="Leve"),CONCATENATE("R3C",'Mapa final'!#REF!),"")</f>
        <v>#REF!</v>
      </c>
      <c r="K140" s="144" t="e">
        <f>IF(AND('Mapa final'!#REF!="Baja",'Mapa final'!#REF!="Leve"),CONCATENATE("R3C",'Mapa final'!#REF!),"")</f>
        <v>#REF!</v>
      </c>
      <c r="L140" s="128" t="e">
        <f>IF(AND('Mapa final'!#REF!="Baja",'Mapa final'!#REF!="Leve"),CONCATENATE("R3C",'Mapa final'!#REF!),"")</f>
        <v>#REF!</v>
      </c>
      <c r="M140" s="119" t="e">
        <f>IF(AND('Mapa final'!#REF!="Baja",'Mapa final'!#REF!="Menor"),CONCATENATE("R3C",'Mapa final'!#REF!),"")</f>
        <v>#REF!</v>
      </c>
      <c r="N140" s="143" t="e">
        <f>IF(AND('Mapa final'!#REF!="Baja",'Mapa final'!#REF!="Menor"),CONCATENATE("R3C",'Mapa final'!#REF!),"")</f>
        <v>#REF!</v>
      </c>
      <c r="O140" s="120" t="e">
        <f>IF(AND('Mapa final'!#REF!="Baja",'Mapa final'!#REF!="Menor"),CONCATENATE("R3C",'Mapa final'!#REF!),"")</f>
        <v>#REF!</v>
      </c>
      <c r="P140" s="119" t="e">
        <f>IF(AND('Mapa final'!#REF!="Baja",'Mapa final'!#REF!="Moderado"),CONCATENATE("R3C",'Mapa final'!#REF!),"")</f>
        <v>#REF!</v>
      </c>
      <c r="Q140" s="143" t="e">
        <f>IF(AND('Mapa final'!#REF!="Baja",'Mapa final'!#REF!="Moderado"),CONCATENATE("R3C",'Mapa final'!#REF!),"")</f>
        <v>#REF!</v>
      </c>
      <c r="R140" s="120" t="e">
        <f>IF(AND('Mapa final'!#REF!="Baja",'Mapa final'!#REF!="Moderado"),CONCATENATE("R3C",'Mapa final'!#REF!),"")</f>
        <v>#REF!</v>
      </c>
      <c r="S140" s="148" t="e">
        <f>IF(AND('Mapa final'!#REF!="Baja",'Mapa final'!#REF!="Mayor"),CONCATENATE("R3C",'Mapa final'!#REF!),"")</f>
        <v>#REF!</v>
      </c>
      <c r="T140" s="149" t="e">
        <f>IF(AND('Mapa final'!#REF!="Baja",'Mapa final'!#REF!="Mayor"),CONCATENATE("R3C",'Mapa final'!#REF!),"")</f>
        <v>#REF!</v>
      </c>
      <c r="U140" s="150" t="e">
        <f>IF(AND('Mapa final'!#REF!="Baja",'Mapa final'!#REF!="Mayor"),CONCATENATE("R3C",'Mapa final'!#REF!),"")</f>
        <v>#REF!</v>
      </c>
      <c r="V140" s="114" t="e">
        <f>IF(AND('Mapa final'!#REF!="Baja",'Mapa final'!#REF!="Catastrófico"),CONCATENATE("R3C",'Mapa final'!#REF!),"")</f>
        <v>#REF!</v>
      </c>
      <c r="W140" s="142" t="e">
        <f>IF(AND('Mapa final'!#REF!="Baja",'Mapa final'!#REF!="Catastrófico"),CONCATENATE("R3C",'Mapa final'!#REF!),"")</f>
        <v>#REF!</v>
      </c>
      <c r="X140" s="115" t="e">
        <f>IF(AND('Mapa final'!#REF!="Baja",'Mapa final'!#REF!="Catastrófico"),CONCATENATE("R3C",'Mapa final'!#REF!),"")</f>
        <v>#REF!</v>
      </c>
      <c r="Y140" s="38"/>
      <c r="Z140" s="317"/>
      <c r="AA140" s="318"/>
      <c r="AB140" s="318"/>
      <c r="AC140" s="318"/>
      <c r="AD140" s="318"/>
      <c r="AE140" s="319"/>
      <c r="AF140" s="38"/>
      <c r="AG140" s="38"/>
      <c r="AH140" s="38"/>
      <c r="AI140" s="38"/>
      <c r="AJ140" s="38"/>
      <c r="AK140" s="38"/>
      <c r="AL140" s="38"/>
      <c r="AM140" s="38"/>
      <c r="AN140" s="38"/>
      <c r="AO140" s="38"/>
      <c r="AP140" s="38"/>
      <c r="AQ140" s="38"/>
      <c r="AR140" s="38"/>
      <c r="AS140" s="38"/>
      <c r="AT140" s="38"/>
      <c r="AU140" s="38"/>
      <c r="AV140" s="38"/>
      <c r="AW140" s="38"/>
      <c r="AX140" s="38"/>
      <c r="AY140" s="38"/>
      <c r="AZ140" s="38"/>
      <c r="BA140" s="38"/>
      <c r="BB140" s="38"/>
      <c r="BC140" s="38"/>
      <c r="BD140" s="38"/>
      <c r="BE140" s="38"/>
      <c r="BF140" s="38"/>
      <c r="BG140" s="38"/>
      <c r="BH140" s="38"/>
      <c r="BI140" s="38"/>
    </row>
    <row r="141" spans="1:61" ht="15" customHeight="1" x14ac:dyDescent="0.3">
      <c r="A141" s="38"/>
      <c r="B141" s="306"/>
      <c r="C141" s="307"/>
      <c r="D141" s="308"/>
      <c r="E141" s="288"/>
      <c r="F141" s="289"/>
      <c r="G141" s="289"/>
      <c r="H141" s="289"/>
      <c r="I141" s="289"/>
      <c r="J141" s="127" t="str">
        <f>IF(AND('Mapa final'!$AB$13="Baja",'Mapa final'!$AD$13="Leve"),CONCATENATE("R4C",'Mapa final'!$R$13),"")</f>
        <v/>
      </c>
      <c r="K141" s="144" t="str">
        <f>IF(AND('Mapa final'!$AB$14="Baja",'Mapa final'!$AD$14="Leve"),CONCATENATE("R4C",'Mapa final'!$R$14),"")</f>
        <v/>
      </c>
      <c r="L141" s="128" t="str">
        <f>IF(AND('Mapa final'!$AB$15="Baja",'Mapa final'!$AD$15="Leve"),CONCATENATE("R4C",'Mapa final'!$R$15),"")</f>
        <v/>
      </c>
      <c r="M141" s="119" t="str">
        <f>IF(AND('Mapa final'!$AB$13="Baja",'Mapa final'!$AD$13="Menor"),CONCATENATE("R4C",'Mapa final'!$R$13),"")</f>
        <v/>
      </c>
      <c r="N141" s="143" t="str">
        <f>IF(AND('Mapa final'!$AB$14="Baja",'Mapa final'!$AD$14="Menor"),CONCATENATE("R4C",'Mapa final'!$R$14),"")</f>
        <v/>
      </c>
      <c r="O141" s="120" t="str">
        <f>IF(AND('Mapa final'!$AB$15="Baja",'Mapa final'!$AD$15="Menor"),CONCATENATE("R4C",'Mapa final'!$R$15),"")</f>
        <v/>
      </c>
      <c r="P141" s="119" t="str">
        <f>IF(AND('Mapa final'!$AB$13="Baja",'Mapa final'!$AD$13="Moderado"),CONCATENATE("R4C",'Mapa final'!$R$13),"")</f>
        <v/>
      </c>
      <c r="Q141" s="143" t="str">
        <f>IF(AND('Mapa final'!$AB$14="Baja",'Mapa final'!$AD$14="Moderado"),CONCATENATE("R4C",'Mapa final'!$R$14),"")</f>
        <v/>
      </c>
      <c r="R141" s="120" t="str">
        <f>IF(AND('Mapa final'!$AB$15="Baja",'Mapa final'!$AD$15="Moderado"),CONCATENATE("R4C",'Mapa final'!$R$15),"")</f>
        <v/>
      </c>
      <c r="S141" s="148" t="str">
        <f>IF(AND('Mapa final'!$AB$13="Baja",'Mapa final'!$AD$13="Mayor"),CONCATENATE("R4C",'Mapa final'!$R$13),"")</f>
        <v/>
      </c>
      <c r="T141" s="149" t="str">
        <f>IF(AND('Mapa final'!$AB$14="Baja",'Mapa final'!$AD$14="Mayor"),CONCATENATE("R4C",'Mapa final'!$R$14),"")</f>
        <v/>
      </c>
      <c r="U141" s="150" t="str">
        <f>IF(AND('Mapa final'!$AB$15="Baja",'Mapa final'!$AD$15="Mayor"),CONCATENATE("R4C",'Mapa final'!$R$15),"")</f>
        <v/>
      </c>
      <c r="V141" s="114" t="str">
        <f>IF(AND('Mapa final'!$AB$13="Baja",'Mapa final'!$AD$13="Catastrófico"),CONCATENATE("R4C",'Mapa final'!$R$13),"")</f>
        <v/>
      </c>
      <c r="W141" s="142" t="str">
        <f>IF(AND('Mapa final'!$AB$14="Baja",'Mapa final'!$AD$14="Catastrófico"),CONCATENATE("R4C",'Mapa final'!$R$14),"")</f>
        <v/>
      </c>
      <c r="X141" s="115" t="str">
        <f>IF(AND('Mapa final'!$AB$15="Baja",'Mapa final'!$AD$15="Catastrófico"),CONCATENATE("R4C",'Mapa final'!$R$15),"")</f>
        <v/>
      </c>
      <c r="Y141" s="38"/>
      <c r="Z141" s="317"/>
      <c r="AA141" s="318"/>
      <c r="AB141" s="318"/>
      <c r="AC141" s="318"/>
      <c r="AD141" s="318"/>
      <c r="AE141" s="319"/>
      <c r="AF141" s="38"/>
      <c r="AG141" s="38"/>
      <c r="AH141" s="38"/>
      <c r="AI141" s="38"/>
      <c r="AJ141" s="38"/>
      <c r="AK141" s="38"/>
      <c r="AL141" s="38"/>
      <c r="AM141" s="38"/>
      <c r="AN141" s="38"/>
      <c r="AO141" s="38"/>
      <c r="AP141" s="38"/>
      <c r="AQ141" s="38"/>
      <c r="AR141" s="38"/>
      <c r="AS141" s="38"/>
      <c r="AT141" s="38"/>
      <c r="AU141" s="38"/>
      <c r="AV141" s="38"/>
      <c r="AW141" s="38"/>
      <c r="AX141" s="38"/>
      <c r="AY141" s="38"/>
      <c r="AZ141" s="38"/>
      <c r="BA141" s="38"/>
      <c r="BB141" s="38"/>
      <c r="BC141" s="38"/>
      <c r="BD141" s="38"/>
      <c r="BE141" s="38"/>
      <c r="BF141" s="38"/>
      <c r="BG141" s="38"/>
      <c r="BH141" s="38"/>
      <c r="BI141" s="38"/>
    </row>
    <row r="142" spans="1:61" ht="15" customHeight="1" x14ac:dyDescent="0.3">
      <c r="A142" s="38"/>
      <c r="B142" s="306"/>
      <c r="C142" s="307"/>
      <c r="D142" s="308"/>
      <c r="E142" s="288"/>
      <c r="F142" s="289"/>
      <c r="G142" s="289"/>
      <c r="H142" s="289"/>
      <c r="I142" s="289"/>
      <c r="J142" s="127" t="str">
        <f>IF(AND('Mapa final'!$AB$16="Baja",'Mapa final'!$AD$16="Leve"),CONCATENATE("R5C",'Mapa final'!$R$16),"")</f>
        <v/>
      </c>
      <c r="K142" s="144" t="str">
        <f>IF(AND('Mapa final'!$AB$17="Baja",'Mapa final'!$AD$17="Leve"),CONCATENATE("R5C",'Mapa final'!$R$17),"")</f>
        <v/>
      </c>
      <c r="L142" s="128" t="str">
        <f>IF(AND('Mapa final'!$AB$18="Baja",'Mapa final'!$AD$18="Leve"),CONCATENATE("R5C",'Mapa final'!$R$18),"")</f>
        <v/>
      </c>
      <c r="M142" s="119" t="str">
        <f>IF(AND('Mapa final'!$AB$16="Baja",'Mapa final'!$AD$16="Menor"),CONCATENATE("R5C",'Mapa final'!$R$16),"")</f>
        <v/>
      </c>
      <c r="N142" s="143" t="str">
        <f>IF(AND('Mapa final'!$AB$17="Baja",'Mapa final'!$AD$17="Menor"),CONCATENATE("R5C",'Mapa final'!$R$17),"")</f>
        <v/>
      </c>
      <c r="O142" s="120" t="str">
        <f>IF(AND('Mapa final'!$AB$18="Baja",'Mapa final'!$AD$18="Menor"),CONCATENATE("R5C",'Mapa final'!$R$18),"")</f>
        <v/>
      </c>
      <c r="P142" s="119" t="str">
        <f>IF(AND('Mapa final'!$AB$16="Baja",'Mapa final'!$AD$16="Moderado"),CONCATENATE("R5C",'Mapa final'!$R$16),"")</f>
        <v/>
      </c>
      <c r="Q142" s="143" t="str">
        <f>IF(AND('Mapa final'!$AB$17="Baja",'Mapa final'!$AD$17="Moderado"),CONCATENATE("R5C",'Mapa final'!$R$17),"")</f>
        <v/>
      </c>
      <c r="R142" s="120" t="str">
        <f>IF(AND('Mapa final'!$AB$18="Baja",'Mapa final'!$AD$18="Moderado"),CONCATENATE("R5C",'Mapa final'!$R$18),"")</f>
        <v/>
      </c>
      <c r="S142" s="148" t="str">
        <f>IF(AND('Mapa final'!$AB$16="Baja",'Mapa final'!$AD$16="Mayor"),CONCATENATE("R5C",'Mapa final'!$R$16),"")</f>
        <v/>
      </c>
      <c r="T142" s="149" t="str">
        <f>IF(AND('Mapa final'!$AB$17="Baja",'Mapa final'!$AD$17="Mayor"),CONCATENATE("R5C",'Mapa final'!$R$17),"")</f>
        <v/>
      </c>
      <c r="U142" s="150" t="str">
        <f>IF(AND('Mapa final'!$AB$18="Baja",'Mapa final'!$AD$18="Mayor"),CONCATENATE("R5C",'Mapa final'!$R$18),"")</f>
        <v/>
      </c>
      <c r="V142" s="114" t="str">
        <f>IF(AND('Mapa final'!$AB$16="Baja",'Mapa final'!$AD$16="Catastrófico"),CONCATENATE("R5C",'Mapa final'!$R$16),"")</f>
        <v/>
      </c>
      <c r="W142" s="142" t="str">
        <f>IF(AND('Mapa final'!$AB$17="Baja",'Mapa final'!$AD$17="Catastrófico"),CONCATENATE("R5C",'Mapa final'!$R$17),"")</f>
        <v/>
      </c>
      <c r="X142" s="115" t="str">
        <f>IF(AND('Mapa final'!$AB$18="Baja",'Mapa final'!$AD$18="Catastrófico"),CONCATENATE("R5C",'Mapa final'!$R$18),"")</f>
        <v/>
      </c>
      <c r="Y142" s="38"/>
      <c r="Z142" s="317"/>
      <c r="AA142" s="318"/>
      <c r="AB142" s="318"/>
      <c r="AC142" s="318"/>
      <c r="AD142" s="318"/>
      <c r="AE142" s="319"/>
      <c r="AF142" s="38"/>
      <c r="AG142" s="38"/>
      <c r="AH142" s="38"/>
      <c r="AI142" s="38"/>
      <c r="AJ142" s="38"/>
      <c r="AK142" s="38"/>
      <c r="AL142" s="38"/>
      <c r="AM142" s="38"/>
      <c r="AN142" s="38"/>
      <c r="AO142" s="38"/>
      <c r="AP142" s="38"/>
      <c r="AQ142" s="38"/>
      <c r="AR142" s="38"/>
      <c r="AS142" s="38"/>
      <c r="AT142" s="38"/>
      <c r="AU142" s="38"/>
      <c r="AV142" s="38"/>
      <c r="AW142" s="38"/>
      <c r="AX142" s="38"/>
      <c r="AY142" s="38"/>
      <c r="AZ142" s="38"/>
      <c r="BA142" s="38"/>
      <c r="BB142" s="38"/>
      <c r="BC142" s="38"/>
      <c r="BD142" s="38"/>
      <c r="BE142" s="38"/>
      <c r="BF142" s="38"/>
      <c r="BG142" s="38"/>
      <c r="BH142" s="38"/>
      <c r="BI142" s="38"/>
    </row>
    <row r="143" spans="1:61" ht="15" customHeight="1" x14ac:dyDescent="0.3">
      <c r="A143" s="38"/>
      <c r="B143" s="306"/>
      <c r="C143" s="307"/>
      <c r="D143" s="308"/>
      <c r="E143" s="288"/>
      <c r="F143" s="289"/>
      <c r="G143" s="289"/>
      <c r="H143" s="289"/>
      <c r="I143" s="289"/>
      <c r="J143" s="127" t="str">
        <f>IF(AND('Mapa final'!$AB$19="Baja",'Mapa final'!$AD$19="Leve"),CONCATENATE("R6C",'Mapa final'!$R$19),"")</f>
        <v/>
      </c>
      <c r="K143" s="144" t="str">
        <f>IF(AND('Mapa final'!$AB$20="Baja",'Mapa final'!$AD$20="Leve"),CONCATENATE("R6C",'Mapa final'!$R$20),"")</f>
        <v/>
      </c>
      <c r="L143" s="128" t="str">
        <f>IF(AND('Mapa final'!$AB$21="Baja",'Mapa final'!$AD$21="Leve"),CONCATENATE("R6C",'Mapa final'!$R$21),"")</f>
        <v/>
      </c>
      <c r="M143" s="119" t="str">
        <f>IF(AND('Mapa final'!$AB$19="Baja",'Mapa final'!$AD$19="Menor"),CONCATENATE("R6C",'Mapa final'!$R$19),"")</f>
        <v/>
      </c>
      <c r="N143" s="143" t="str">
        <f>IF(AND('Mapa final'!$AB$20="Baja",'Mapa final'!$AD$20="Menor"),CONCATENATE("R6C",'Mapa final'!$R$20),"")</f>
        <v/>
      </c>
      <c r="O143" s="120" t="str">
        <f>IF(AND('Mapa final'!$AB$21="Baja",'Mapa final'!$AD$21="Menor"),CONCATENATE("R6C",'Mapa final'!$R$21),"")</f>
        <v/>
      </c>
      <c r="P143" s="119" t="str">
        <f>IF(AND('Mapa final'!$AB$19="Baja",'Mapa final'!$AD$19="Moderado"),CONCATENATE("R6C",'Mapa final'!$R$19),"")</f>
        <v/>
      </c>
      <c r="Q143" s="143" t="str">
        <f>IF(AND('Mapa final'!$AB$20="Baja",'Mapa final'!$AD$20="Moderado"),CONCATENATE("R6C",'Mapa final'!$R$20),"")</f>
        <v/>
      </c>
      <c r="R143" s="120" t="str">
        <f>IF(AND('Mapa final'!$AB$21="Baja",'Mapa final'!$AD$21="Moderado"),CONCATENATE("R6C",'Mapa final'!$R$21),"")</f>
        <v/>
      </c>
      <c r="S143" s="148" t="str">
        <f>IF(AND('Mapa final'!$AB$19="Baja",'Mapa final'!$AD$19="Mayor"),CONCATENATE("R6C",'Mapa final'!$R$19),"")</f>
        <v/>
      </c>
      <c r="T143" s="149" t="str">
        <f>IF(AND('Mapa final'!$AB$20="Baja",'Mapa final'!$AD$20="Mayor"),CONCATENATE("R6C",'Mapa final'!$R$20),"")</f>
        <v/>
      </c>
      <c r="U143" s="150" t="str">
        <f>IF(AND('Mapa final'!$AB$21="Baja",'Mapa final'!$AD$21="Mayor"),CONCATENATE("R6C",'Mapa final'!$R$21),"")</f>
        <v/>
      </c>
      <c r="V143" s="114" t="str">
        <f>IF(AND('Mapa final'!$AB$19="Baja",'Mapa final'!$AD$19="Catastrófico"),CONCATENATE("R6C",'Mapa final'!$R$19),"")</f>
        <v/>
      </c>
      <c r="W143" s="142" t="str">
        <f>IF(AND('Mapa final'!$AB$20="Baja",'Mapa final'!$AD$20="Catastrófico"),CONCATENATE("R6C",'Mapa final'!$R$20),"")</f>
        <v/>
      </c>
      <c r="X143" s="115" t="str">
        <f>IF(AND('Mapa final'!$AB$21="Baja",'Mapa final'!$AD$21="Catastrófico"),CONCATENATE("R6C",'Mapa final'!$R$21),"")</f>
        <v/>
      </c>
      <c r="Y143" s="38"/>
      <c r="Z143" s="317"/>
      <c r="AA143" s="318"/>
      <c r="AB143" s="318"/>
      <c r="AC143" s="318"/>
      <c r="AD143" s="318"/>
      <c r="AE143" s="319"/>
      <c r="AF143" s="38"/>
      <c r="AG143" s="38"/>
      <c r="AH143" s="38"/>
      <c r="AI143" s="38"/>
      <c r="AJ143" s="38"/>
      <c r="AK143" s="38"/>
      <c r="AL143" s="38"/>
      <c r="AM143" s="38"/>
      <c r="AN143" s="38"/>
      <c r="AO143" s="38"/>
      <c r="AP143" s="38"/>
      <c r="AQ143" s="38"/>
      <c r="AR143" s="38"/>
      <c r="AS143" s="38"/>
      <c r="AT143" s="38"/>
      <c r="AU143" s="38"/>
      <c r="AV143" s="38"/>
      <c r="AW143" s="38"/>
      <c r="AX143" s="38"/>
      <c r="AY143" s="38"/>
      <c r="AZ143" s="38"/>
      <c r="BA143" s="38"/>
      <c r="BB143" s="38"/>
      <c r="BC143" s="38"/>
      <c r="BD143" s="38"/>
      <c r="BE143" s="38"/>
      <c r="BF143" s="38"/>
      <c r="BG143" s="38"/>
      <c r="BH143" s="38"/>
      <c r="BI143" s="38"/>
    </row>
    <row r="144" spans="1:61" ht="15" customHeight="1" x14ac:dyDescent="0.3">
      <c r="A144" s="38"/>
      <c r="B144" s="306"/>
      <c r="C144" s="307"/>
      <c r="D144" s="308"/>
      <c r="E144" s="288"/>
      <c r="F144" s="289"/>
      <c r="G144" s="289"/>
      <c r="H144" s="289"/>
      <c r="I144" s="289"/>
      <c r="J144" s="127" t="str">
        <f>IF(AND('Mapa final'!$AB$22="Baja",'Mapa final'!$AD$22="Leve"),CONCATENATE("R7C",'Mapa final'!$R$22),"")</f>
        <v/>
      </c>
      <c r="K144" s="144" t="str">
        <f>IF(AND('Mapa final'!$AB$23="Baja",'Mapa final'!$AD$23="Leve"),CONCATENATE("R7C",'Mapa final'!$R$23),"")</f>
        <v/>
      </c>
      <c r="L144" s="128" t="str">
        <f>IF(AND('Mapa final'!$AB$24="Baja",'Mapa final'!$AD$24="Leve"),CONCATENATE("R7C",'Mapa final'!$R$24),"")</f>
        <v/>
      </c>
      <c r="M144" s="119" t="str">
        <f>IF(AND('Mapa final'!$AB$22="Baja",'Mapa final'!$AD$22="Menor"),CONCATENATE("R7C",'Mapa final'!$R$22),"")</f>
        <v/>
      </c>
      <c r="N144" s="143" t="str">
        <f>IF(AND('Mapa final'!$AB$23="Baja",'Mapa final'!$AD$23="Menor"),CONCATENATE("R7C",'Mapa final'!$R$23),"")</f>
        <v/>
      </c>
      <c r="O144" s="120" t="str">
        <f>IF(AND('Mapa final'!$AB$24="Baja",'Mapa final'!$AD$24="Menor"),CONCATENATE("R7C",'Mapa final'!$R$24),"")</f>
        <v/>
      </c>
      <c r="P144" s="119" t="str">
        <f>IF(AND('Mapa final'!$AB$22="Baja",'Mapa final'!$AD$22="Moderado"),CONCATENATE("R7C",'Mapa final'!$R$22),"")</f>
        <v/>
      </c>
      <c r="Q144" s="143" t="str">
        <f>IF(AND('Mapa final'!$AB$23="Baja",'Mapa final'!$AD$23="Moderado"),CONCATENATE("R7C",'Mapa final'!$R$23),"")</f>
        <v/>
      </c>
      <c r="R144" s="120" t="str">
        <f>IF(AND('Mapa final'!$AB$24="Baja",'Mapa final'!$AD$24="Moderado"),CONCATENATE("R7C",'Mapa final'!$R$24),"")</f>
        <v/>
      </c>
      <c r="S144" s="148" t="str">
        <f>IF(AND('Mapa final'!$AB$22="Baja",'Mapa final'!$AD$22="Mayor"),CONCATENATE("R7C",'Mapa final'!$R$22),"")</f>
        <v/>
      </c>
      <c r="T144" s="149" t="str">
        <f>IF(AND('Mapa final'!$AB$23="Baja",'Mapa final'!$AD$23="Mayor"),CONCATENATE("R7C",'Mapa final'!$R$23),"")</f>
        <v/>
      </c>
      <c r="U144" s="150" t="str">
        <f>IF(AND('Mapa final'!$AB$24="Baja",'Mapa final'!$AD$24="Mayor"),CONCATENATE("R7C",'Mapa final'!$R$24),"")</f>
        <v/>
      </c>
      <c r="V144" s="114" t="str">
        <f>IF(AND('Mapa final'!$AB$22="Baja",'Mapa final'!$AD$22="Catastrófico"),CONCATENATE("R7C",'Mapa final'!$R$22),"")</f>
        <v/>
      </c>
      <c r="W144" s="142" t="str">
        <f>IF(AND('Mapa final'!$AB$23="Baja",'Mapa final'!$AD$23="Catastrófico"),CONCATENATE("R7C",'Mapa final'!$R$23),"")</f>
        <v/>
      </c>
      <c r="X144" s="115" t="str">
        <f>IF(AND('Mapa final'!$AB$24="Baja",'Mapa final'!$AD$24="Catastrófico"),CONCATENATE("R7C",'Mapa final'!$R$24),"")</f>
        <v/>
      </c>
      <c r="Y144" s="38"/>
      <c r="Z144" s="317"/>
      <c r="AA144" s="318"/>
      <c r="AB144" s="318"/>
      <c r="AC144" s="318"/>
      <c r="AD144" s="318"/>
      <c r="AE144" s="319"/>
      <c r="AF144" s="38"/>
      <c r="AG144" s="38"/>
      <c r="AH144" s="38"/>
      <c r="AI144" s="38"/>
      <c r="AJ144" s="38"/>
      <c r="AK144" s="38"/>
      <c r="AL144" s="38"/>
      <c r="AM144" s="38"/>
      <c r="AN144" s="38"/>
      <c r="AO144" s="38"/>
      <c r="AP144" s="38"/>
      <c r="AQ144" s="38"/>
      <c r="AR144" s="38"/>
      <c r="AS144" s="38"/>
      <c r="AT144" s="38"/>
      <c r="AU144" s="38"/>
      <c r="AV144" s="38"/>
      <c r="AW144" s="38"/>
      <c r="AX144" s="38"/>
      <c r="AY144" s="38"/>
      <c r="AZ144" s="38"/>
      <c r="BA144" s="38"/>
      <c r="BB144" s="38"/>
      <c r="BC144" s="38"/>
      <c r="BD144" s="38"/>
      <c r="BE144" s="38"/>
      <c r="BF144" s="38"/>
      <c r="BG144" s="38"/>
      <c r="BH144" s="38"/>
      <c r="BI144" s="38"/>
    </row>
    <row r="145" spans="1:61" ht="15" customHeight="1" x14ac:dyDescent="0.3">
      <c r="A145" s="38"/>
      <c r="B145" s="306"/>
      <c r="C145" s="307"/>
      <c r="D145" s="308"/>
      <c r="E145" s="288"/>
      <c r="F145" s="289"/>
      <c r="G145" s="289"/>
      <c r="H145" s="289"/>
      <c r="I145" s="289"/>
      <c r="J145" s="127" t="str">
        <f>IF(AND('Mapa final'!$AB$25="Baja",'Mapa final'!$AD$25="Leve"),CONCATENATE("R8C",'Mapa final'!$R$25),"")</f>
        <v/>
      </c>
      <c r="K145" s="144" t="str">
        <f>IF(AND('Mapa final'!$AB$26="Baja",'Mapa final'!$AD$26="Leve"),CONCATENATE("R8C",'Mapa final'!$R$26),"")</f>
        <v/>
      </c>
      <c r="L145" s="128" t="str">
        <f>IF(AND('Mapa final'!$AB$27="Baja",'Mapa final'!$AD$27="Leve"),CONCATENATE("R8C",'Mapa final'!$R$27),"")</f>
        <v/>
      </c>
      <c r="M145" s="119" t="str">
        <f>IF(AND('Mapa final'!$AB$25="Baja",'Mapa final'!$AD$25="Menor"),CONCATENATE("R8C",'Mapa final'!$R$25),"")</f>
        <v/>
      </c>
      <c r="N145" s="143" t="str">
        <f>IF(AND('Mapa final'!$AB$26="Baja",'Mapa final'!$AD$26="Menor"),CONCATENATE("R8C",'Mapa final'!$R$26),"")</f>
        <v/>
      </c>
      <c r="O145" s="120" t="str">
        <f>IF(AND('Mapa final'!$AB$27="Baja",'Mapa final'!$AD$27="Menor"),CONCATENATE("R8C",'Mapa final'!$R$27),"")</f>
        <v/>
      </c>
      <c r="P145" s="119" t="str">
        <f>IF(AND('Mapa final'!$AB$25="Baja",'Mapa final'!$AD$25="Moderado"),CONCATENATE("R8C",'Mapa final'!$R$25),"")</f>
        <v/>
      </c>
      <c r="Q145" s="143" t="str">
        <f>IF(AND('Mapa final'!$AB$26="Baja",'Mapa final'!$AD$26="Moderado"),CONCATENATE("R8C",'Mapa final'!$R$26),"")</f>
        <v/>
      </c>
      <c r="R145" s="120" t="str">
        <f>IF(AND('Mapa final'!$AB$27="Baja",'Mapa final'!$AD$27="Moderado"),CONCATENATE("R8C",'Mapa final'!$R$27),"")</f>
        <v/>
      </c>
      <c r="S145" s="148" t="str">
        <f>IF(AND('Mapa final'!$AB$25="Baja",'Mapa final'!$AD$25="Mayor"),CONCATENATE("R8C",'Mapa final'!$R$25),"")</f>
        <v>R8C1</v>
      </c>
      <c r="T145" s="149" t="str">
        <f>IF(AND('Mapa final'!$AB$26="Baja",'Mapa final'!$AD$26="Mayor"),CONCATENATE("R8C",'Mapa final'!$R$26),"")</f>
        <v/>
      </c>
      <c r="U145" s="150" t="str">
        <f>IF(AND('Mapa final'!$AB$27="Baja",'Mapa final'!$AD$27="Mayor"),CONCATENATE("R8C",'Mapa final'!$R$27),"")</f>
        <v/>
      </c>
      <c r="V145" s="114" t="str">
        <f>IF(AND('Mapa final'!$AB$25="Baja",'Mapa final'!$AD$25="Catastrófico"),CONCATENATE("R8C",'Mapa final'!$R$25),"")</f>
        <v/>
      </c>
      <c r="W145" s="142" t="str">
        <f>IF(AND('Mapa final'!$AB$26="Baja",'Mapa final'!$AD$26="Catastrófico"),CONCATENATE("R8C",'Mapa final'!$R$26),"")</f>
        <v/>
      </c>
      <c r="X145" s="115" t="str">
        <f>IF(AND('Mapa final'!$AB$27="Baja",'Mapa final'!$AD$27="Catastrófico"),CONCATENATE("R8C",'Mapa final'!$R$27),"")</f>
        <v/>
      </c>
      <c r="Y145" s="38"/>
      <c r="Z145" s="317"/>
      <c r="AA145" s="318"/>
      <c r="AB145" s="318"/>
      <c r="AC145" s="318"/>
      <c r="AD145" s="318"/>
      <c r="AE145" s="319"/>
      <c r="AF145" s="38"/>
      <c r="AG145" s="38"/>
      <c r="AH145" s="38"/>
      <c r="AI145" s="38"/>
      <c r="AJ145" s="38"/>
      <c r="AK145" s="38"/>
      <c r="AL145" s="38"/>
      <c r="AM145" s="38"/>
      <c r="AN145" s="38"/>
      <c r="AO145" s="38"/>
      <c r="AP145" s="38"/>
      <c r="AQ145" s="38"/>
      <c r="AR145" s="38"/>
      <c r="AS145" s="38"/>
      <c r="AT145" s="38"/>
      <c r="AU145" s="38"/>
      <c r="AV145" s="38"/>
      <c r="AW145" s="38"/>
      <c r="AX145" s="38"/>
      <c r="AY145" s="38"/>
      <c r="AZ145" s="38"/>
      <c r="BA145" s="38"/>
      <c r="BB145" s="38"/>
      <c r="BC145" s="38"/>
      <c r="BD145" s="38"/>
      <c r="BE145" s="38"/>
      <c r="BF145" s="38"/>
      <c r="BG145" s="38"/>
      <c r="BH145" s="38"/>
      <c r="BI145" s="38"/>
    </row>
    <row r="146" spans="1:61" ht="15" customHeight="1" x14ac:dyDescent="0.3">
      <c r="A146" s="38"/>
      <c r="B146" s="306"/>
      <c r="C146" s="307"/>
      <c r="D146" s="308"/>
      <c r="E146" s="288"/>
      <c r="F146" s="289"/>
      <c r="G146" s="289"/>
      <c r="H146" s="289"/>
      <c r="I146" s="289"/>
      <c r="J146" s="127" t="str">
        <f>IF(AND('Mapa final'!$AB$28="Baja",'Mapa final'!$AD$28="Leve"),CONCATENATE("R9C",'Mapa final'!$R$28),"")</f>
        <v/>
      </c>
      <c r="K146" s="144" t="str">
        <f>IF(AND('Mapa final'!$AB$29="Baja",'Mapa final'!$AD$29="Leve"),CONCATENATE("R9C",'Mapa final'!$R$29),"")</f>
        <v/>
      </c>
      <c r="L146" s="128" t="str">
        <f>IF(AND('Mapa final'!$AB$30="Baja",'Mapa final'!$AD$30="Leve"),CONCATENATE("R9C",'Mapa final'!$R$30),"")</f>
        <v/>
      </c>
      <c r="M146" s="119" t="str">
        <f>IF(AND('Mapa final'!$AB$28="Baja",'Mapa final'!$AD$28="Menor"),CONCATENATE("R9C",'Mapa final'!$R$28),"")</f>
        <v/>
      </c>
      <c r="N146" s="143" t="str">
        <f>IF(AND('Mapa final'!$AB$29="Baja",'Mapa final'!$AD$29="Menor"),CONCATENATE("R9C",'Mapa final'!$R$29),"")</f>
        <v/>
      </c>
      <c r="O146" s="120" t="str">
        <f>IF(AND('Mapa final'!$AB$30="Baja",'Mapa final'!$AD$30="Menor"),CONCATENATE("R9C",'Mapa final'!$R$30),"")</f>
        <v/>
      </c>
      <c r="P146" s="119" t="str">
        <f>IF(AND('Mapa final'!$AB$28="Baja",'Mapa final'!$AD$28="Moderado"),CONCATENATE("R9C",'Mapa final'!$R$28),"")</f>
        <v>R9C1</v>
      </c>
      <c r="Q146" s="143" t="str">
        <f>IF(AND('Mapa final'!$AB$29="Baja",'Mapa final'!$AD$29="Moderado"),CONCATENATE("R9C",'Mapa final'!$R$29),"")</f>
        <v/>
      </c>
      <c r="R146" s="120" t="str">
        <f>IF(AND('Mapa final'!$AB$30="Baja",'Mapa final'!$AD$30="Moderado"),CONCATENATE("R9C",'Mapa final'!$R$30),"")</f>
        <v/>
      </c>
      <c r="S146" s="148" t="str">
        <f>IF(AND('Mapa final'!$AB$28="Baja",'Mapa final'!$AD$28="Mayor"),CONCATENATE("R9C",'Mapa final'!$R$28),"")</f>
        <v/>
      </c>
      <c r="T146" s="149" t="str">
        <f>IF(AND('Mapa final'!$AB$29="Baja",'Mapa final'!$AD$29="Mayor"),CONCATENATE("R9C",'Mapa final'!$R$29),"")</f>
        <v/>
      </c>
      <c r="U146" s="150" t="str">
        <f>IF(AND('Mapa final'!$AB$30="Baja",'Mapa final'!$AD$30="Mayor"),CONCATENATE("R9C",'Mapa final'!$R$30),"")</f>
        <v/>
      </c>
      <c r="V146" s="114" t="str">
        <f>IF(AND('Mapa final'!$AB$28="Baja",'Mapa final'!$AD$28="Catastrófico"),CONCATENATE("R9C",'Mapa final'!$R$28),"")</f>
        <v/>
      </c>
      <c r="W146" s="142" t="str">
        <f>IF(AND('Mapa final'!$AB$29="Baja",'Mapa final'!$AD$29="Catastrófico"),CONCATENATE("R9C",'Mapa final'!$R$29),"")</f>
        <v/>
      </c>
      <c r="X146" s="115" t="str">
        <f>IF(AND('Mapa final'!$AB$30="Baja",'Mapa final'!$AD$30="Catastrófico"),CONCATENATE("R9C",'Mapa final'!$R$30),"")</f>
        <v/>
      </c>
      <c r="Y146" s="38"/>
      <c r="Z146" s="317"/>
      <c r="AA146" s="318"/>
      <c r="AB146" s="318"/>
      <c r="AC146" s="318"/>
      <c r="AD146" s="318"/>
      <c r="AE146" s="319"/>
      <c r="AF146" s="38"/>
      <c r="AG146" s="38"/>
      <c r="AH146" s="38"/>
      <c r="AI146" s="38"/>
      <c r="AJ146" s="38"/>
      <c r="AK146" s="38"/>
      <c r="AL146" s="38"/>
      <c r="AM146" s="38"/>
      <c r="AN146" s="38"/>
      <c r="AO146" s="38"/>
      <c r="AP146" s="38"/>
      <c r="AQ146" s="38"/>
      <c r="AR146" s="38"/>
      <c r="AS146" s="38"/>
      <c r="AT146" s="38"/>
      <c r="AU146" s="38"/>
      <c r="AV146" s="38"/>
      <c r="AW146" s="38"/>
      <c r="AX146" s="38"/>
      <c r="AY146" s="38"/>
      <c r="AZ146" s="38"/>
      <c r="BA146" s="38"/>
      <c r="BB146" s="38"/>
      <c r="BC146" s="38"/>
      <c r="BD146" s="38"/>
      <c r="BE146" s="38"/>
      <c r="BF146" s="38"/>
      <c r="BG146" s="38"/>
      <c r="BH146" s="38"/>
      <c r="BI146" s="38"/>
    </row>
    <row r="147" spans="1:61" ht="15" customHeight="1" x14ac:dyDescent="0.3">
      <c r="A147" s="38"/>
      <c r="B147" s="306"/>
      <c r="C147" s="307"/>
      <c r="D147" s="308"/>
      <c r="E147" s="288"/>
      <c r="F147" s="289"/>
      <c r="G147" s="289"/>
      <c r="H147" s="289"/>
      <c r="I147" s="289"/>
      <c r="J147" s="127" t="str">
        <f>IF(AND('Mapa final'!$AB$31="Baja",'Mapa final'!$AD$31="Leve"),CONCATENATE("R10C",'Mapa final'!$R$31),"")</f>
        <v/>
      </c>
      <c r="K147" s="144" t="str">
        <f>IF(AND('Mapa final'!$AB$32="Baja",'Mapa final'!$AD$32="Leve"),CONCATENATE("R10C",'Mapa final'!$R$32),"")</f>
        <v/>
      </c>
      <c r="L147" s="128" t="str">
        <f>IF(AND('Mapa final'!$AB$33="Baja",'Mapa final'!$AD$33="Leve"),CONCATENATE("R10C",'Mapa final'!$R$33),"")</f>
        <v/>
      </c>
      <c r="M147" s="119" t="str">
        <f>IF(AND('Mapa final'!$AB$31="Baja",'Mapa final'!$AD$31="Menor"),CONCATENATE("R10C",'Mapa final'!$R$31),"")</f>
        <v/>
      </c>
      <c r="N147" s="143" t="str">
        <f>IF(AND('Mapa final'!$AB$32="Baja",'Mapa final'!$AD$32="Menor"),CONCATENATE("R10C",'Mapa final'!$R$32),"")</f>
        <v/>
      </c>
      <c r="O147" s="120" t="str">
        <f>IF(AND('Mapa final'!$AB$33="Baja",'Mapa final'!$AD$33="Menor"),CONCATENATE("R10C",'Mapa final'!$R$33),"")</f>
        <v/>
      </c>
      <c r="P147" s="119" t="str">
        <f>IF(AND('Mapa final'!$AB$31="Baja",'Mapa final'!$AD$31="Moderado"),CONCATENATE("R10C",'Mapa final'!$R$31),"")</f>
        <v>R10C1</v>
      </c>
      <c r="Q147" s="143" t="str">
        <f>IF(AND('Mapa final'!$AB$32="Baja",'Mapa final'!$AD$32="Moderado"),CONCATENATE("R10C",'Mapa final'!$R$32),"")</f>
        <v/>
      </c>
      <c r="R147" s="120" t="str">
        <f>IF(AND('Mapa final'!$AB$33="Baja",'Mapa final'!$AD$33="Moderado"),CONCATENATE("R10C",'Mapa final'!$R$33),"")</f>
        <v/>
      </c>
      <c r="S147" s="148" t="str">
        <f>IF(AND('Mapa final'!$AB$31="Baja",'Mapa final'!$AD$31="Mayor"),CONCATENATE("R10C",'Mapa final'!$R$31),"")</f>
        <v/>
      </c>
      <c r="T147" s="149" t="str">
        <f>IF(AND('Mapa final'!$AB$32="Baja",'Mapa final'!$AD$32="Mayor"),CONCATENATE("R10C",'Mapa final'!$R$32),"")</f>
        <v/>
      </c>
      <c r="U147" s="150" t="str">
        <f>IF(AND('Mapa final'!$AB$33="Baja",'Mapa final'!$AD$33="Mayor"),CONCATENATE("R10C",'Mapa final'!$R$33),"")</f>
        <v/>
      </c>
      <c r="V147" s="114" t="str">
        <f>IF(AND('Mapa final'!$AB$31="Baja",'Mapa final'!$AD$31="Catastrófico"),CONCATENATE("R10C",'Mapa final'!$R$31),"")</f>
        <v/>
      </c>
      <c r="W147" s="142" t="str">
        <f>IF(AND('Mapa final'!$AB$32="Baja",'Mapa final'!$AD$32="Catastrófico"),CONCATENATE("R10C",'Mapa final'!$R$32),"")</f>
        <v/>
      </c>
      <c r="X147" s="115" t="str">
        <f>IF(AND('Mapa final'!$AB$33="Baja",'Mapa final'!$AD$33="Catastrófico"),CONCATENATE("R10C",'Mapa final'!$R$33),"")</f>
        <v/>
      </c>
      <c r="Y147" s="38"/>
      <c r="Z147" s="317"/>
      <c r="AA147" s="318"/>
      <c r="AB147" s="318"/>
      <c r="AC147" s="318"/>
      <c r="AD147" s="318"/>
      <c r="AE147" s="319"/>
      <c r="AF147" s="38"/>
      <c r="AG147" s="38"/>
      <c r="AH147" s="38"/>
      <c r="AI147" s="38"/>
      <c r="AJ147" s="38"/>
      <c r="AK147" s="38"/>
      <c r="AL147" s="38"/>
      <c r="AM147" s="38"/>
      <c r="AN147" s="38"/>
      <c r="AO147" s="38"/>
      <c r="AP147" s="38"/>
      <c r="AQ147" s="38"/>
      <c r="AR147" s="38"/>
      <c r="AS147" s="38"/>
      <c r="AT147" s="38"/>
      <c r="AU147" s="38"/>
      <c r="AV147" s="38"/>
      <c r="AW147" s="38"/>
      <c r="AX147" s="38"/>
      <c r="AY147" s="38"/>
      <c r="AZ147" s="38"/>
      <c r="BA147" s="38"/>
      <c r="BB147" s="38"/>
      <c r="BC147" s="38"/>
      <c r="BD147" s="38"/>
      <c r="BE147" s="38"/>
      <c r="BF147" s="38"/>
      <c r="BG147" s="38"/>
      <c r="BH147" s="38"/>
      <c r="BI147" s="38"/>
    </row>
    <row r="148" spans="1:61" ht="15" customHeight="1" x14ac:dyDescent="0.3">
      <c r="A148" s="38"/>
      <c r="B148" s="306"/>
      <c r="C148" s="307"/>
      <c r="D148" s="308"/>
      <c r="E148" s="288"/>
      <c r="F148" s="289"/>
      <c r="G148" s="289"/>
      <c r="H148" s="289"/>
      <c r="I148" s="289"/>
      <c r="J148" s="127" t="str">
        <f>IF(AND('Mapa final'!$AB$34="Baja",'Mapa final'!$AD$34="Leve"),CONCATENATE("R11C",'Mapa final'!$R$34),"")</f>
        <v/>
      </c>
      <c r="K148" s="144" t="str">
        <f>IF(AND('Mapa final'!$AB$35="Baja",'Mapa final'!$AD$35="Leve"),CONCATENATE("R11C",'Mapa final'!$R$35),"")</f>
        <v/>
      </c>
      <c r="L148" s="128" t="str">
        <f>IF(AND('Mapa final'!$AB$36="Baja",'Mapa final'!$AD$36="Leve"),CONCATENATE("R11C",'Mapa final'!$R$36),"")</f>
        <v/>
      </c>
      <c r="M148" s="119" t="str">
        <f>IF(AND('Mapa final'!$AB$34="Baja",'Mapa final'!$AD$34="Menor"),CONCATENATE("R11C",'Mapa final'!$R$34),"")</f>
        <v/>
      </c>
      <c r="N148" s="143" t="str">
        <f>IF(AND('Mapa final'!$AB$35="Baja",'Mapa final'!$AD$35="Menor"),CONCATENATE("R11C",'Mapa final'!$R$35),"")</f>
        <v/>
      </c>
      <c r="O148" s="120" t="str">
        <f>IF(AND('Mapa final'!$AB$36="Baja",'Mapa final'!$AD$36="Menor"),CONCATENATE("R11C",'Mapa final'!$R$36),"")</f>
        <v/>
      </c>
      <c r="P148" s="119" t="str">
        <f>IF(AND('Mapa final'!$AB$34="Baja",'Mapa final'!$AD$34="Moderado"),CONCATENATE("R11C",'Mapa final'!$R$34),"")</f>
        <v/>
      </c>
      <c r="Q148" s="143" t="str">
        <f>IF(AND('Mapa final'!$AB$35="Baja",'Mapa final'!$AD$35="Moderado"),CONCATENATE("R11C",'Mapa final'!$R$35),"")</f>
        <v/>
      </c>
      <c r="R148" s="120" t="str">
        <f>IF(AND('Mapa final'!$AB$36="Baja",'Mapa final'!$AD$36="Moderado"),CONCATENATE("R11C",'Mapa final'!$R$36),"")</f>
        <v/>
      </c>
      <c r="S148" s="148" t="str">
        <f>IF(AND('Mapa final'!$AB$34="Baja",'Mapa final'!$AD$34="Mayor"),CONCATENATE("R11C",'Mapa final'!$R$34),"")</f>
        <v/>
      </c>
      <c r="T148" s="149" t="str">
        <f>IF(AND('Mapa final'!$AB$35="Baja",'Mapa final'!$AD$35="Mayor"),CONCATENATE("R11C",'Mapa final'!$R$35),"")</f>
        <v/>
      </c>
      <c r="U148" s="150" t="str">
        <f>IF(AND('Mapa final'!$AB$36="Baja",'Mapa final'!$AD$36="Mayor"),CONCATENATE("R11C",'Mapa final'!$R$36),"")</f>
        <v/>
      </c>
      <c r="V148" s="114" t="str">
        <f>IF(AND('Mapa final'!$AB$34="Baja",'Mapa final'!$AD$34="Catastrófico"),CONCATENATE("R11C",'Mapa final'!$R$34),"")</f>
        <v/>
      </c>
      <c r="W148" s="142" t="str">
        <f>IF(AND('Mapa final'!$AB$35="Baja",'Mapa final'!$AD$35="Catastrófico"),CONCATENATE("R11C",'Mapa final'!$R$35),"")</f>
        <v/>
      </c>
      <c r="X148" s="115" t="str">
        <f>IF(AND('Mapa final'!$AB$36="Baja",'Mapa final'!$AD$36="Catastrófico"),CONCATENATE("R11C",'Mapa final'!$R$36),"")</f>
        <v/>
      </c>
      <c r="Y148" s="38"/>
      <c r="Z148" s="317"/>
      <c r="AA148" s="318"/>
      <c r="AB148" s="318"/>
      <c r="AC148" s="318"/>
      <c r="AD148" s="318"/>
      <c r="AE148" s="319"/>
      <c r="AF148" s="38"/>
      <c r="AG148" s="38"/>
      <c r="AH148" s="38"/>
      <c r="AI148" s="38"/>
      <c r="AJ148" s="38"/>
      <c r="AK148" s="38"/>
      <c r="AL148" s="38"/>
      <c r="AM148" s="38"/>
      <c r="AN148" s="38"/>
      <c r="AO148" s="38"/>
      <c r="AP148" s="38"/>
      <c r="AQ148" s="38"/>
      <c r="AR148" s="38"/>
      <c r="AS148" s="38"/>
      <c r="AT148" s="38"/>
      <c r="AU148" s="38"/>
      <c r="AV148" s="38"/>
      <c r="AW148" s="38"/>
      <c r="AX148" s="38"/>
      <c r="AY148" s="38"/>
      <c r="AZ148" s="38"/>
      <c r="BA148" s="38"/>
      <c r="BB148" s="38"/>
      <c r="BC148" s="38"/>
      <c r="BD148" s="38"/>
      <c r="BE148" s="38"/>
      <c r="BF148" s="38"/>
      <c r="BG148" s="38"/>
      <c r="BH148" s="38"/>
      <c r="BI148" s="38"/>
    </row>
    <row r="149" spans="1:61" ht="15" customHeight="1" x14ac:dyDescent="0.3">
      <c r="A149" s="38"/>
      <c r="B149" s="306"/>
      <c r="C149" s="307"/>
      <c r="D149" s="308"/>
      <c r="E149" s="288"/>
      <c r="F149" s="289"/>
      <c r="G149" s="289"/>
      <c r="H149" s="289"/>
      <c r="I149" s="289"/>
      <c r="J149" s="127" t="str">
        <f>IF(AND('Mapa final'!$AB$37="Baja",'Mapa final'!$AD$37="Leve"),CONCATENATE("R12C",'Mapa final'!$R$37),"")</f>
        <v>R12C1</v>
      </c>
      <c r="K149" s="144" t="str">
        <f>IF(AND('Mapa final'!$AB$38="Baja",'Mapa final'!$AD$38="Leve"),CONCATENATE("R12C",'Mapa final'!$R$38),"")</f>
        <v/>
      </c>
      <c r="L149" s="128" t="str">
        <f>IF(AND('Mapa final'!$AB$39="Baja",'Mapa final'!$AD$39="Leve"),CONCATENATE("R12C",'Mapa final'!$R$39),"")</f>
        <v/>
      </c>
      <c r="M149" s="119" t="str">
        <f>IF(AND('Mapa final'!$AB$37="Baja",'Mapa final'!$AD$37="Menor"),CONCATENATE("R12C",'Mapa final'!$R$37),"")</f>
        <v/>
      </c>
      <c r="N149" s="143" t="str">
        <f>IF(AND('Mapa final'!$AB$38="Baja",'Mapa final'!$AD$38="Menor"),CONCATENATE("R12C",'Mapa final'!$R$38),"")</f>
        <v/>
      </c>
      <c r="O149" s="120" t="str">
        <f>IF(AND('Mapa final'!$AB$39="Baja",'Mapa final'!$AD$39="Menor"),CONCATENATE("R12C",'Mapa final'!$R$39),"")</f>
        <v/>
      </c>
      <c r="P149" s="119" t="str">
        <f>IF(AND('Mapa final'!$AB$37="Baja",'Mapa final'!$AD$37="Moderado"),CONCATENATE("R12C",'Mapa final'!$R$37),"")</f>
        <v/>
      </c>
      <c r="Q149" s="143" t="str">
        <f>IF(AND('Mapa final'!$AB$38="Baja",'Mapa final'!$AD$38="Moderado"),CONCATENATE("R12C",'Mapa final'!$R$38),"")</f>
        <v/>
      </c>
      <c r="R149" s="120" t="str">
        <f>IF(AND('Mapa final'!$AB$39="Baja",'Mapa final'!$AD$39="Moderado"),CONCATENATE("R12C",'Mapa final'!$R$39),"")</f>
        <v/>
      </c>
      <c r="S149" s="148" t="str">
        <f>IF(AND('Mapa final'!$AB$37="Baja",'Mapa final'!$AD$37="Mayor"),CONCATENATE("R12C",'Mapa final'!$R$37),"")</f>
        <v/>
      </c>
      <c r="T149" s="149" t="str">
        <f>IF(AND('Mapa final'!$AB$38="Baja",'Mapa final'!$AD$38="Mayor"),CONCATENATE("R12C",'Mapa final'!$R$38),"")</f>
        <v/>
      </c>
      <c r="U149" s="150" t="str">
        <f>IF(AND('Mapa final'!$AB$39="Baja",'Mapa final'!$AD$39="Mayor"),CONCATENATE("R12C",'Mapa final'!$R$39),"")</f>
        <v/>
      </c>
      <c r="V149" s="114" t="str">
        <f>IF(AND('Mapa final'!$AB$37="Baja",'Mapa final'!$AD$37="Catastrófico"),CONCATENATE("R12C",'Mapa final'!$R$37),"")</f>
        <v/>
      </c>
      <c r="W149" s="142" t="str">
        <f>IF(AND('Mapa final'!$AB$38="Baja",'Mapa final'!$AD$38="Catastrófico"),CONCATENATE("R12C",'Mapa final'!$R$38),"")</f>
        <v/>
      </c>
      <c r="X149" s="115" t="str">
        <f>IF(AND('Mapa final'!$AB$39="Baja",'Mapa final'!$AD$39="Catastrófico"),CONCATENATE("R12C",'Mapa final'!$R$39),"")</f>
        <v/>
      </c>
      <c r="Y149" s="38"/>
      <c r="Z149" s="317"/>
      <c r="AA149" s="318"/>
      <c r="AB149" s="318"/>
      <c r="AC149" s="318"/>
      <c r="AD149" s="318"/>
      <c r="AE149" s="319"/>
      <c r="AF149" s="38"/>
      <c r="AG149" s="38"/>
      <c r="AH149" s="38"/>
      <c r="AI149" s="38"/>
      <c r="AJ149" s="38"/>
      <c r="AK149" s="38"/>
      <c r="AL149" s="38"/>
      <c r="AM149" s="38"/>
      <c r="AN149" s="38"/>
      <c r="AO149" s="38"/>
      <c r="AP149" s="38"/>
      <c r="AQ149" s="38"/>
      <c r="AR149" s="38"/>
      <c r="AS149" s="38"/>
      <c r="AT149" s="38"/>
      <c r="AU149" s="38"/>
      <c r="AV149" s="38"/>
      <c r="AW149" s="38"/>
      <c r="AX149" s="38"/>
      <c r="AY149" s="38"/>
      <c r="AZ149" s="38"/>
      <c r="BA149" s="38"/>
      <c r="BB149" s="38"/>
      <c r="BC149" s="38"/>
      <c r="BD149" s="38"/>
      <c r="BE149" s="38"/>
      <c r="BF149" s="38"/>
      <c r="BG149" s="38"/>
      <c r="BH149" s="38"/>
      <c r="BI149" s="38"/>
    </row>
    <row r="150" spans="1:61" ht="15" customHeight="1" x14ac:dyDescent="0.3">
      <c r="A150" s="38"/>
      <c r="B150" s="306"/>
      <c r="C150" s="307"/>
      <c r="D150" s="308"/>
      <c r="E150" s="288"/>
      <c r="F150" s="289"/>
      <c r="G150" s="289"/>
      <c r="H150" s="289"/>
      <c r="I150" s="289"/>
      <c r="J150" s="127" t="str">
        <f>IF(AND('Mapa final'!$AB$40="Baja",'Mapa final'!$AD$40="Leve"),CONCATENATE("R12C",'Mapa final'!$R$40),"")</f>
        <v/>
      </c>
      <c r="K150" s="144" t="str">
        <f>IF(AND('Mapa final'!$AB$41="Baja",'Mapa final'!$AD$41="Leve"),CONCATENATE("R13C",'Mapa final'!$R$41),"")</f>
        <v/>
      </c>
      <c r="L150" s="128" t="str">
        <f>IF(AND('Mapa final'!$AB$42="Baja",'Mapa final'!$AD$42="Leve"),CONCATENATE("R13C",'Mapa final'!$R$42),"")</f>
        <v/>
      </c>
      <c r="M150" s="119" t="str">
        <f>IF(AND('Mapa final'!$AB$40="Baja",'Mapa final'!$AD$40="Menor"),CONCATENATE("R12C",'Mapa final'!$R$40),"")</f>
        <v/>
      </c>
      <c r="N150" s="143" t="str">
        <f>IF(AND('Mapa final'!$AB$41="Baja",'Mapa final'!$AD$41="Menor"),CONCATENATE("R13C",'Mapa final'!$R$41),"")</f>
        <v/>
      </c>
      <c r="O150" s="120" t="str">
        <f>IF(AND('Mapa final'!$AB$42="Baja",'Mapa final'!$AD$42="Menor"),CONCATENATE("R13C",'Mapa final'!$R$42),"")</f>
        <v/>
      </c>
      <c r="P150" s="119" t="str">
        <f>IF(AND('Mapa final'!$AB$40="Baja",'Mapa final'!$AD$40="Moderado"),CONCATENATE("R12C",'Mapa final'!$R$40),"")</f>
        <v/>
      </c>
      <c r="Q150" s="143" t="str">
        <f>IF(AND('Mapa final'!$AB$41="Baja",'Mapa final'!$AD$41="Moderado"),CONCATENATE("R13C",'Mapa final'!$R$41),"")</f>
        <v>R13C1</v>
      </c>
      <c r="R150" s="120" t="str">
        <f>IF(AND('Mapa final'!$AB$42="Baja",'Mapa final'!$AD$42="Moderado"),CONCATENATE("R13C",'Mapa final'!$R$42),"")</f>
        <v/>
      </c>
      <c r="S150" s="148" t="str">
        <f>IF(AND('Mapa final'!$AB$40="Baja",'Mapa final'!$AD$40="Mayor"),CONCATENATE("R12C",'Mapa final'!$R$40),"")</f>
        <v/>
      </c>
      <c r="T150" s="149" t="str">
        <f>IF(AND('Mapa final'!$AB$41="Baja",'Mapa final'!$AD$41="Mayor"),CONCATENATE("R13C",'Mapa final'!$R$41),"")</f>
        <v/>
      </c>
      <c r="U150" s="150" t="str">
        <f>IF(AND('Mapa final'!$AB$42="Baja",'Mapa final'!$AD$42="Mayor"),CONCATENATE("R13C",'Mapa final'!$R$42),"")</f>
        <v/>
      </c>
      <c r="V150" s="114" t="str">
        <f>IF(AND('Mapa final'!$AB$40="Baja",'Mapa final'!$AD$40="Catastrófico"),CONCATENATE("R12C",'Mapa final'!$R$40),"")</f>
        <v/>
      </c>
      <c r="W150" s="142" t="str">
        <f>IF(AND('Mapa final'!$AB$41="Baja",'Mapa final'!$AD$41="Catastrófico"),CONCATENATE("R13C",'Mapa final'!$R$41),"")</f>
        <v/>
      </c>
      <c r="X150" s="115" t="str">
        <f>IF(AND('Mapa final'!$AB$42="Baja",'Mapa final'!$AD$42="Catastrófico"),CONCATENATE("R13C",'Mapa final'!$R$42),"")</f>
        <v/>
      </c>
      <c r="Y150" s="38"/>
      <c r="Z150" s="317"/>
      <c r="AA150" s="318"/>
      <c r="AB150" s="318"/>
      <c r="AC150" s="318"/>
      <c r="AD150" s="318"/>
      <c r="AE150" s="319"/>
      <c r="AF150" s="38"/>
      <c r="AG150" s="38"/>
      <c r="AH150" s="38"/>
      <c r="AI150" s="38"/>
      <c r="AJ150" s="38"/>
      <c r="AK150" s="38"/>
      <c r="AL150" s="38"/>
      <c r="AM150" s="38"/>
      <c r="AN150" s="38"/>
      <c r="AO150" s="38"/>
      <c r="AP150" s="38"/>
      <c r="AQ150" s="38"/>
      <c r="AR150" s="38"/>
      <c r="AS150" s="38"/>
      <c r="AT150" s="38"/>
      <c r="AU150" s="38"/>
      <c r="AV150" s="38"/>
      <c r="AW150" s="38"/>
      <c r="AX150" s="38"/>
      <c r="AY150" s="38"/>
      <c r="AZ150" s="38"/>
      <c r="BA150" s="38"/>
      <c r="BB150" s="38"/>
      <c r="BC150" s="38"/>
      <c r="BD150" s="38"/>
      <c r="BE150" s="38"/>
      <c r="BF150" s="38"/>
      <c r="BG150" s="38"/>
      <c r="BH150" s="38"/>
      <c r="BI150" s="38"/>
    </row>
    <row r="151" spans="1:61" ht="15" customHeight="1" x14ac:dyDescent="0.3">
      <c r="A151" s="38"/>
      <c r="B151" s="306"/>
      <c r="C151" s="307"/>
      <c r="D151" s="308"/>
      <c r="E151" s="288"/>
      <c r="F151" s="289"/>
      <c r="G151" s="289"/>
      <c r="H151" s="289"/>
      <c r="I151" s="289"/>
      <c r="J151" s="127" t="str">
        <f>IF(AND('Mapa final'!$AB$43="Baja",'Mapa final'!$AD$43="Leve"),CONCATENATE("R13C",'Mapa final'!$R$43),"")</f>
        <v/>
      </c>
      <c r="K151" s="144" t="str">
        <f>IF(AND('Mapa final'!$AB$44="Baja",'Mapa final'!$AD$44="Leve"),CONCATENATE("R14C",'Mapa final'!$R$44),"")</f>
        <v/>
      </c>
      <c r="L151" s="128" t="str">
        <f>IF(AND('Mapa final'!$AB$45="Baja",'Mapa final'!$AD$45="Leve"),CONCATENATE("R14C",'Mapa final'!$R$45),"")</f>
        <v/>
      </c>
      <c r="M151" s="119" t="str">
        <f>IF(AND('Mapa final'!$AB$43="Baja",'Mapa final'!$AD$43="Menor"),CONCATENATE("R13C",'Mapa final'!$R$43),"")</f>
        <v/>
      </c>
      <c r="N151" s="143" t="str">
        <f>IF(AND('Mapa final'!$AB$44="Baja",'Mapa final'!$AD$44="Menor"),CONCATENATE("R14C",'Mapa final'!$R$44),"")</f>
        <v/>
      </c>
      <c r="O151" s="120" t="str">
        <f>IF(AND('Mapa final'!$AB$45="Baja",'Mapa final'!$AD$45="Menor"),CONCATENATE("R14C",'Mapa final'!$R$45),"")</f>
        <v/>
      </c>
      <c r="P151" s="119" t="str">
        <f>IF(AND('Mapa final'!$AB$43="Baja",'Mapa final'!$AD$43="Moderado"),CONCATENATE("R13C",'Mapa final'!$R$43),"")</f>
        <v/>
      </c>
      <c r="Q151" s="143" t="str">
        <f>IF(AND('Mapa final'!$AB$44="Baja",'Mapa final'!$AD$44="Moderado"),CONCATENATE("R14C",'Mapa final'!$R$44),"")</f>
        <v>R14C1</v>
      </c>
      <c r="R151" s="120" t="str">
        <f>IF(AND('Mapa final'!$AB$45="Baja",'Mapa final'!$AD$45="Moderado"),CONCATENATE("R14C",'Mapa final'!$R$45),"")</f>
        <v/>
      </c>
      <c r="S151" s="148" t="str">
        <f>IF(AND('Mapa final'!$AB$43="Baja",'Mapa final'!$AD$43="Mayor"),CONCATENATE("R13C",'Mapa final'!$R$43),"")</f>
        <v/>
      </c>
      <c r="T151" s="149" t="str">
        <f>IF(AND('Mapa final'!$AB$44="Baja",'Mapa final'!$AD$44="Mayor"),CONCATENATE("R14C",'Mapa final'!$R$44),"")</f>
        <v/>
      </c>
      <c r="U151" s="150" t="str">
        <f>IF(AND('Mapa final'!$AB$45="Baja",'Mapa final'!$AD$45="Mayor"),CONCATENATE("R14C",'Mapa final'!$R$45),"")</f>
        <v/>
      </c>
      <c r="V151" s="114" t="str">
        <f>IF(AND('Mapa final'!$AB$43="Baja",'Mapa final'!$AD$43="Catastrófico"),CONCATENATE("R13C",'Mapa final'!$R$43),"")</f>
        <v/>
      </c>
      <c r="W151" s="142" t="str">
        <f>IF(AND('Mapa final'!$AB$44="Baja",'Mapa final'!$AD$44="Catastrófico"),CONCATENATE("R14C",'Mapa final'!$R$44),"")</f>
        <v/>
      </c>
      <c r="X151" s="115" t="str">
        <f>IF(AND('Mapa final'!$AB$45="Baja",'Mapa final'!$AD$45="Catastrófico"),CONCATENATE("R14C",'Mapa final'!$R$45),"")</f>
        <v/>
      </c>
      <c r="Y151" s="38"/>
      <c r="Z151" s="317"/>
      <c r="AA151" s="318"/>
      <c r="AB151" s="318"/>
      <c r="AC151" s="318"/>
      <c r="AD151" s="318"/>
      <c r="AE151" s="319"/>
      <c r="AF151" s="38"/>
      <c r="AG151" s="38"/>
      <c r="AH151" s="38"/>
      <c r="AI151" s="38"/>
      <c r="AJ151" s="38"/>
      <c r="AK151" s="38"/>
      <c r="AL151" s="38"/>
      <c r="AM151" s="38"/>
      <c r="AN151" s="38"/>
      <c r="AO151" s="38"/>
      <c r="AP151" s="38"/>
      <c r="AQ151" s="38"/>
      <c r="AR151" s="38"/>
      <c r="AS151" s="38"/>
      <c r="AT151" s="38"/>
      <c r="AU151" s="38"/>
      <c r="AV151" s="38"/>
      <c r="AW151" s="38"/>
      <c r="AX151" s="38"/>
      <c r="AY151" s="38"/>
      <c r="AZ151" s="38"/>
      <c r="BA151" s="38"/>
      <c r="BB151" s="38"/>
      <c r="BC151" s="38"/>
      <c r="BD151" s="38"/>
      <c r="BE151" s="38"/>
      <c r="BF151" s="38"/>
      <c r="BG151" s="38"/>
      <c r="BH151" s="38"/>
      <c r="BI151" s="38"/>
    </row>
    <row r="152" spans="1:61" ht="15" customHeight="1" x14ac:dyDescent="0.3">
      <c r="A152" s="38"/>
      <c r="B152" s="306"/>
      <c r="C152" s="307"/>
      <c r="D152" s="308"/>
      <c r="E152" s="288"/>
      <c r="F152" s="289"/>
      <c r="G152" s="289"/>
      <c r="H152" s="289"/>
      <c r="I152" s="289"/>
      <c r="J152" s="127" t="str">
        <f>IF(AND('Mapa final'!$AB$46="Baja",'Mapa final'!$AD$46="Leve"),CONCATENATE("R14C",'Mapa final'!$R$46),"")</f>
        <v/>
      </c>
      <c r="K152" s="144" t="str">
        <f>IF(AND('Mapa final'!$AB$47="Baja",'Mapa final'!$AD$47="Leve"),CONCATENATE("R14C",'Mapa final'!$R$47),"")</f>
        <v/>
      </c>
      <c r="L152" s="128" t="str">
        <f>IF(AND('Mapa final'!$AB$48="Baja",'Mapa final'!$AD$48="Leve"),CONCATENATE("R14C",'Mapa final'!$R$48),"")</f>
        <v/>
      </c>
      <c r="M152" s="119" t="str">
        <f>IF(AND('Mapa final'!$AB$46="Baja",'Mapa final'!$AD$46="Menor"),CONCATENATE("R14C",'Mapa final'!$R$46),"")</f>
        <v/>
      </c>
      <c r="N152" s="143" t="str">
        <f>IF(AND('Mapa final'!$AB$47="Baja",'Mapa final'!$AD$47="Menor"),CONCATENATE("R14C",'Mapa final'!$R$47),"")</f>
        <v/>
      </c>
      <c r="O152" s="120" t="str">
        <f>IF(AND('Mapa final'!$AB$48="Baja",'Mapa final'!$AD$48="Menor"),CONCATENATE("R14C",'Mapa final'!$R$48),"")</f>
        <v/>
      </c>
      <c r="P152" s="119" t="str">
        <f>IF(AND('Mapa final'!$AB$46="Baja",'Mapa final'!$AD$46="Moderado"),CONCATENATE("R14C",'Mapa final'!$R$46),"")</f>
        <v/>
      </c>
      <c r="Q152" s="143" t="str">
        <f>IF(AND('Mapa final'!$AB$47="Baja",'Mapa final'!$AD$47="Moderado"),CONCATENATE("R14C",'Mapa final'!$R$47),"")</f>
        <v/>
      </c>
      <c r="R152" s="120" t="str">
        <f>IF(AND('Mapa final'!$AB$48="Baja",'Mapa final'!$AD$48="Moderado"),CONCATENATE("R14C",'Mapa final'!$R$48),"")</f>
        <v/>
      </c>
      <c r="S152" s="148" t="str">
        <f>IF(AND('Mapa final'!$AB$46="Baja",'Mapa final'!$AD$46="Mayor"),CONCATENATE("R14C",'Mapa final'!$R$46),"")</f>
        <v/>
      </c>
      <c r="T152" s="149" t="str">
        <f>IF(AND('Mapa final'!$AB$47="Baja",'Mapa final'!$AD$47="Mayor"),CONCATENATE("R14C",'Mapa final'!$R$47),"")</f>
        <v/>
      </c>
      <c r="U152" s="150" t="str">
        <f>IF(AND('Mapa final'!$AB$48="Baja",'Mapa final'!$AD$48="Mayor"),CONCATENATE("R14C",'Mapa final'!$R$48),"")</f>
        <v/>
      </c>
      <c r="V152" s="114" t="str">
        <f>IF(AND('Mapa final'!$AB$46="Baja",'Mapa final'!$AD$46="Catastrófico"),CONCATENATE("R14C",'Mapa final'!$R$46),"")</f>
        <v/>
      </c>
      <c r="W152" s="142" t="str">
        <f>IF(AND('Mapa final'!$AB$47="Baja",'Mapa final'!$AD$47="Catastrófico"),CONCATENATE("R14C",'Mapa final'!$R$47),"")</f>
        <v/>
      </c>
      <c r="X152" s="115" t="str">
        <f>IF(AND('Mapa final'!$AB$48="Baja",'Mapa final'!$AD$48="Catastrófico"),CONCATENATE("R14C",'Mapa final'!$R$48),"")</f>
        <v/>
      </c>
      <c r="Y152" s="38"/>
      <c r="Z152" s="317"/>
      <c r="AA152" s="318"/>
      <c r="AB152" s="318"/>
      <c r="AC152" s="318"/>
      <c r="AD152" s="318"/>
      <c r="AE152" s="319"/>
      <c r="AF152" s="38"/>
      <c r="AG152" s="38"/>
      <c r="AH152" s="38"/>
      <c r="AI152" s="38"/>
      <c r="AJ152" s="38"/>
      <c r="AK152" s="38"/>
      <c r="AL152" s="38"/>
      <c r="AM152" s="38"/>
      <c r="AN152" s="38"/>
      <c r="AO152" s="38"/>
      <c r="AP152" s="38"/>
      <c r="AQ152" s="38"/>
      <c r="AR152" s="38"/>
      <c r="AS152" s="38"/>
      <c r="AT152" s="38"/>
      <c r="AU152" s="38"/>
      <c r="AV152" s="38"/>
      <c r="AW152" s="38"/>
      <c r="AX152" s="38"/>
      <c r="AY152" s="38"/>
      <c r="AZ152" s="38"/>
      <c r="BA152" s="38"/>
      <c r="BB152" s="38"/>
      <c r="BC152" s="38"/>
      <c r="BD152" s="38"/>
      <c r="BE152" s="38"/>
      <c r="BF152" s="38"/>
      <c r="BG152" s="38"/>
      <c r="BH152" s="38"/>
      <c r="BI152" s="38"/>
    </row>
    <row r="153" spans="1:61" ht="15" customHeight="1" x14ac:dyDescent="0.3">
      <c r="A153" s="38"/>
      <c r="B153" s="306"/>
      <c r="C153" s="307"/>
      <c r="D153" s="308"/>
      <c r="E153" s="288"/>
      <c r="F153" s="289"/>
      <c r="G153" s="289"/>
      <c r="H153" s="289"/>
      <c r="I153" s="289"/>
      <c r="J153" s="127" t="str">
        <f>IF(AND('Mapa final'!$AB$49="Baja",'Mapa final'!$AD$49="Leve"),CONCATENATE("R15C",'Mapa final'!$R$49),"")</f>
        <v/>
      </c>
      <c r="K153" s="144" t="str">
        <f>IF(AND('Mapa final'!$AB$50="Baja",'Mapa final'!$AD$50="Leve"),CONCATENATE("R15C",'Mapa final'!$R$50),"")</f>
        <v/>
      </c>
      <c r="L153" s="128" t="str">
        <f>IF(AND('Mapa final'!$AB$51="Baja",'Mapa final'!$AD$51="Leve"),CONCATENATE("R15C",'Mapa final'!$R$51),"")</f>
        <v/>
      </c>
      <c r="M153" s="119" t="str">
        <f>IF(AND('Mapa final'!$AB$49="Baja",'Mapa final'!$AD$49="Menor"),CONCATENATE("R15C",'Mapa final'!$R$49),"")</f>
        <v/>
      </c>
      <c r="N153" s="143" t="str">
        <f>IF(AND('Mapa final'!$AB$50="Baja",'Mapa final'!$AD$50="Menor"),CONCATENATE("R15C",'Mapa final'!$R$50),"")</f>
        <v/>
      </c>
      <c r="O153" s="120" t="str">
        <f>IF(AND('Mapa final'!$AB$51="Baja",'Mapa final'!$AD$51="Menor"),CONCATENATE("R15C",'Mapa final'!$R$51),"")</f>
        <v/>
      </c>
      <c r="P153" s="119" t="str">
        <f>IF(AND('Mapa final'!$AB$49="Baja",'Mapa final'!$AD$49="Moderado"),CONCATENATE("R15C",'Mapa final'!$R$49),"")</f>
        <v/>
      </c>
      <c r="Q153" s="143" t="str">
        <f>IF(AND('Mapa final'!$AB$50="Baja",'Mapa final'!$AD$50="Moderado"),CONCATENATE("R15C",'Mapa final'!$R$50),"")</f>
        <v/>
      </c>
      <c r="R153" s="120" t="str">
        <f>IF(AND('Mapa final'!$AB$51="Baja",'Mapa final'!$AD$51="Moderado"),CONCATENATE("R15C",'Mapa final'!$R$51),"")</f>
        <v/>
      </c>
      <c r="S153" s="148" t="str">
        <f>IF(AND('Mapa final'!$AB$49="Baja",'Mapa final'!$AD$49="Mayor"),CONCATENATE("R15C",'Mapa final'!$R$49),"")</f>
        <v/>
      </c>
      <c r="T153" s="149" t="str">
        <f>IF(AND('Mapa final'!$AB$50="Baja",'Mapa final'!$AD$50="Mayor"),CONCATENATE("R15C",'Mapa final'!$R$50),"")</f>
        <v/>
      </c>
      <c r="U153" s="150" t="str">
        <f>IF(AND('Mapa final'!$AB$51="Baja",'Mapa final'!$AD$51="Mayor"),CONCATENATE("R15C",'Mapa final'!$R$51),"")</f>
        <v/>
      </c>
      <c r="V153" s="114" t="str">
        <f>IF(AND('Mapa final'!$AB$49="Baja",'Mapa final'!$AD$49="Catastrófico"),CONCATENATE("R15C",'Mapa final'!$R$49),"")</f>
        <v/>
      </c>
      <c r="W153" s="142" t="str">
        <f>IF(AND('Mapa final'!$AB$50="Baja",'Mapa final'!$AD$50="Catastrófico"),CONCATENATE("R15C",'Mapa final'!$R$50),"")</f>
        <v/>
      </c>
      <c r="X153" s="115" t="str">
        <f>IF(AND('Mapa final'!$AB$51="Baja",'Mapa final'!$AD$51="Catastrófico"),CONCATENATE("R15C",'Mapa final'!$R$51),"")</f>
        <v/>
      </c>
      <c r="Y153" s="38"/>
      <c r="Z153" s="317"/>
      <c r="AA153" s="318"/>
      <c r="AB153" s="318"/>
      <c r="AC153" s="318"/>
      <c r="AD153" s="318"/>
      <c r="AE153" s="319"/>
      <c r="AF153" s="38"/>
      <c r="AG153" s="38"/>
      <c r="AH153" s="38"/>
      <c r="AI153" s="38"/>
      <c r="AJ153" s="38"/>
      <c r="AK153" s="38"/>
      <c r="AL153" s="38"/>
      <c r="AM153" s="38"/>
      <c r="AN153" s="38"/>
      <c r="AO153" s="38"/>
      <c r="AP153" s="38"/>
      <c r="AQ153" s="38"/>
      <c r="AR153" s="38"/>
      <c r="AS153" s="38"/>
      <c r="AT153" s="38"/>
      <c r="AU153" s="38"/>
      <c r="AV153" s="38"/>
      <c r="AW153" s="38"/>
      <c r="AX153" s="38"/>
      <c r="AY153" s="38"/>
      <c r="AZ153" s="38"/>
      <c r="BA153" s="38"/>
      <c r="BB153" s="38"/>
      <c r="BC153" s="38"/>
      <c r="BD153" s="38"/>
      <c r="BE153" s="38"/>
      <c r="BF153" s="38"/>
      <c r="BG153" s="38"/>
      <c r="BH153" s="38"/>
      <c r="BI153" s="38"/>
    </row>
    <row r="154" spans="1:61" ht="15" customHeight="1" x14ac:dyDescent="0.3">
      <c r="A154" s="38"/>
      <c r="B154" s="306"/>
      <c r="C154" s="307"/>
      <c r="D154" s="308"/>
      <c r="E154" s="288"/>
      <c r="F154" s="289"/>
      <c r="G154" s="289"/>
      <c r="H154" s="289"/>
      <c r="I154" s="289"/>
      <c r="J154" s="127" t="str">
        <f>IF(AND('Mapa final'!$AB$52="Baja",'Mapa final'!$AD$52="Leve"),CONCATENATE("R16C",'Mapa final'!$R$52),"")</f>
        <v/>
      </c>
      <c r="K154" s="144" t="str">
        <f>IF(AND('Mapa final'!$AB$53="Baja",'Mapa final'!$AD$53="Leve"),CONCATENATE("R16C",'Mapa final'!$R$53),"")</f>
        <v/>
      </c>
      <c r="L154" s="128" t="str">
        <f>IF(AND('Mapa final'!$AB$54="Baja",'Mapa final'!$AD$54="Leve"),CONCATENATE("R16C",'Mapa final'!$R$54),"")</f>
        <v/>
      </c>
      <c r="M154" s="119" t="str">
        <f>IF(AND('Mapa final'!$AB$52="Baja",'Mapa final'!$AD$52="Menor"),CONCATENATE("R16C",'Mapa final'!$R$52),"")</f>
        <v/>
      </c>
      <c r="N154" s="143" t="str">
        <f>IF(AND('Mapa final'!$AB$53="Baja",'Mapa final'!$AD$53="Menor"),CONCATENATE("R16C",'Mapa final'!$R$53),"")</f>
        <v/>
      </c>
      <c r="O154" s="120" t="str">
        <f>IF(AND('Mapa final'!$AB$54="Baja",'Mapa final'!$AD$54="Menor"),CONCATENATE("R16C",'Mapa final'!$R$54),"")</f>
        <v/>
      </c>
      <c r="P154" s="119" t="str">
        <f>IF(AND('Mapa final'!$AB$52="Baja",'Mapa final'!$AD$52="Moderado"),CONCATENATE("R16C",'Mapa final'!$R$52),"")</f>
        <v>R16C1</v>
      </c>
      <c r="Q154" s="143" t="str">
        <f>IF(AND('Mapa final'!$AB$53="Baja",'Mapa final'!$AD$53="Moderado"),CONCATENATE("R16C",'Mapa final'!$R$53),"")</f>
        <v/>
      </c>
      <c r="R154" s="120" t="str">
        <f>IF(AND('Mapa final'!$AB$54="Baja",'Mapa final'!$AD$54="Moderado"),CONCATENATE("R16C",'Mapa final'!$R$54),"")</f>
        <v/>
      </c>
      <c r="S154" s="148" t="str">
        <f>IF(AND('Mapa final'!$AB$52="Baja",'Mapa final'!$AD$52="Mayor"),CONCATENATE("R16C",'Mapa final'!$R$52),"")</f>
        <v/>
      </c>
      <c r="T154" s="149" t="str">
        <f>IF(AND('Mapa final'!$AB$53="Baja",'Mapa final'!$AD$53="Mayor"),CONCATENATE("R16C",'Mapa final'!$R$53),"")</f>
        <v/>
      </c>
      <c r="U154" s="150" t="str">
        <f>IF(AND('Mapa final'!$AB$54="Baja",'Mapa final'!$AD$54="Mayor"),CONCATENATE("R16C",'Mapa final'!$R$54),"")</f>
        <v/>
      </c>
      <c r="V154" s="114" t="str">
        <f>IF(AND('Mapa final'!$AB$52="Baja",'Mapa final'!$AD$52="Catastrófico"),CONCATENATE("R16C",'Mapa final'!$R$52),"")</f>
        <v/>
      </c>
      <c r="W154" s="142" t="str">
        <f>IF(AND('Mapa final'!$AB$53="Baja",'Mapa final'!$AD$53="Catastrófico"),CONCATENATE("R16C",'Mapa final'!$R$53),"")</f>
        <v/>
      </c>
      <c r="X154" s="115" t="str">
        <f>IF(AND('Mapa final'!$AB$54="Baja",'Mapa final'!$AD$54="Catastrófico"),CONCATENATE("R16C",'Mapa final'!$R$54),"")</f>
        <v/>
      </c>
      <c r="Y154" s="38"/>
      <c r="Z154" s="317"/>
      <c r="AA154" s="318"/>
      <c r="AB154" s="318"/>
      <c r="AC154" s="318"/>
      <c r="AD154" s="318"/>
      <c r="AE154" s="319"/>
      <c r="AF154" s="38"/>
      <c r="AG154" s="38"/>
      <c r="AH154" s="38"/>
      <c r="AI154" s="38"/>
      <c r="AJ154" s="38"/>
      <c r="AK154" s="38"/>
      <c r="AL154" s="38"/>
      <c r="AM154" s="38"/>
      <c r="AN154" s="38"/>
      <c r="AO154" s="38"/>
      <c r="AP154" s="38"/>
      <c r="AQ154" s="38"/>
      <c r="AR154" s="38"/>
      <c r="AS154" s="38"/>
      <c r="AT154" s="38"/>
      <c r="AU154" s="38"/>
      <c r="AV154" s="38"/>
      <c r="AW154" s="38"/>
      <c r="AX154" s="38"/>
      <c r="AY154" s="38"/>
      <c r="AZ154" s="38"/>
      <c r="BA154" s="38"/>
      <c r="BB154" s="38"/>
      <c r="BC154" s="38"/>
      <c r="BD154" s="38"/>
      <c r="BE154" s="38"/>
      <c r="BF154" s="38"/>
      <c r="BG154" s="38"/>
      <c r="BH154" s="38"/>
      <c r="BI154" s="38"/>
    </row>
    <row r="155" spans="1:61" ht="15" customHeight="1" x14ac:dyDescent="0.3">
      <c r="A155" s="38"/>
      <c r="B155" s="306"/>
      <c r="C155" s="307"/>
      <c r="D155" s="308"/>
      <c r="E155" s="288"/>
      <c r="F155" s="289"/>
      <c r="G155" s="289"/>
      <c r="H155" s="289"/>
      <c r="I155" s="289"/>
      <c r="J155" s="127" t="str">
        <f>IF(AND('Mapa final'!$AB$55="Baja",'Mapa final'!$AD$55="Leve"),CONCATENATE("R17C",'Mapa final'!$R$55),"")</f>
        <v/>
      </c>
      <c r="K155" s="144" t="str">
        <f>IF(AND('Mapa final'!$AB$56="Baja",'Mapa final'!$AD$56="Leve"),CONCATENATE("R17C",'Mapa final'!$R$56),"")</f>
        <v/>
      </c>
      <c r="L155" s="128" t="str">
        <f>IF(AND('Mapa final'!$AB$57="Baja",'Mapa final'!$AD$57="Leve"),CONCATENATE("R17C",'Mapa final'!$R$57),"")</f>
        <v/>
      </c>
      <c r="M155" s="119" t="str">
        <f>IF(AND('Mapa final'!$AB$55="Baja",'Mapa final'!$AD$55="Menor"),CONCATENATE("R17C",'Mapa final'!$R$55),"")</f>
        <v/>
      </c>
      <c r="N155" s="143" t="str">
        <f>IF(AND('Mapa final'!$AB$56="Baja",'Mapa final'!$AD$56="Menor"),CONCATENATE("R17C",'Mapa final'!$R$56),"")</f>
        <v/>
      </c>
      <c r="O155" s="120" t="str">
        <f>IF(AND('Mapa final'!$AB$57="Baja",'Mapa final'!$AD$57="Menor"),CONCATENATE("R17C",'Mapa final'!$R$57),"")</f>
        <v/>
      </c>
      <c r="P155" s="119" t="str">
        <f>IF(AND('Mapa final'!$AB$55="Baja",'Mapa final'!$AD$55="Moderado"),CONCATENATE("R17C",'Mapa final'!$R$55),"")</f>
        <v/>
      </c>
      <c r="Q155" s="143" t="str">
        <f>IF(AND('Mapa final'!$AB$56="Baja",'Mapa final'!$AD$56="Moderado"),CONCATENATE("R17C",'Mapa final'!$R$56),"")</f>
        <v/>
      </c>
      <c r="R155" s="120" t="str">
        <f>IF(AND('Mapa final'!$AB$57="Baja",'Mapa final'!$AD$57="Moderado"),CONCATENATE("R17C",'Mapa final'!$R$57),"")</f>
        <v/>
      </c>
      <c r="S155" s="148" t="str">
        <f>IF(AND('Mapa final'!$AB$55="Baja",'Mapa final'!$AD$55="Mayor"),CONCATENATE("R17C",'Mapa final'!$R$55),"")</f>
        <v/>
      </c>
      <c r="T155" s="149" t="str">
        <f>IF(AND('Mapa final'!$AB$56="Baja",'Mapa final'!$AD$56="Mayor"),CONCATENATE("R17C",'Mapa final'!$R$56),"")</f>
        <v/>
      </c>
      <c r="U155" s="150" t="str">
        <f>IF(AND('Mapa final'!$AB$57="Baja",'Mapa final'!$AD$57="Mayor"),CONCATENATE("R17C",'Mapa final'!$R$57),"")</f>
        <v/>
      </c>
      <c r="V155" s="114" t="str">
        <f>IF(AND('Mapa final'!$AB$55="Baja",'Mapa final'!$AD$55="Catastrófico"),CONCATENATE("R17C",'Mapa final'!$R$55),"")</f>
        <v/>
      </c>
      <c r="W155" s="142" t="str">
        <f>IF(AND('Mapa final'!$AB$56="Baja",'Mapa final'!$AD$56="Catastrófico"),CONCATENATE("R17C",'Mapa final'!$R$56),"")</f>
        <v/>
      </c>
      <c r="X155" s="115" t="str">
        <f>IF(AND('Mapa final'!$AB$57="Baja",'Mapa final'!$AD$57="Catastrófico"),CONCATENATE("R17C",'Mapa final'!$R$57),"")</f>
        <v/>
      </c>
      <c r="Y155" s="38"/>
      <c r="Z155" s="317"/>
      <c r="AA155" s="318"/>
      <c r="AB155" s="318"/>
      <c r="AC155" s="318"/>
      <c r="AD155" s="318"/>
      <c r="AE155" s="319"/>
      <c r="AF155" s="38"/>
      <c r="AG155" s="38"/>
      <c r="AH155" s="38"/>
      <c r="AI155" s="38"/>
      <c r="AJ155" s="38"/>
      <c r="AK155" s="38"/>
      <c r="AL155" s="38"/>
      <c r="AM155" s="38"/>
      <c r="AN155" s="38"/>
      <c r="AO155" s="38"/>
      <c r="AP155" s="38"/>
      <c r="AQ155" s="38"/>
      <c r="AR155" s="38"/>
      <c r="AS155" s="38"/>
      <c r="AT155" s="38"/>
      <c r="AU155" s="38"/>
      <c r="AV155" s="38"/>
      <c r="AW155" s="38"/>
      <c r="AX155" s="38"/>
      <c r="AY155" s="38"/>
      <c r="AZ155" s="38"/>
      <c r="BA155" s="38"/>
      <c r="BB155" s="38"/>
      <c r="BC155" s="38"/>
      <c r="BD155" s="38"/>
      <c r="BE155" s="38"/>
      <c r="BF155" s="38"/>
      <c r="BG155" s="38"/>
      <c r="BH155" s="38"/>
      <c r="BI155" s="38"/>
    </row>
    <row r="156" spans="1:61" ht="15" customHeight="1" x14ac:dyDescent="0.3">
      <c r="A156" s="38"/>
      <c r="B156" s="306"/>
      <c r="C156" s="307"/>
      <c r="D156" s="308"/>
      <c r="E156" s="288"/>
      <c r="F156" s="289"/>
      <c r="G156" s="289"/>
      <c r="H156" s="289"/>
      <c r="I156" s="289"/>
      <c r="J156" s="127" t="str">
        <f>IF(AND('Mapa final'!$AB$58="Baja",'Mapa final'!$AD$58="Leve"),CONCATENATE("R18C",'Mapa final'!$R$58),"")</f>
        <v/>
      </c>
      <c r="K156" s="144" t="str">
        <f>IF(AND('Mapa final'!$AB$59="Baja",'Mapa final'!$AD$59="Leve"),CONCATENATE("R18C",'Mapa final'!$R$59),"")</f>
        <v/>
      </c>
      <c r="L156" s="128" t="str">
        <f>IF(AND('Mapa final'!$AB$60="Baja",'Mapa final'!$AD$60="Leve"),CONCATENATE("R18C",'Mapa final'!$R$60),"")</f>
        <v/>
      </c>
      <c r="M156" s="119" t="str">
        <f>IF(AND('Mapa final'!$AB$58="Baja",'Mapa final'!$AD$58="Menor"),CONCATENATE("R18C",'Mapa final'!$R$58),"")</f>
        <v/>
      </c>
      <c r="N156" s="143" t="str">
        <f>IF(AND('Mapa final'!$AB$59="Baja",'Mapa final'!$AD$59="Menor"),CONCATENATE("R18C",'Mapa final'!$R$59),"")</f>
        <v/>
      </c>
      <c r="O156" s="120" t="str">
        <f>IF(AND('Mapa final'!$AB$60="Baja",'Mapa final'!$AD$60="Menor"),CONCATENATE("R18C",'Mapa final'!$R$60),"")</f>
        <v/>
      </c>
      <c r="P156" s="119" t="str">
        <f>IF(AND('Mapa final'!$AB$58="Baja",'Mapa final'!$AD$58="Moderado"),CONCATENATE("R18C",'Mapa final'!$R$58),"")</f>
        <v>R18C1</v>
      </c>
      <c r="Q156" s="143" t="str">
        <f>IF(AND('Mapa final'!$AB$59="Baja",'Mapa final'!$AD$59="Moderado"),CONCATENATE("R18C",'Mapa final'!$R$59),"")</f>
        <v/>
      </c>
      <c r="R156" s="120" t="str">
        <f>IF(AND('Mapa final'!$AB$60="Baja",'Mapa final'!$AD$60="Moderado"),CONCATENATE("R18C",'Mapa final'!$R$60),"")</f>
        <v/>
      </c>
      <c r="S156" s="148" t="str">
        <f>IF(AND('Mapa final'!$AB$58="Baja",'Mapa final'!$AD$58="Mayor"),CONCATENATE("R18C",'Mapa final'!$R$58),"")</f>
        <v/>
      </c>
      <c r="T156" s="149" t="str">
        <f>IF(AND('Mapa final'!$AB$59="Baja",'Mapa final'!$AD$59="Mayor"),CONCATENATE("R18C",'Mapa final'!$R$59),"")</f>
        <v/>
      </c>
      <c r="U156" s="150" t="str">
        <f>IF(AND('Mapa final'!$AB$60="Baja",'Mapa final'!$AD$60="Mayor"),CONCATENATE("R18C",'Mapa final'!$R$60),"")</f>
        <v/>
      </c>
      <c r="V156" s="114" t="str">
        <f>IF(AND('Mapa final'!$AB$58="Baja",'Mapa final'!$AD$58="Catastrófico"),CONCATENATE("R18C",'Mapa final'!$R$58),"")</f>
        <v/>
      </c>
      <c r="W156" s="142" t="str">
        <f>IF(AND('Mapa final'!$AB$59="Baja",'Mapa final'!$AD$59="Catastrófico"),CONCATENATE("R18C",'Mapa final'!$R$59),"")</f>
        <v/>
      </c>
      <c r="X156" s="115" t="str">
        <f>IF(AND('Mapa final'!$AB$60="Baja",'Mapa final'!$AD$60="Catastrófico"),CONCATENATE("R18C",'Mapa final'!$R$60),"")</f>
        <v/>
      </c>
      <c r="Y156" s="38"/>
      <c r="Z156" s="317"/>
      <c r="AA156" s="318"/>
      <c r="AB156" s="318"/>
      <c r="AC156" s="318"/>
      <c r="AD156" s="318"/>
      <c r="AE156" s="319"/>
      <c r="AF156" s="38"/>
      <c r="AG156" s="38"/>
      <c r="AH156" s="38"/>
      <c r="AI156" s="38"/>
      <c r="AJ156" s="38"/>
      <c r="AK156" s="38"/>
      <c r="AL156" s="38"/>
      <c r="AM156" s="38"/>
      <c r="AN156" s="38"/>
      <c r="AO156" s="38"/>
      <c r="AP156" s="38"/>
      <c r="AQ156" s="38"/>
      <c r="AR156" s="38"/>
      <c r="AS156" s="38"/>
      <c r="AT156" s="38"/>
      <c r="AU156" s="38"/>
      <c r="AV156" s="38"/>
      <c r="AW156" s="38"/>
      <c r="AX156" s="38"/>
      <c r="AY156" s="38"/>
      <c r="AZ156" s="38"/>
      <c r="BA156" s="38"/>
      <c r="BB156" s="38"/>
      <c r="BC156" s="38"/>
      <c r="BD156" s="38"/>
      <c r="BE156" s="38"/>
      <c r="BF156" s="38"/>
      <c r="BG156" s="38"/>
      <c r="BH156" s="38"/>
      <c r="BI156" s="38"/>
    </row>
    <row r="157" spans="1:61" ht="15" customHeight="1" x14ac:dyDescent="0.3">
      <c r="A157" s="38"/>
      <c r="B157" s="306"/>
      <c r="C157" s="307"/>
      <c r="D157" s="308"/>
      <c r="E157" s="288"/>
      <c r="F157" s="289"/>
      <c r="G157" s="289"/>
      <c r="H157" s="289"/>
      <c r="I157" s="289"/>
      <c r="J157" s="127" t="str">
        <f>IF(AND('Mapa final'!$AB$61="Baja",'Mapa final'!$AD$61="Leve"),CONCATENATE("R19C",'Mapa final'!$R$61),"")</f>
        <v/>
      </c>
      <c r="K157" s="144" t="str">
        <f>IF(AND('Mapa final'!$AB$62="Baja",'Mapa final'!$AD$62="Leve"),CONCATENATE("R19C",'Mapa final'!$R$62),"")</f>
        <v>R19C2</v>
      </c>
      <c r="L157" s="128" t="str">
        <f>IF(AND('Mapa final'!$AB$63="Baja",'Mapa final'!$AD$63="Leve"),CONCATENATE("R19C",'Mapa final'!$R$63),"")</f>
        <v/>
      </c>
      <c r="M157" s="119" t="str">
        <f>IF(AND('Mapa final'!$AB$61="Baja",'Mapa final'!$AD$61="Menor"),CONCATENATE("R19C",'Mapa final'!$R$61),"")</f>
        <v/>
      </c>
      <c r="N157" s="143" t="str">
        <f>IF(AND('Mapa final'!$AB$62="Baja",'Mapa final'!$AD$62="Menor"),CONCATENATE("R19C",'Mapa final'!$R$62),"")</f>
        <v/>
      </c>
      <c r="O157" s="120" t="str">
        <f>IF(AND('Mapa final'!$AB$63="Baja",'Mapa final'!$AD$63="Menor"),CONCATENATE("R19C",'Mapa final'!$R$63),"")</f>
        <v/>
      </c>
      <c r="P157" s="119" t="str">
        <f>IF(AND('Mapa final'!$AB$61="Baja",'Mapa final'!$AD$61="Moderado"),CONCATENATE("R19C",'Mapa final'!$R$61),"")</f>
        <v/>
      </c>
      <c r="Q157" s="143" t="str">
        <f>IF(AND('Mapa final'!$AB$62="Baja",'Mapa final'!$AD$62="Moderado"),CONCATENATE("R19C",'Mapa final'!$R$62),"")</f>
        <v/>
      </c>
      <c r="R157" s="120" t="str">
        <f>IF(AND('Mapa final'!$AB$63="Baja",'Mapa final'!$AD$63="Moderado"),CONCATENATE("R19C",'Mapa final'!$R$63),"")</f>
        <v/>
      </c>
      <c r="S157" s="148" t="str">
        <f>IF(AND('Mapa final'!$AB$61="Baja",'Mapa final'!$AD$61="Mayor"),CONCATENATE("R19C",'Mapa final'!$R$61),"")</f>
        <v>R19C1</v>
      </c>
      <c r="T157" s="149" t="str">
        <f>IF(AND('Mapa final'!$AB$62="Baja",'Mapa final'!$AD$62="Mayor"),CONCATENATE("R19C",'Mapa final'!$R$62),"")</f>
        <v/>
      </c>
      <c r="U157" s="150" t="str">
        <f>IF(AND('Mapa final'!$AB$63="Baja",'Mapa final'!$AD$63="Mayor"),CONCATENATE("R19C",'Mapa final'!$R$63),"")</f>
        <v/>
      </c>
      <c r="V157" s="114" t="str">
        <f>IF(AND('Mapa final'!$AB$61="Baja",'Mapa final'!$AD$61="Catastrófico"),CONCATENATE("R19C",'Mapa final'!$R$61),"")</f>
        <v/>
      </c>
      <c r="W157" s="142" t="str">
        <f>IF(AND('Mapa final'!$AB$62="Baja",'Mapa final'!$AD$62="Catastrófico"),CONCATENATE("R19C",'Mapa final'!$R$62),"")</f>
        <v/>
      </c>
      <c r="X157" s="115" t="str">
        <f>IF(AND('Mapa final'!$AB$63="Baja",'Mapa final'!$AD$63="Catastrófico"),CONCATENATE("R19C",'Mapa final'!$R$63),"")</f>
        <v/>
      </c>
      <c r="Y157" s="38"/>
      <c r="Z157" s="317"/>
      <c r="AA157" s="318"/>
      <c r="AB157" s="318"/>
      <c r="AC157" s="318"/>
      <c r="AD157" s="318"/>
      <c r="AE157" s="319"/>
      <c r="AF157" s="38"/>
      <c r="AG157" s="38"/>
      <c r="AH157" s="38"/>
      <c r="AI157" s="38"/>
      <c r="AJ157" s="38"/>
      <c r="AK157" s="38"/>
      <c r="AL157" s="38"/>
      <c r="AM157" s="38"/>
      <c r="AN157" s="38"/>
      <c r="AO157" s="38"/>
      <c r="AP157" s="38"/>
      <c r="AQ157" s="38"/>
      <c r="AR157" s="38"/>
      <c r="AS157" s="38"/>
      <c r="AT157" s="38"/>
      <c r="AU157" s="38"/>
      <c r="AV157" s="38"/>
      <c r="AW157" s="38"/>
      <c r="AX157" s="38"/>
      <c r="AY157" s="38"/>
      <c r="AZ157" s="38"/>
      <c r="BA157" s="38"/>
      <c r="BB157" s="38"/>
      <c r="BC157" s="38"/>
      <c r="BD157" s="38"/>
      <c r="BE157" s="38"/>
      <c r="BF157" s="38"/>
      <c r="BG157" s="38"/>
      <c r="BH157" s="38"/>
      <c r="BI157" s="38"/>
    </row>
    <row r="158" spans="1:61" ht="15" customHeight="1" x14ac:dyDescent="0.3">
      <c r="A158" s="38"/>
      <c r="B158" s="306"/>
      <c r="C158" s="307"/>
      <c r="D158" s="308"/>
      <c r="E158" s="288"/>
      <c r="F158" s="289"/>
      <c r="G158" s="289"/>
      <c r="H158" s="289"/>
      <c r="I158" s="289"/>
      <c r="J158" s="127" t="str">
        <f>IF(AND('Mapa final'!$AB$64="Baja",'Mapa final'!$AD$64="Leve"),CONCATENATE("R20",'Mapa final'!$R$64),"")</f>
        <v/>
      </c>
      <c r="K158" s="144" t="str">
        <f>IF(AND('Mapa final'!$AB$65="Baja",'Mapa final'!$AD$65="Leve"),CONCATENATE("R20C",'Mapa final'!$R$65),"")</f>
        <v>R20C2</v>
      </c>
      <c r="L158" s="128" t="str">
        <f>IF(AND('Mapa final'!$AB$66="Baja",'Mapa final'!$AD$66="Leve"),CONCATENATE("R20C",'Mapa final'!$R$66),"")</f>
        <v/>
      </c>
      <c r="M158" s="119" t="str">
        <f>IF(AND('Mapa final'!$AB$64="Baja",'Mapa final'!$AD$64="Menor"),CONCATENATE("R20",'Mapa final'!$R$64),"")</f>
        <v/>
      </c>
      <c r="N158" s="143" t="str">
        <f>IF(AND('Mapa final'!$AB$65="Baja",'Mapa final'!$AD$65="Menor"),CONCATENATE("R20C",'Mapa final'!$R$65),"")</f>
        <v/>
      </c>
      <c r="O158" s="120" t="str">
        <f>IF(AND('Mapa final'!$AB$66="Baja",'Mapa final'!$AD$66="Menor"),CONCATENATE("R20C",'Mapa final'!$R$66),"")</f>
        <v/>
      </c>
      <c r="P158" s="119" t="str">
        <f>IF(AND('Mapa final'!$AB$64="Baja",'Mapa final'!$AD$64="Moderado"),CONCATENATE("R20",'Mapa final'!$R$64),"")</f>
        <v/>
      </c>
      <c r="Q158" s="143" t="str">
        <f>IF(AND('Mapa final'!$AB$65="Baja",'Mapa final'!$AD$65="Moderado"),CONCATENATE("R20C",'Mapa final'!$R$65),"")</f>
        <v/>
      </c>
      <c r="R158" s="120" t="str">
        <f>IF(AND('Mapa final'!$AB$66="Baja",'Mapa final'!$AD$66="Moderado"),CONCATENATE("R20C",'Mapa final'!$R$66),"")</f>
        <v/>
      </c>
      <c r="S158" s="148" t="str">
        <f>IF(AND('Mapa final'!$AB$64="Baja",'Mapa final'!$AD$64="Mayor"),CONCATENATE("R20",'Mapa final'!$R$64),"")</f>
        <v>R201</v>
      </c>
      <c r="T158" s="149" t="str">
        <f>IF(AND('Mapa final'!$AB$65="Baja",'Mapa final'!$AD$65="Mayor"),CONCATENATE("R20C",'Mapa final'!$R$65),"")</f>
        <v/>
      </c>
      <c r="U158" s="150" t="str">
        <f>IF(AND('Mapa final'!$AB$66="Baja",'Mapa final'!$AD$66="Mayor"),CONCATENATE("R20C",'Mapa final'!$R$66),"")</f>
        <v/>
      </c>
      <c r="V158" s="114" t="str">
        <f>IF(AND('Mapa final'!$AB$64="Baja",'Mapa final'!$AD$64="Catastrófico"),CONCATENATE("R20",'Mapa final'!$R$64),"")</f>
        <v/>
      </c>
      <c r="W158" s="142" t="str">
        <f>IF(AND('Mapa final'!$AB$65="Baja",'Mapa final'!$AD$65="Catastrófico"),CONCATENATE("R20C",'Mapa final'!$R$65),"")</f>
        <v/>
      </c>
      <c r="X158" s="115" t="str">
        <f>IF(AND('Mapa final'!$AB$66="Baja",'Mapa final'!$AD$66="Catastrófico"),CONCATENATE("R20C",'Mapa final'!$R$66),"")</f>
        <v/>
      </c>
      <c r="Y158" s="38"/>
      <c r="Z158" s="317"/>
      <c r="AA158" s="318"/>
      <c r="AB158" s="318"/>
      <c r="AC158" s="318"/>
      <c r="AD158" s="318"/>
      <c r="AE158" s="319"/>
      <c r="AF158" s="38"/>
      <c r="AG158" s="38"/>
      <c r="AH158" s="38"/>
      <c r="AI158" s="38"/>
      <c r="AJ158" s="38"/>
      <c r="AK158" s="38"/>
      <c r="AL158" s="38"/>
      <c r="AM158" s="38"/>
      <c r="AN158" s="38"/>
      <c r="AO158" s="38"/>
      <c r="AP158" s="38"/>
      <c r="AQ158" s="38"/>
      <c r="AR158" s="38"/>
      <c r="AS158" s="38"/>
      <c r="AT158" s="38"/>
      <c r="AU158" s="38"/>
      <c r="AV158" s="38"/>
      <c r="AW158" s="38"/>
      <c r="AX158" s="38"/>
      <c r="AY158" s="38"/>
      <c r="AZ158" s="38"/>
      <c r="BA158" s="38"/>
      <c r="BB158" s="38"/>
      <c r="BC158" s="38"/>
      <c r="BD158" s="38"/>
      <c r="BE158" s="38"/>
      <c r="BF158" s="38"/>
      <c r="BG158" s="38"/>
      <c r="BH158" s="38"/>
      <c r="BI158" s="38"/>
    </row>
    <row r="159" spans="1:61" ht="15" customHeight="1" x14ac:dyDescent="0.3">
      <c r="A159" s="38"/>
      <c r="B159" s="306"/>
      <c r="C159" s="307"/>
      <c r="D159" s="308"/>
      <c r="E159" s="288"/>
      <c r="F159" s="289"/>
      <c r="G159" s="289"/>
      <c r="H159" s="289"/>
      <c r="I159" s="289"/>
      <c r="J159" s="127" t="str">
        <f>IF(AND('Mapa final'!$AB$67="Baja",'Mapa final'!$AD$67="Leve"),CONCATENATE("R21C",'Mapa final'!$R$67),"")</f>
        <v/>
      </c>
      <c r="K159" s="144" t="str">
        <f>IF(AND('Mapa final'!$AB$68="Baja",'Mapa final'!$AD$68="Leve"),CONCATENATE("R21C",'Mapa final'!$R$68),"")</f>
        <v/>
      </c>
      <c r="L159" s="128" t="str">
        <f>IF(AND('Mapa final'!$AB$69="Baja",'Mapa final'!$AD$69="Leve"),CONCATENATE("R21C",'Mapa final'!$R$69),"")</f>
        <v/>
      </c>
      <c r="M159" s="119" t="str">
        <f>IF(AND('Mapa final'!$AB$67="Baja",'Mapa final'!$AD$67="Menor"),CONCATENATE("R21C",'Mapa final'!$R$67),"")</f>
        <v/>
      </c>
      <c r="N159" s="143" t="str">
        <f>IF(AND('Mapa final'!$AB$68="Baja",'Mapa final'!$AD$68="Menor"),CONCATENATE("R21C",'Mapa final'!$R$68),"")</f>
        <v/>
      </c>
      <c r="O159" s="120" t="str">
        <f>IF(AND('Mapa final'!$AB$69="Baja",'Mapa final'!$AD$69="Menor"),CONCATENATE("R21C",'Mapa final'!$R$69),"")</f>
        <v/>
      </c>
      <c r="P159" s="119" t="str">
        <f>IF(AND('Mapa final'!$AB$67="Baja",'Mapa final'!$AD$67="Moderado"),CONCATENATE("R21C",'Mapa final'!$R$67),"")</f>
        <v/>
      </c>
      <c r="Q159" s="143" t="str">
        <f>IF(AND('Mapa final'!$AB$68="Baja",'Mapa final'!$AD$68="Moderado"),CONCATENATE("R21C",'Mapa final'!$R$68),"")</f>
        <v/>
      </c>
      <c r="R159" s="120" t="str">
        <f>IF(AND('Mapa final'!$AB$69="Baja",'Mapa final'!$AD$69="Moderado"),CONCATENATE("R21C",'Mapa final'!$R$69),"")</f>
        <v/>
      </c>
      <c r="S159" s="148" t="str">
        <f>IF(AND('Mapa final'!$AB$67="Baja",'Mapa final'!$AD$67="Mayor"),CONCATENATE("R21C",'Mapa final'!$R$67),"")</f>
        <v/>
      </c>
      <c r="T159" s="149" t="str">
        <f>IF(AND('Mapa final'!$AB$68="Baja",'Mapa final'!$AD$68="Mayor"),CONCATENATE("R21C",'Mapa final'!$R$68),"")</f>
        <v>R21C2</v>
      </c>
      <c r="U159" s="150" t="str">
        <f>IF(AND('Mapa final'!$AB$69="Baja",'Mapa final'!$AD$69="Mayor"),CONCATENATE("R21C",'Mapa final'!$R$69),"")</f>
        <v/>
      </c>
      <c r="V159" s="114" t="str">
        <f>IF(AND('Mapa final'!$AB$67="Baja",'Mapa final'!$AD$67="Catastrófico"),CONCATENATE("R21C",'Mapa final'!$R$67),"")</f>
        <v/>
      </c>
      <c r="W159" s="142" t="str">
        <f>IF(AND('Mapa final'!$AB$68="Baja",'Mapa final'!$AD$68="Catastrófico"),CONCATENATE("R21C",'Mapa final'!$R$68),"")</f>
        <v/>
      </c>
      <c r="X159" s="115" t="str">
        <f>IF(AND('Mapa final'!$AB$69="Baja",'Mapa final'!$AD$69="Catastrófico"),CONCATENATE("R21C",'Mapa final'!$R$69),"")</f>
        <v/>
      </c>
      <c r="Y159" s="38"/>
      <c r="Z159" s="317"/>
      <c r="AA159" s="318"/>
      <c r="AB159" s="318"/>
      <c r="AC159" s="318"/>
      <c r="AD159" s="318"/>
      <c r="AE159" s="319"/>
      <c r="AF159" s="38"/>
      <c r="AG159" s="38"/>
      <c r="AH159" s="38"/>
      <c r="AI159" s="38"/>
      <c r="AJ159" s="38"/>
      <c r="AK159" s="38"/>
      <c r="AL159" s="38"/>
      <c r="AM159" s="38"/>
      <c r="AN159" s="38"/>
      <c r="AO159" s="38"/>
      <c r="AP159" s="38"/>
      <c r="AQ159" s="38"/>
      <c r="AR159" s="38"/>
      <c r="AS159" s="38"/>
      <c r="AT159" s="38"/>
      <c r="AU159" s="38"/>
      <c r="AV159" s="38"/>
      <c r="AW159" s="38"/>
      <c r="AX159" s="38"/>
      <c r="AY159" s="38"/>
      <c r="AZ159" s="38"/>
      <c r="BA159" s="38"/>
      <c r="BB159" s="38"/>
      <c r="BC159" s="38"/>
      <c r="BD159" s="38"/>
      <c r="BE159" s="38"/>
      <c r="BF159" s="38"/>
      <c r="BG159" s="38"/>
      <c r="BH159" s="38"/>
      <c r="BI159" s="38"/>
    </row>
    <row r="160" spans="1:61" ht="15" customHeight="1" x14ac:dyDescent="0.3">
      <c r="A160" s="38"/>
      <c r="B160" s="306"/>
      <c r="C160" s="307"/>
      <c r="D160" s="308"/>
      <c r="E160" s="288"/>
      <c r="F160" s="289"/>
      <c r="G160" s="289"/>
      <c r="H160" s="289"/>
      <c r="I160" s="289"/>
      <c r="J160" s="127" t="str">
        <f>IF(AND('Mapa final'!$AB$70="Baja",'Mapa final'!$AD$70="Leve"),CONCATENATE("R22C",'Mapa final'!$R$70),"")</f>
        <v/>
      </c>
      <c r="K160" s="144" t="str">
        <f>IF(AND('Mapa final'!$AB$71="Baja",'Mapa final'!$AD$71="Leve"),CONCATENATE("R22C",'Mapa final'!$R$71),"")</f>
        <v/>
      </c>
      <c r="L160" s="128" t="str">
        <f>IF(AND('Mapa final'!$AB$72="Baja",'Mapa final'!$AD$72="Leve"),CONCATENATE("R2C",'Mapa final'!$R$72),"")</f>
        <v/>
      </c>
      <c r="M160" s="119" t="str">
        <f>IF(AND('Mapa final'!$AB$70="Baja",'Mapa final'!$AD$70="Menor"),CONCATENATE("R22C",'Mapa final'!$R$70),"")</f>
        <v>R22C1</v>
      </c>
      <c r="N160" s="143" t="str">
        <f>IF(AND('Mapa final'!$AB$71="Baja",'Mapa final'!$AD$71="Menor"),CONCATENATE("R22C",'Mapa final'!$R$71),"")</f>
        <v/>
      </c>
      <c r="O160" s="120" t="str">
        <f>IF(AND('Mapa final'!$AB$72="Baja",'Mapa final'!$AD$72="Menor"),CONCATENATE("R2C",'Mapa final'!$R$72),"")</f>
        <v/>
      </c>
      <c r="P160" s="119" t="str">
        <f>IF(AND('Mapa final'!$AB$70="Baja",'Mapa final'!$AD$70="Moderado"),CONCATENATE("R22C",'Mapa final'!$R$70),"")</f>
        <v/>
      </c>
      <c r="Q160" s="143" t="str">
        <f>IF(AND('Mapa final'!$AB$71="Baja",'Mapa final'!$AD$71="Moderado"),CONCATENATE("R22C",'Mapa final'!$R$71),"")</f>
        <v/>
      </c>
      <c r="R160" s="120" t="str">
        <f>IF(AND('Mapa final'!$AB$72="Baja",'Mapa final'!$AD$72="Moderado"),CONCATENATE("R2C",'Mapa final'!$R$72),"")</f>
        <v/>
      </c>
      <c r="S160" s="148" t="str">
        <f>IF(AND('Mapa final'!$AB$70="Baja",'Mapa final'!$AD$70="Mayor"),CONCATENATE("R22C",'Mapa final'!$R$70),"")</f>
        <v/>
      </c>
      <c r="T160" s="149" t="str">
        <f>IF(AND('Mapa final'!$AB$71="Baja",'Mapa final'!$AD$71="Mayor"),CONCATENATE("R22C",'Mapa final'!$R$71),"")</f>
        <v/>
      </c>
      <c r="U160" s="150" t="str">
        <f>IF(AND('Mapa final'!$AB$72="Baja",'Mapa final'!$AD$72="Mayor"),CONCATENATE("R2C",'Mapa final'!$R$72),"")</f>
        <v/>
      </c>
      <c r="V160" s="114" t="str">
        <f>IF(AND('Mapa final'!$AB$70="Baja",'Mapa final'!$AD$70="Catastrófico"),CONCATENATE("R22C",'Mapa final'!$R$70),"")</f>
        <v/>
      </c>
      <c r="W160" s="142" t="str">
        <f>IF(AND('Mapa final'!$AB$71="Baja",'Mapa final'!$AD$71="Catastrófico"),CONCATENATE("R22C",'Mapa final'!$R$71),"")</f>
        <v/>
      </c>
      <c r="X160" s="115" t="str">
        <f>IF(AND('Mapa final'!$AB$72="Baja",'Mapa final'!$AD$72="Catastrófico"),CONCATENATE("R2C",'Mapa final'!$R$72),"")</f>
        <v/>
      </c>
      <c r="Y160" s="38"/>
      <c r="Z160" s="317"/>
      <c r="AA160" s="318"/>
      <c r="AB160" s="318"/>
      <c r="AC160" s="318"/>
      <c r="AD160" s="318"/>
      <c r="AE160" s="319"/>
      <c r="AF160" s="38"/>
      <c r="AG160" s="38"/>
      <c r="AH160" s="38"/>
      <c r="AI160" s="38"/>
      <c r="AJ160" s="38"/>
      <c r="AK160" s="38"/>
      <c r="AL160" s="38"/>
      <c r="AM160" s="38"/>
      <c r="AN160" s="38"/>
      <c r="AO160" s="38"/>
      <c r="AP160" s="38"/>
      <c r="AQ160" s="38"/>
      <c r="AR160" s="38"/>
      <c r="AS160" s="38"/>
      <c r="AT160" s="38"/>
      <c r="AU160" s="38"/>
      <c r="AV160" s="38"/>
      <c r="AW160" s="38"/>
      <c r="AX160" s="38"/>
      <c r="AY160" s="38"/>
      <c r="AZ160" s="38"/>
      <c r="BA160" s="38"/>
      <c r="BB160" s="38"/>
      <c r="BC160" s="38"/>
      <c r="BD160" s="38"/>
      <c r="BE160" s="38"/>
      <c r="BF160" s="38"/>
      <c r="BG160" s="38"/>
      <c r="BH160" s="38"/>
      <c r="BI160" s="38"/>
    </row>
    <row r="161" spans="1:61" ht="15" customHeight="1" x14ac:dyDescent="0.3">
      <c r="A161" s="38"/>
      <c r="B161" s="306"/>
      <c r="C161" s="307"/>
      <c r="D161" s="308"/>
      <c r="E161" s="288"/>
      <c r="F161" s="289"/>
      <c r="G161" s="289"/>
      <c r="H161" s="289"/>
      <c r="I161" s="289"/>
      <c r="J161" s="127" t="str">
        <f>IF(AND('Mapa final'!$AB$73="Baja",'Mapa final'!$AD$73="Leve"),CONCATENATE("R23C",'Mapa final'!$R$73),"")</f>
        <v/>
      </c>
      <c r="K161" s="144" t="str">
        <f>IF(AND('Mapa final'!$AB$74="Baja",'Mapa final'!$AD$74="Leve"),CONCATENATE("R23C",'Mapa final'!$R$74),"")</f>
        <v/>
      </c>
      <c r="L161" s="128" t="str">
        <f>IF(AND('Mapa final'!$AB$75="Baja",'Mapa final'!$AD$75="Leve"),CONCATENATE("R23C",'Mapa final'!$R$75),"")</f>
        <v/>
      </c>
      <c r="M161" s="119" t="str">
        <f>IF(AND('Mapa final'!$AB$73="Baja",'Mapa final'!$AD$73="Menor"),CONCATENATE("R23C",'Mapa final'!$R$73),"")</f>
        <v>R23C1</v>
      </c>
      <c r="N161" s="143" t="str">
        <f>IF(AND('Mapa final'!$AB$74="Baja",'Mapa final'!$AD$74="Menor"),CONCATENATE("R23C",'Mapa final'!$R$74),"")</f>
        <v/>
      </c>
      <c r="O161" s="120" t="str">
        <f>IF(AND('Mapa final'!$AB$75="Baja",'Mapa final'!$AD$75="Menor"),CONCATENATE("R23C",'Mapa final'!$R$75),"")</f>
        <v/>
      </c>
      <c r="P161" s="119" t="str">
        <f>IF(AND('Mapa final'!$AB$73="Baja",'Mapa final'!$AD$73="Moderado"),CONCATENATE("R23C",'Mapa final'!$R$73),"")</f>
        <v/>
      </c>
      <c r="Q161" s="143" t="str">
        <f>IF(AND('Mapa final'!$AB$74="Baja",'Mapa final'!$AD$74="Moderado"),CONCATENATE("R23C",'Mapa final'!$R$74),"")</f>
        <v/>
      </c>
      <c r="R161" s="120" t="str">
        <f>IF(AND('Mapa final'!$AB$75="Baja",'Mapa final'!$AD$75="Moderado"),CONCATENATE("R23C",'Mapa final'!$R$75),"")</f>
        <v/>
      </c>
      <c r="S161" s="148" t="str">
        <f>IF(AND('Mapa final'!$AB$73="Baja",'Mapa final'!$AD$73="Mayor"),CONCATENATE("R23C",'Mapa final'!$R$73),"")</f>
        <v/>
      </c>
      <c r="T161" s="149" t="str">
        <f>IF(AND('Mapa final'!$AB$74="Baja",'Mapa final'!$AD$74="Mayor"),CONCATENATE("R23C",'Mapa final'!$R$74),"")</f>
        <v/>
      </c>
      <c r="U161" s="150" t="str">
        <f>IF(AND('Mapa final'!$AB$75="Baja",'Mapa final'!$AD$75="Mayor"),CONCATENATE("R23C",'Mapa final'!$R$75),"")</f>
        <v/>
      </c>
      <c r="V161" s="114" t="str">
        <f>IF(AND('Mapa final'!$AB$73="Baja",'Mapa final'!$AD$73="Catastrófico"),CONCATENATE("R23C",'Mapa final'!$R$73),"")</f>
        <v/>
      </c>
      <c r="W161" s="142" t="str">
        <f>IF(AND('Mapa final'!$AB$74="Baja",'Mapa final'!$AD$74="Catastrófico"),CONCATENATE("R23C",'Mapa final'!$R$74),"")</f>
        <v/>
      </c>
      <c r="X161" s="115" t="str">
        <f>IF(AND('Mapa final'!$AB$75="Baja",'Mapa final'!$AD$75="Catastrófico"),CONCATENATE("R23C",'Mapa final'!$R$75),"")</f>
        <v/>
      </c>
      <c r="Y161" s="38"/>
      <c r="Z161" s="317"/>
      <c r="AA161" s="318"/>
      <c r="AB161" s="318"/>
      <c r="AC161" s="318"/>
      <c r="AD161" s="318"/>
      <c r="AE161" s="319"/>
      <c r="AF161" s="38"/>
      <c r="AG161" s="38"/>
      <c r="AH161" s="38"/>
      <c r="AI161" s="38"/>
      <c r="AJ161" s="38"/>
      <c r="AK161" s="38"/>
      <c r="AL161" s="38"/>
      <c r="AM161" s="38"/>
      <c r="AN161" s="38"/>
      <c r="AO161" s="38"/>
      <c r="AP161" s="38"/>
      <c r="AQ161" s="38"/>
      <c r="AR161" s="38"/>
      <c r="AS161" s="38"/>
      <c r="AT161" s="38"/>
      <c r="AU161" s="38"/>
      <c r="AV161" s="38"/>
      <c r="AW161" s="38"/>
      <c r="AX161" s="38"/>
      <c r="AY161" s="38"/>
      <c r="AZ161" s="38"/>
      <c r="BA161" s="38"/>
      <c r="BB161" s="38"/>
      <c r="BC161" s="38"/>
      <c r="BD161" s="38"/>
      <c r="BE161" s="38"/>
      <c r="BF161" s="38"/>
      <c r="BG161" s="38"/>
      <c r="BH161" s="38"/>
      <c r="BI161" s="38"/>
    </row>
    <row r="162" spans="1:61" ht="15" customHeight="1" x14ac:dyDescent="0.3">
      <c r="A162" s="38"/>
      <c r="B162" s="306"/>
      <c r="C162" s="307"/>
      <c r="D162" s="308"/>
      <c r="E162" s="288"/>
      <c r="F162" s="289"/>
      <c r="G162" s="289"/>
      <c r="H162" s="289"/>
      <c r="I162" s="289"/>
      <c r="J162" s="127" t="str">
        <f>IF(AND('Mapa final'!$AB$76="Baja",'Mapa final'!$AD$76="Leve"),CONCATENATE("R24C",'Mapa final'!$R$76),"")</f>
        <v/>
      </c>
      <c r="K162" s="144" t="str">
        <f>IF(AND('Mapa final'!$AB$77="Baja",'Mapa final'!$AD$77="Leve"),CONCATENATE("R24C",'Mapa final'!$R$77),"")</f>
        <v/>
      </c>
      <c r="L162" s="128" t="str">
        <f>IF(AND('Mapa final'!$AB$78="Baja",'Mapa final'!$AD$78="Leve"),CONCATENATE("R24C",'Mapa final'!$R$78),"")</f>
        <v/>
      </c>
      <c r="M162" s="119" t="str">
        <f>IF(AND('Mapa final'!$AB$76="Baja",'Mapa final'!$AD$76="Menor"),CONCATENATE("R24C",'Mapa final'!$R$76),"")</f>
        <v>R24C1</v>
      </c>
      <c r="N162" s="143" t="str">
        <f>IF(AND('Mapa final'!$AB$77="Baja",'Mapa final'!$AD$77="Menor"),CONCATENATE("R24C",'Mapa final'!$R$77),"")</f>
        <v/>
      </c>
      <c r="O162" s="120" t="str">
        <f>IF(AND('Mapa final'!$AB$78="Baja",'Mapa final'!$AD$78="Menor"),CONCATENATE("R24C",'Mapa final'!$R$78),"")</f>
        <v/>
      </c>
      <c r="P162" s="119" t="str">
        <f>IF(AND('Mapa final'!$AB$76="Baja",'Mapa final'!$AD$76="Moderado"),CONCATENATE("R24C",'Mapa final'!$R$76),"")</f>
        <v/>
      </c>
      <c r="Q162" s="143" t="str">
        <f>IF(AND('Mapa final'!$AB$77="Baja",'Mapa final'!$AD$77="Moderado"),CONCATENATE("R24C",'Mapa final'!$R$77),"")</f>
        <v/>
      </c>
      <c r="R162" s="120" t="str">
        <f>IF(AND('Mapa final'!$AB$78="Baja",'Mapa final'!$AD$78="Moderado"),CONCATENATE("R24C",'Mapa final'!$R$78),"")</f>
        <v/>
      </c>
      <c r="S162" s="148" t="str">
        <f>IF(AND('Mapa final'!$AB$76="Baja",'Mapa final'!$AD$76="Mayor"),CONCATENATE("R24C",'Mapa final'!$R$76),"")</f>
        <v/>
      </c>
      <c r="T162" s="149" t="str">
        <f>IF(AND('Mapa final'!$AB$77="Baja",'Mapa final'!$AD$77="Mayor"),CONCATENATE("R24C",'Mapa final'!$R$77),"")</f>
        <v/>
      </c>
      <c r="U162" s="150" t="str">
        <f>IF(AND('Mapa final'!$AB$78="Baja",'Mapa final'!$AD$78="Mayor"),CONCATENATE("R24C",'Mapa final'!$R$78),"")</f>
        <v/>
      </c>
      <c r="V162" s="114" t="str">
        <f>IF(AND('Mapa final'!$AB$76="Baja",'Mapa final'!$AD$76="Catastrófico"),CONCATENATE("R24C",'Mapa final'!$R$76),"")</f>
        <v/>
      </c>
      <c r="W162" s="142" t="str">
        <f>IF(AND('Mapa final'!$AB$77="Baja",'Mapa final'!$AD$77="Catastrófico"),CONCATENATE("R24C",'Mapa final'!$R$77),"")</f>
        <v/>
      </c>
      <c r="X162" s="115" t="str">
        <f>IF(AND('Mapa final'!$AB$78="Baja",'Mapa final'!$AD$78="Catastrófico"),CONCATENATE("R24C",'Mapa final'!$R$78),"")</f>
        <v/>
      </c>
      <c r="Y162" s="38"/>
      <c r="Z162" s="317"/>
      <c r="AA162" s="318"/>
      <c r="AB162" s="318"/>
      <c r="AC162" s="318"/>
      <c r="AD162" s="318"/>
      <c r="AE162" s="319"/>
      <c r="AF162" s="38"/>
      <c r="AG162" s="38"/>
      <c r="AH162" s="38"/>
      <c r="AI162" s="38"/>
      <c r="AJ162" s="38"/>
      <c r="AK162" s="38"/>
      <c r="AL162" s="38"/>
      <c r="AM162" s="38"/>
      <c r="AN162" s="38"/>
      <c r="AO162" s="38"/>
      <c r="AP162" s="38"/>
      <c r="AQ162" s="38"/>
      <c r="AR162" s="38"/>
      <c r="AS162" s="38"/>
      <c r="AT162" s="38"/>
      <c r="AU162" s="38"/>
      <c r="AV162" s="38"/>
      <c r="AW162" s="38"/>
      <c r="AX162" s="38"/>
      <c r="AY162" s="38"/>
      <c r="AZ162" s="38"/>
      <c r="BA162" s="38"/>
      <c r="BB162" s="38"/>
      <c r="BC162" s="38"/>
      <c r="BD162" s="38"/>
      <c r="BE162" s="38"/>
      <c r="BF162" s="38"/>
      <c r="BG162" s="38"/>
      <c r="BH162" s="38"/>
      <c r="BI162" s="38"/>
    </row>
    <row r="163" spans="1:61" ht="15" customHeight="1" x14ac:dyDescent="0.3">
      <c r="A163" s="38"/>
      <c r="B163" s="306"/>
      <c r="C163" s="307"/>
      <c r="D163" s="308"/>
      <c r="E163" s="288"/>
      <c r="F163" s="289"/>
      <c r="G163" s="289"/>
      <c r="H163" s="289"/>
      <c r="I163" s="289"/>
      <c r="J163" s="127" t="str">
        <f>IF(AND('Mapa final'!$AB$79="Baja",'Mapa final'!$AD$79="Leve"),CONCATENATE("R25C",'Mapa final'!$R$79),"")</f>
        <v/>
      </c>
      <c r="K163" s="144" t="str">
        <f>IF(AND('Mapa final'!$AB$80="Baja",'Mapa final'!$AD$80="Leve"),CONCATENATE("R25C",'Mapa final'!$R$80),"")</f>
        <v/>
      </c>
      <c r="L163" s="128" t="str">
        <f>IF(AND('Mapa final'!$AB$81="Baja",'Mapa final'!$AD$81="Leve"),CONCATENATE("R25C",'Mapa final'!$R$81),"")</f>
        <v/>
      </c>
      <c r="M163" s="119" t="str">
        <f>IF(AND('Mapa final'!$AB$79="Baja",'Mapa final'!$AD$79="Menor"),CONCATENATE("R25C",'Mapa final'!$R$79),"")</f>
        <v/>
      </c>
      <c r="N163" s="143" t="str">
        <f>IF(AND('Mapa final'!$AB$80="Baja",'Mapa final'!$AD$80="Menor"),CONCATENATE("R25C",'Mapa final'!$R$80),"")</f>
        <v/>
      </c>
      <c r="O163" s="120" t="str">
        <f>IF(AND('Mapa final'!$AB$81="Baja",'Mapa final'!$AD$81="Menor"),CONCATENATE("R25C",'Mapa final'!$R$81),"")</f>
        <v/>
      </c>
      <c r="P163" s="119" t="str">
        <f>IF(AND('Mapa final'!$AB$79="Baja",'Mapa final'!$AD$79="Moderado"),CONCATENATE("R25C",'Mapa final'!$R$79),"")</f>
        <v/>
      </c>
      <c r="Q163" s="143" t="str">
        <f>IF(AND('Mapa final'!$AB$80="Baja",'Mapa final'!$AD$80="Moderado"),CONCATENATE("R25C",'Mapa final'!$R$80),"")</f>
        <v/>
      </c>
      <c r="R163" s="120" t="str">
        <f>IF(AND('Mapa final'!$AB$81="Baja",'Mapa final'!$AD$81="Moderado"),CONCATENATE("R25C",'Mapa final'!$R$81),"")</f>
        <v/>
      </c>
      <c r="S163" s="148" t="str">
        <f>IF(AND('Mapa final'!$AB$79="Baja",'Mapa final'!$AD$79="Mayor"),CONCATENATE("R25C",'Mapa final'!$R$79),"")</f>
        <v/>
      </c>
      <c r="T163" s="149" t="str">
        <f>IF(AND('Mapa final'!$AB$80="Baja",'Mapa final'!$AD$80="Mayor"),CONCATENATE("R25C",'Mapa final'!$R$80),"")</f>
        <v/>
      </c>
      <c r="U163" s="150" t="str">
        <f>IF(AND('Mapa final'!$AB$81="Baja",'Mapa final'!$AD$81="Mayor"),CONCATENATE("R25C",'Mapa final'!$R$81),"")</f>
        <v/>
      </c>
      <c r="V163" s="114" t="str">
        <f>IF(AND('Mapa final'!$AB$79="Baja",'Mapa final'!$AD$79="Catastrófico"),CONCATENATE("R25C",'Mapa final'!$R$79),"")</f>
        <v/>
      </c>
      <c r="W163" s="142" t="str">
        <f>IF(AND('Mapa final'!$AB$80="Baja",'Mapa final'!$AD$80="Catastrófico"),CONCATENATE("R25C",'Mapa final'!$R$80),"")</f>
        <v/>
      </c>
      <c r="X163" s="115" t="str">
        <f>IF(AND('Mapa final'!$AB$81="Baja",'Mapa final'!$AD$81="Catastrófico"),CONCATENATE("R25C",'Mapa final'!$R$81),"")</f>
        <v/>
      </c>
      <c r="Y163" s="38"/>
      <c r="Z163" s="317"/>
      <c r="AA163" s="318"/>
      <c r="AB163" s="318"/>
      <c r="AC163" s="318"/>
      <c r="AD163" s="318"/>
      <c r="AE163" s="319"/>
      <c r="AF163" s="38"/>
      <c r="AG163" s="38"/>
      <c r="AH163" s="38"/>
      <c r="AI163" s="38"/>
      <c r="AJ163" s="38"/>
      <c r="AK163" s="38"/>
      <c r="AL163" s="38"/>
      <c r="AM163" s="38"/>
      <c r="AN163" s="38"/>
      <c r="AO163" s="38"/>
      <c r="AP163" s="38"/>
      <c r="AQ163" s="38"/>
      <c r="AR163" s="38"/>
      <c r="AS163" s="38"/>
      <c r="AT163" s="38"/>
      <c r="AU163" s="38"/>
      <c r="AV163" s="38"/>
      <c r="AW163" s="38"/>
      <c r="AX163" s="38"/>
      <c r="AY163" s="38"/>
      <c r="AZ163" s="38"/>
      <c r="BA163" s="38"/>
      <c r="BB163" s="38"/>
      <c r="BC163" s="38"/>
      <c r="BD163" s="38"/>
      <c r="BE163" s="38"/>
      <c r="BF163" s="38"/>
      <c r="BG163" s="38"/>
      <c r="BH163" s="38"/>
      <c r="BI163" s="38"/>
    </row>
    <row r="164" spans="1:61" ht="15" customHeight="1" x14ac:dyDescent="0.3">
      <c r="A164" s="38"/>
      <c r="B164" s="306"/>
      <c r="C164" s="307"/>
      <c r="D164" s="308"/>
      <c r="E164" s="288"/>
      <c r="F164" s="289"/>
      <c r="G164" s="289"/>
      <c r="H164" s="289"/>
      <c r="I164" s="289"/>
      <c r="J164" s="127" t="str">
        <f>IF(AND('Mapa final'!$AB$82="Baja",'Mapa final'!$AD$82="Leve"),CONCATENATE("R26C",'Mapa final'!$R$82),"")</f>
        <v/>
      </c>
      <c r="K164" s="144" t="str">
        <f>IF(AND('Mapa final'!$AB$83="Baja",'Mapa final'!$AD$83="Leve"),CONCATENATE("R26C",'Mapa final'!$R$83),"")</f>
        <v/>
      </c>
      <c r="L164" s="128" t="str">
        <f>IF(AND('Mapa final'!$AB$84="Baja",'Mapa final'!$AD$84="Leve"),CONCATENATE("R26C",'Mapa final'!$R$84),"")</f>
        <v/>
      </c>
      <c r="M164" s="119" t="str">
        <f>IF(AND('Mapa final'!$AB$82="Baja",'Mapa final'!$AD$82="Menor"),CONCATENATE("R26C",'Mapa final'!$R$82),"")</f>
        <v/>
      </c>
      <c r="N164" s="143" t="str">
        <f>IF(AND('Mapa final'!$AB$83="Baja",'Mapa final'!$AD$83="Menor"),CONCATENATE("R26C",'Mapa final'!$R$83),"")</f>
        <v/>
      </c>
      <c r="O164" s="120" t="str">
        <f>IF(AND('Mapa final'!$AB$84="Baja",'Mapa final'!$AD$84="Menor"),CONCATENATE("R26C",'Mapa final'!$R$84),"")</f>
        <v/>
      </c>
      <c r="P164" s="119" t="str">
        <f>IF(AND('Mapa final'!$AB$82="Baja",'Mapa final'!$AD$82="Moderado"),CONCATENATE("R26C",'Mapa final'!$R$82),"")</f>
        <v/>
      </c>
      <c r="Q164" s="143" t="str">
        <f>IF(AND('Mapa final'!$AB$83="Baja",'Mapa final'!$AD$83="Moderado"),CONCATENATE("R26C",'Mapa final'!$R$83),"")</f>
        <v/>
      </c>
      <c r="R164" s="120" t="str">
        <f>IF(AND('Mapa final'!$AB$84="Baja",'Mapa final'!$AD$84="Moderado"),CONCATENATE("R26C",'Mapa final'!$R$84),"")</f>
        <v/>
      </c>
      <c r="S164" s="148" t="str">
        <f>IF(AND('Mapa final'!$AB$82="Baja",'Mapa final'!$AD$82="Mayor"),CONCATENATE("R26C",'Mapa final'!$R$82),"")</f>
        <v/>
      </c>
      <c r="T164" s="149" t="str">
        <f>IF(AND('Mapa final'!$AB$83="Baja",'Mapa final'!$AD$83="Mayor"),CONCATENATE("R26C",'Mapa final'!$R$83),"")</f>
        <v/>
      </c>
      <c r="U164" s="150" t="str">
        <f>IF(AND('Mapa final'!$AB$84="Baja",'Mapa final'!$AD$84="Mayor"),CONCATENATE("R26C",'Mapa final'!$R$84),"")</f>
        <v/>
      </c>
      <c r="V164" s="114" t="str">
        <f>IF(AND('Mapa final'!$AB$82="Baja",'Mapa final'!$AD$82="Catastrófico"),CONCATENATE("R26C",'Mapa final'!$R$82),"")</f>
        <v/>
      </c>
      <c r="W164" s="142" t="str">
        <f>IF(AND('Mapa final'!$AB$83="Baja",'Mapa final'!$AD$83="Catastrófico"),CONCATENATE("R26C",'Mapa final'!$R$83),"")</f>
        <v/>
      </c>
      <c r="X164" s="115" t="str">
        <f>IF(AND('Mapa final'!$AB$84="Baja",'Mapa final'!$AD$84="Catastrófico"),CONCATENATE("R26C",'Mapa final'!$R$84),"")</f>
        <v/>
      </c>
      <c r="Y164" s="38"/>
      <c r="Z164" s="317"/>
      <c r="AA164" s="318"/>
      <c r="AB164" s="318"/>
      <c r="AC164" s="318"/>
      <c r="AD164" s="318"/>
      <c r="AE164" s="319"/>
      <c r="AF164" s="38"/>
      <c r="AG164" s="38"/>
      <c r="AH164" s="38"/>
      <c r="AI164" s="38"/>
      <c r="AJ164" s="38"/>
      <c r="AK164" s="38"/>
      <c r="AL164" s="38"/>
      <c r="AM164" s="38"/>
      <c r="AN164" s="38"/>
      <c r="AO164" s="38"/>
      <c r="AP164" s="38"/>
      <c r="AQ164" s="38"/>
      <c r="AR164" s="38"/>
      <c r="AS164" s="38"/>
      <c r="AT164" s="38"/>
      <c r="AU164" s="38"/>
      <c r="AV164" s="38"/>
      <c r="AW164" s="38"/>
      <c r="AX164" s="38"/>
      <c r="AY164" s="38"/>
      <c r="AZ164" s="38"/>
      <c r="BA164" s="38"/>
      <c r="BB164" s="38"/>
      <c r="BC164" s="38"/>
      <c r="BD164" s="38"/>
      <c r="BE164" s="38"/>
      <c r="BF164" s="38"/>
      <c r="BG164" s="38"/>
      <c r="BH164" s="38"/>
      <c r="BI164" s="38"/>
    </row>
    <row r="165" spans="1:61" ht="15" customHeight="1" x14ac:dyDescent="0.3">
      <c r="A165" s="38"/>
      <c r="B165" s="306"/>
      <c r="C165" s="307"/>
      <c r="D165" s="308"/>
      <c r="E165" s="288"/>
      <c r="F165" s="289"/>
      <c r="G165" s="289"/>
      <c r="H165" s="289"/>
      <c r="I165" s="289"/>
      <c r="J165" s="127" t="str">
        <f>IF(AND('Mapa final'!$AB$85="Baja",'Mapa final'!$AD$85="Leve"),CONCATENATE("R27C",'Mapa final'!$R$85),"")</f>
        <v/>
      </c>
      <c r="K165" s="144" t="str">
        <f>IF(AND('Mapa final'!$AB$86="Baja",'Mapa final'!$AD$86="Leve"),CONCATENATE("R27C",'Mapa final'!$R$86),"")</f>
        <v>R27C2</v>
      </c>
      <c r="L165" s="128" t="str">
        <f>IF(AND('Mapa final'!$AB$87="Baja",'Mapa final'!$AD$87="Leve"),CONCATENATE("R27C",'Mapa final'!$R$87),"")</f>
        <v/>
      </c>
      <c r="M165" s="119" t="str">
        <f>IF(AND('Mapa final'!$AB$85="Baja",'Mapa final'!$AD$85="Menor"),CONCATENATE("R27C",'Mapa final'!$R$85),"")</f>
        <v/>
      </c>
      <c r="N165" s="143" t="str">
        <f>IF(AND('Mapa final'!$AB$86="Baja",'Mapa final'!$AD$86="Menor"),CONCATENATE("R27C",'Mapa final'!$R$86),"")</f>
        <v/>
      </c>
      <c r="O165" s="120" t="str">
        <f>IF(AND('Mapa final'!$AB$87="Baja",'Mapa final'!$AD$87="Menor"),CONCATENATE("R27C",'Mapa final'!$R$87),"")</f>
        <v/>
      </c>
      <c r="P165" s="119" t="str">
        <f>IF(AND('Mapa final'!$AB$85="Baja",'Mapa final'!$AD$85="Moderado"),CONCATENATE("R27C",'Mapa final'!$R$85),"")</f>
        <v/>
      </c>
      <c r="Q165" s="143" t="str">
        <f>IF(AND('Mapa final'!$AB$86="Baja",'Mapa final'!$AD$86="Moderado"),CONCATENATE("R27C",'Mapa final'!$R$86),"")</f>
        <v/>
      </c>
      <c r="R165" s="120" t="str">
        <f>IF(AND('Mapa final'!$AB$87="Baja",'Mapa final'!$AD$87="Moderado"),CONCATENATE("R27C",'Mapa final'!$R$87),"")</f>
        <v/>
      </c>
      <c r="S165" s="148" t="str">
        <f>IF(AND('Mapa final'!$AB$85="Baja",'Mapa final'!$AD$85="Mayor"),CONCATENATE("R27C",'Mapa final'!$R$85),"")</f>
        <v/>
      </c>
      <c r="T165" s="149" t="str">
        <f>IF(AND('Mapa final'!$AB$86="Baja",'Mapa final'!$AD$86="Mayor"),CONCATENATE("R27C",'Mapa final'!$R$86),"")</f>
        <v/>
      </c>
      <c r="U165" s="150" t="str">
        <f>IF(AND('Mapa final'!$AB$87="Baja",'Mapa final'!$AD$87="Mayor"),CONCATENATE("R27C",'Mapa final'!$R$87),"")</f>
        <v/>
      </c>
      <c r="V165" s="114" t="str">
        <f>IF(AND('Mapa final'!$AB$85="Baja",'Mapa final'!$AD$85="Catastrófico"),CONCATENATE("R27C",'Mapa final'!$R$85),"")</f>
        <v/>
      </c>
      <c r="W165" s="142" t="str">
        <f>IF(AND('Mapa final'!$AB$86="Baja",'Mapa final'!$AD$86="Catastrófico"),CONCATENATE("R27C",'Mapa final'!$R$86),"")</f>
        <v/>
      </c>
      <c r="X165" s="115" t="str">
        <f>IF(AND('Mapa final'!$AB$87="Baja",'Mapa final'!$AD$87="Catastrófico"),CONCATENATE("R27C",'Mapa final'!$R$87),"")</f>
        <v/>
      </c>
      <c r="Y165" s="38"/>
      <c r="Z165" s="317"/>
      <c r="AA165" s="318"/>
      <c r="AB165" s="318"/>
      <c r="AC165" s="318"/>
      <c r="AD165" s="318"/>
      <c r="AE165" s="319"/>
      <c r="AF165" s="38"/>
      <c r="AG165" s="38"/>
      <c r="AH165" s="38"/>
      <c r="AI165" s="38"/>
      <c r="AJ165" s="38"/>
      <c r="AK165" s="38"/>
      <c r="AL165" s="38"/>
      <c r="AM165" s="38"/>
      <c r="AN165" s="38"/>
      <c r="AO165" s="38"/>
      <c r="AP165" s="38"/>
      <c r="AQ165" s="38"/>
      <c r="AR165" s="38"/>
      <c r="AS165" s="38"/>
      <c r="AT165" s="38"/>
      <c r="AU165" s="38"/>
      <c r="AV165" s="38"/>
      <c r="AW165" s="38"/>
      <c r="AX165" s="38"/>
      <c r="AY165" s="38"/>
      <c r="AZ165" s="38"/>
      <c r="BA165" s="38"/>
      <c r="BB165" s="38"/>
      <c r="BC165" s="38"/>
      <c r="BD165" s="38"/>
      <c r="BE165" s="38"/>
      <c r="BF165" s="38"/>
      <c r="BG165" s="38"/>
      <c r="BH165" s="38"/>
      <c r="BI165" s="38"/>
    </row>
    <row r="166" spans="1:61" ht="15" customHeight="1" x14ac:dyDescent="0.3">
      <c r="A166" s="38"/>
      <c r="B166" s="306"/>
      <c r="C166" s="307"/>
      <c r="D166" s="308"/>
      <c r="E166" s="290"/>
      <c r="F166" s="289"/>
      <c r="G166" s="289"/>
      <c r="H166" s="289"/>
      <c r="I166" s="289"/>
      <c r="J166" s="127" t="str">
        <f>IF(AND('Mapa final'!$AB$88="Baja",'Mapa final'!$AD$88="Leve"),CONCATENATE("R28C",'Mapa final'!$R$88),"")</f>
        <v>R28C1</v>
      </c>
      <c r="K166" s="144" t="str">
        <f>IF(AND('Mapa final'!$AB$89="Baja",'Mapa final'!$AD$89="Leve"),CONCATENATE("R28C",'Mapa final'!$R$89),"")</f>
        <v/>
      </c>
      <c r="L166" s="128" t="str">
        <f>IF(AND('Mapa final'!$AB$90="Baja",'Mapa final'!$AD$90="Leve"),CONCATENATE("R28C",'Mapa final'!$R$90),"")</f>
        <v/>
      </c>
      <c r="M166" s="119" t="str">
        <f>IF(AND('Mapa final'!$AB$88="Baja",'Mapa final'!$AD$88="Menor"),CONCATENATE("R28C",'Mapa final'!$R$88),"")</f>
        <v/>
      </c>
      <c r="N166" s="143" t="str">
        <f>IF(AND('Mapa final'!$AB$89="Baja",'Mapa final'!$AD$89="Menor"),CONCATENATE("R28C",'Mapa final'!$R$89),"")</f>
        <v/>
      </c>
      <c r="O166" s="120" t="str">
        <f>IF(AND('Mapa final'!$AB$90="Baja",'Mapa final'!$AD$90="Menor"),CONCATENATE("R28C",'Mapa final'!$R$90),"")</f>
        <v/>
      </c>
      <c r="P166" s="119" t="str">
        <f>IF(AND('Mapa final'!$AB$88="Baja",'Mapa final'!$AD$88="Moderado"),CONCATENATE("R28C",'Mapa final'!$R$88),"")</f>
        <v/>
      </c>
      <c r="Q166" s="143" t="str">
        <f>IF(AND('Mapa final'!$AB$89="Baja",'Mapa final'!$AD$89="Moderado"),CONCATENATE("R28C",'Mapa final'!$R$89),"")</f>
        <v/>
      </c>
      <c r="R166" s="120" t="str">
        <f>IF(AND('Mapa final'!$AB$90="Baja",'Mapa final'!$AD$90="Moderado"),CONCATENATE("R28C",'Mapa final'!$R$90),"")</f>
        <v/>
      </c>
      <c r="S166" s="148" t="str">
        <f>IF(AND('Mapa final'!$AB$88="Baja",'Mapa final'!$AD$88="Mayor"),CONCATENATE("R28C",'Mapa final'!$R$88),"")</f>
        <v/>
      </c>
      <c r="T166" s="149" t="str">
        <f>IF(AND('Mapa final'!$AB$89="Baja",'Mapa final'!$AD$89="Mayor"),CONCATENATE("R28C",'Mapa final'!$R$89),"")</f>
        <v/>
      </c>
      <c r="U166" s="150" t="str">
        <f>IF(AND('Mapa final'!$AB$90="Baja",'Mapa final'!$AD$90="Mayor"),CONCATENATE("R28C",'Mapa final'!$R$90),"")</f>
        <v/>
      </c>
      <c r="V166" s="114" t="str">
        <f>IF(AND('Mapa final'!$AB$88="Baja",'Mapa final'!$AD$88="Catastrófico"),CONCATENATE("R28C",'Mapa final'!$R$88),"")</f>
        <v/>
      </c>
      <c r="W166" s="142" t="str">
        <f>IF(AND('Mapa final'!$AB$89="Baja",'Mapa final'!$AD$89="Catastrófico"),CONCATENATE("R28C",'Mapa final'!$R$89),"")</f>
        <v/>
      </c>
      <c r="X166" s="115" t="str">
        <f>IF(AND('Mapa final'!$AB$90="Baja",'Mapa final'!$AD$90="Catastrófico"),CONCATENATE("R28C",'Mapa final'!$R$90),"")</f>
        <v/>
      </c>
      <c r="Y166" s="38"/>
      <c r="Z166" s="317"/>
      <c r="AA166" s="318"/>
      <c r="AB166" s="318"/>
      <c r="AC166" s="318"/>
      <c r="AD166" s="318"/>
      <c r="AE166" s="319"/>
      <c r="AF166" s="38"/>
      <c r="AG166" s="38"/>
      <c r="AH166" s="38"/>
      <c r="AI166" s="38"/>
      <c r="AJ166" s="38"/>
      <c r="AK166" s="38"/>
      <c r="AL166" s="38"/>
      <c r="AM166" s="38"/>
      <c r="AN166" s="38"/>
      <c r="AO166" s="38"/>
      <c r="AP166" s="38"/>
      <c r="AQ166" s="38"/>
      <c r="AR166" s="38"/>
      <c r="AS166" s="38"/>
      <c r="AT166" s="38"/>
      <c r="AU166" s="38"/>
      <c r="AV166" s="38"/>
      <c r="AW166" s="38"/>
      <c r="AX166" s="38"/>
      <c r="AY166" s="38"/>
      <c r="AZ166" s="38"/>
      <c r="BA166" s="38"/>
      <c r="BB166" s="38"/>
      <c r="BC166" s="38"/>
      <c r="BD166" s="38"/>
      <c r="BE166" s="38"/>
      <c r="BF166" s="38"/>
      <c r="BG166" s="38"/>
      <c r="BH166" s="38"/>
      <c r="BI166" s="38"/>
    </row>
    <row r="167" spans="1:61" ht="15" customHeight="1" x14ac:dyDescent="0.3">
      <c r="A167" s="38"/>
      <c r="B167" s="306"/>
      <c r="C167" s="307"/>
      <c r="D167" s="308"/>
      <c r="E167" s="290"/>
      <c r="F167" s="289"/>
      <c r="G167" s="289"/>
      <c r="H167" s="289"/>
      <c r="I167" s="289"/>
      <c r="J167" s="127" t="str">
        <f>IF(AND('Mapa final'!$AB$91="Baja",'Mapa final'!$AD$91="Leve"),CONCATENATE("R29C",'Mapa final'!$R$91),"")</f>
        <v/>
      </c>
      <c r="K167" s="144" t="str">
        <f>IF(AND('Mapa final'!$AB$92="Baja",'Mapa final'!$AD$92="Leve"),CONCATENATE("R29C",'Mapa final'!$R$92),"")</f>
        <v/>
      </c>
      <c r="L167" s="128" t="str">
        <f>IF(AND('Mapa final'!$AB$93="Baja",'Mapa final'!$AD$93="Leve"),CONCATENATE("R29C",'Mapa final'!$R$93),"")</f>
        <v/>
      </c>
      <c r="M167" s="119" t="str">
        <f>IF(AND('Mapa final'!$AB$91="Baja",'Mapa final'!$AD$91="Menor"),CONCATENATE("R29C",'Mapa final'!$R$91),"")</f>
        <v/>
      </c>
      <c r="N167" s="143" t="str">
        <f>IF(AND('Mapa final'!$AB$92="Baja",'Mapa final'!$AD$92="Menor"),CONCATENATE("R29C",'Mapa final'!$R$92),"")</f>
        <v/>
      </c>
      <c r="O167" s="120" t="str">
        <f>IF(AND('Mapa final'!$AB$93="Baja",'Mapa final'!$AD$93="Menor"),CONCATENATE("R29C",'Mapa final'!$R$93),"")</f>
        <v/>
      </c>
      <c r="P167" s="119" t="str">
        <f>IF(AND('Mapa final'!$AB$91="Baja",'Mapa final'!$AD$91="Moderado"),CONCATENATE("R29C",'Mapa final'!$R$91),"")</f>
        <v/>
      </c>
      <c r="Q167" s="143" t="str">
        <f>IF(AND('Mapa final'!$AB$92="Baja",'Mapa final'!$AD$92="Moderado"),CONCATENATE("R29C",'Mapa final'!$R$92),"")</f>
        <v/>
      </c>
      <c r="R167" s="120" t="str">
        <f>IF(AND('Mapa final'!$AB$93="Baja",'Mapa final'!$AD$93="Moderado"),CONCATENATE("R29C",'Mapa final'!$R$93),"")</f>
        <v/>
      </c>
      <c r="S167" s="148" t="str">
        <f>IF(AND('Mapa final'!$AB$91="Baja",'Mapa final'!$AD$91="Mayor"),CONCATENATE("R29C",'Mapa final'!$R$91),"")</f>
        <v/>
      </c>
      <c r="T167" s="149" t="str">
        <f>IF(AND('Mapa final'!$AB$92="Baja",'Mapa final'!$AD$92="Mayor"),CONCATENATE("R29C",'Mapa final'!$R$92),"")</f>
        <v/>
      </c>
      <c r="U167" s="150" t="str">
        <f>IF(AND('Mapa final'!$AB$93="Baja",'Mapa final'!$AD$93="Mayor"),CONCATENATE("R29C",'Mapa final'!$R$93),"")</f>
        <v/>
      </c>
      <c r="V167" s="114" t="str">
        <f>IF(AND('Mapa final'!$AB$91="Baja",'Mapa final'!$AD$91="Catastrófico"),CONCATENATE("R29C",'Mapa final'!$R$91),"")</f>
        <v/>
      </c>
      <c r="W167" s="142" t="str">
        <f>IF(AND('Mapa final'!$AB$92="Baja",'Mapa final'!$AD$92="Catastrófico"),CONCATENATE("R29C",'Mapa final'!$R$92),"")</f>
        <v/>
      </c>
      <c r="X167" s="115" t="str">
        <f>IF(AND('Mapa final'!$AB$93="Baja",'Mapa final'!$AD$93="Catastrófico"),CONCATENATE("R29C",'Mapa final'!$R$93),"")</f>
        <v/>
      </c>
      <c r="Y167" s="38"/>
      <c r="Z167" s="317"/>
      <c r="AA167" s="318"/>
      <c r="AB167" s="318"/>
      <c r="AC167" s="318"/>
      <c r="AD167" s="318"/>
      <c r="AE167" s="319"/>
      <c r="AF167" s="38"/>
      <c r="AG167" s="38"/>
      <c r="AH167" s="38"/>
      <c r="AI167" s="38"/>
      <c r="AJ167" s="38"/>
      <c r="AK167" s="38"/>
      <c r="AL167" s="38"/>
      <c r="AM167" s="38"/>
      <c r="AN167" s="38"/>
      <c r="AO167" s="38"/>
      <c r="AP167" s="38"/>
      <c r="AQ167" s="38"/>
      <c r="AR167" s="38"/>
      <c r="AS167" s="38"/>
      <c r="AT167" s="38"/>
      <c r="AU167" s="38"/>
      <c r="AV167" s="38"/>
      <c r="AW167" s="38"/>
      <c r="AX167" s="38"/>
      <c r="AY167" s="38"/>
      <c r="AZ167" s="38"/>
      <c r="BA167" s="38"/>
      <c r="BB167" s="38"/>
      <c r="BC167" s="38"/>
      <c r="BD167" s="38"/>
      <c r="BE167" s="38"/>
      <c r="BF167" s="38"/>
      <c r="BG167" s="38"/>
      <c r="BH167" s="38"/>
      <c r="BI167" s="38"/>
    </row>
    <row r="168" spans="1:61" ht="15" customHeight="1" x14ac:dyDescent="0.3">
      <c r="A168" s="38"/>
      <c r="B168" s="306"/>
      <c r="C168" s="307"/>
      <c r="D168" s="308"/>
      <c r="E168" s="290"/>
      <c r="F168" s="289"/>
      <c r="G168" s="289"/>
      <c r="H168" s="289"/>
      <c r="I168" s="289"/>
      <c r="J168" s="127" t="str">
        <f>IF(AND('Mapa final'!$AB$94="Baja",'Mapa final'!$AD$94="Leve"),CONCATENATE("R30C",'Mapa final'!$R$94),"")</f>
        <v/>
      </c>
      <c r="K168" s="144" t="str">
        <f>IF(AND('Mapa final'!$AB$95="Baja",'Mapa final'!$AD$95="Leve"),CONCATENATE("R30C",'Mapa final'!$R$95),"")</f>
        <v/>
      </c>
      <c r="L168" s="128" t="str">
        <f>IF(AND('Mapa final'!$AB$96="Baja",'Mapa final'!$AD$96="Leve"),CONCATENATE("R30C",'Mapa final'!$R$96),"")</f>
        <v/>
      </c>
      <c r="M168" s="119" t="str">
        <f>IF(AND('Mapa final'!$AB$94="Baja",'Mapa final'!$AD$94="Menor"),CONCATENATE("R30C",'Mapa final'!$R$94),"")</f>
        <v/>
      </c>
      <c r="N168" s="143" t="str">
        <f>IF(AND('Mapa final'!$AB$95="Baja",'Mapa final'!$AD$95="Menor"),CONCATENATE("R30C",'Mapa final'!$R$95),"")</f>
        <v/>
      </c>
      <c r="O168" s="120" t="str">
        <f>IF(AND('Mapa final'!$AB$96="Baja",'Mapa final'!$AD$96="Menor"),CONCATENATE("R30C",'Mapa final'!$R$96),"")</f>
        <v/>
      </c>
      <c r="P168" s="119" t="str">
        <f>IF(AND('Mapa final'!$AB$94="Baja",'Mapa final'!$AD$94="Moderado"),CONCATENATE("R30C",'Mapa final'!$R$94),"")</f>
        <v/>
      </c>
      <c r="Q168" s="143" t="str">
        <f>IF(AND('Mapa final'!$AB$95="Baja",'Mapa final'!$AD$95="Moderado"),CONCATENATE("R30C",'Mapa final'!$R$95),"")</f>
        <v/>
      </c>
      <c r="R168" s="120" t="str">
        <f>IF(AND('Mapa final'!$AB$96="Baja",'Mapa final'!$AD$96="Moderado"),CONCATENATE("R30C",'Mapa final'!$R$96),"")</f>
        <v/>
      </c>
      <c r="S168" s="148" t="str">
        <f>IF(AND('Mapa final'!$AB$94="Baja",'Mapa final'!$AD$94="Mayor"),CONCATENATE("R30C",'Mapa final'!$R$94),"")</f>
        <v/>
      </c>
      <c r="T168" s="149" t="str">
        <f>IF(AND('Mapa final'!$AB$95="Baja",'Mapa final'!$AD$95="Mayor"),CONCATENATE("R30C",'Mapa final'!$R$95),"")</f>
        <v/>
      </c>
      <c r="U168" s="150" t="str">
        <f>IF(AND('Mapa final'!$AB$96="Baja",'Mapa final'!$AD$96="Mayor"),CONCATENATE("R30C",'Mapa final'!$R$96),"")</f>
        <v/>
      </c>
      <c r="V168" s="114" t="str">
        <f>IF(AND('Mapa final'!$AB$94="Baja",'Mapa final'!$AD$94="Catastrófico"),CONCATENATE("R30C",'Mapa final'!$R$94),"")</f>
        <v/>
      </c>
      <c r="W168" s="142" t="str">
        <f>IF(AND('Mapa final'!$AB$95="Baja",'Mapa final'!$AD$95="Catastrófico"),CONCATENATE("R30C",'Mapa final'!$R$95),"")</f>
        <v/>
      </c>
      <c r="X168" s="115" t="str">
        <f>IF(AND('Mapa final'!$AB$96="Baja",'Mapa final'!$AD$96="Catastrófico"),CONCATENATE("R30C",'Mapa final'!$R$96),"")</f>
        <v/>
      </c>
      <c r="Y168" s="38"/>
      <c r="Z168" s="317"/>
      <c r="AA168" s="318"/>
      <c r="AB168" s="318"/>
      <c r="AC168" s="318"/>
      <c r="AD168" s="318"/>
      <c r="AE168" s="319"/>
      <c r="AF168" s="38"/>
      <c r="AG168" s="38"/>
      <c r="AH168" s="38"/>
      <c r="AI168" s="38"/>
      <c r="AJ168" s="38"/>
      <c r="AK168" s="38"/>
      <c r="AL168" s="38"/>
      <c r="AM168" s="38"/>
      <c r="AN168" s="38"/>
      <c r="AO168" s="38"/>
      <c r="AP168" s="38"/>
      <c r="AQ168" s="38"/>
      <c r="AR168" s="38"/>
      <c r="AS168" s="38"/>
      <c r="AT168" s="38"/>
      <c r="AU168" s="38"/>
      <c r="AV168" s="38"/>
      <c r="AW168" s="38"/>
      <c r="AX168" s="38"/>
      <c r="AY168" s="38"/>
      <c r="AZ168" s="38"/>
      <c r="BA168" s="38"/>
      <c r="BB168" s="38"/>
      <c r="BC168" s="38"/>
      <c r="BD168" s="38"/>
      <c r="BE168" s="38"/>
      <c r="BF168" s="38"/>
      <c r="BG168" s="38"/>
      <c r="BH168" s="38"/>
      <c r="BI168" s="38"/>
    </row>
    <row r="169" spans="1:61" ht="15" customHeight="1" x14ac:dyDescent="0.3">
      <c r="A169" s="38"/>
      <c r="B169" s="306"/>
      <c r="C169" s="307"/>
      <c r="D169" s="308"/>
      <c r="E169" s="290"/>
      <c r="F169" s="289"/>
      <c r="G169" s="289"/>
      <c r="H169" s="289"/>
      <c r="I169" s="289"/>
      <c r="J169" s="127" t="str">
        <f>IF(AND('Mapa final'!$AB$97="Baja",'Mapa final'!$AD$97="Leve"),CONCATENATE("R31C",'Mapa final'!$R$97),"")</f>
        <v/>
      </c>
      <c r="K169" s="144" t="str">
        <f>IF(AND('Mapa final'!$AB$98="Baja",'Mapa final'!$AD$98="Leve"),CONCATENATE("R31C",'Mapa final'!$R$98),"")</f>
        <v/>
      </c>
      <c r="L169" s="128" t="str">
        <f>IF(AND('Mapa final'!$AB$99="Baja",'Mapa final'!$AD$99="Leve"),CONCATENATE("R31C",'Mapa final'!$R$99),"")</f>
        <v/>
      </c>
      <c r="M169" s="119" t="str">
        <f>IF(AND('Mapa final'!$AB$97="Baja",'Mapa final'!$AD$97="Menor"),CONCATENATE("R31C",'Mapa final'!$R$97),"")</f>
        <v/>
      </c>
      <c r="N169" s="143" t="str">
        <f>IF(AND('Mapa final'!$AB$98="Baja",'Mapa final'!$AD$98="Menor"),CONCATENATE("R31C",'Mapa final'!$R$98),"")</f>
        <v/>
      </c>
      <c r="O169" s="120" t="str">
        <f>IF(AND('Mapa final'!$AB$99="Baja",'Mapa final'!$AD$99="Menor"),CONCATENATE("R31C",'Mapa final'!$R$99),"")</f>
        <v/>
      </c>
      <c r="P169" s="119" t="str">
        <f>IF(AND('Mapa final'!$AB$97="Baja",'Mapa final'!$AD$97="Moderado"),CONCATENATE("R31C",'Mapa final'!$R$97),"")</f>
        <v/>
      </c>
      <c r="Q169" s="143" t="str">
        <f>IF(AND('Mapa final'!$AB$98="Baja",'Mapa final'!$AD$98="Moderado"),CONCATENATE("R31C",'Mapa final'!$R$98),"")</f>
        <v/>
      </c>
      <c r="R169" s="120" t="str">
        <f>IF(AND('Mapa final'!$AB$99="Baja",'Mapa final'!$AD$99="Moderado"),CONCATENATE("R31C",'Mapa final'!$R$99),"")</f>
        <v/>
      </c>
      <c r="S169" s="148" t="str">
        <f>IF(AND('Mapa final'!$AB$97="Baja",'Mapa final'!$AD$97="Mayor"),CONCATENATE("R31C",'Mapa final'!$R$97),"")</f>
        <v>R31C1</v>
      </c>
      <c r="T169" s="149" t="str">
        <f>IF(AND('Mapa final'!$AB$98="Baja",'Mapa final'!$AD$98="Mayor"),CONCATENATE("R31C",'Mapa final'!$R$98),"")</f>
        <v/>
      </c>
      <c r="U169" s="150" t="str">
        <f>IF(AND('Mapa final'!$AB$99="Baja",'Mapa final'!$AD$99="Mayor"),CONCATENATE("R31C",'Mapa final'!$R$99),"")</f>
        <v/>
      </c>
      <c r="V169" s="114" t="str">
        <f>IF(AND('Mapa final'!$AB$97="Baja",'Mapa final'!$AD$97="Catastrófico"),CONCATENATE("R31C",'Mapa final'!$R$97),"")</f>
        <v/>
      </c>
      <c r="W169" s="142" t="str">
        <f>IF(AND('Mapa final'!$AB$98="Baja",'Mapa final'!$AD$98="Catastrófico"),CONCATENATE("R31C",'Mapa final'!$R$98),"")</f>
        <v/>
      </c>
      <c r="X169" s="115" t="str">
        <f>IF(AND('Mapa final'!$AB$99="Baja",'Mapa final'!$AD$99="Catastrófico"),CONCATENATE("R31C",'Mapa final'!$R$99),"")</f>
        <v/>
      </c>
      <c r="Y169" s="38"/>
      <c r="Z169" s="317"/>
      <c r="AA169" s="318"/>
      <c r="AB169" s="318"/>
      <c r="AC169" s="318"/>
      <c r="AD169" s="318"/>
      <c r="AE169" s="319"/>
      <c r="AF169" s="38"/>
      <c r="AG169" s="38"/>
      <c r="AH169" s="38"/>
      <c r="AI169" s="38"/>
      <c r="AJ169" s="38"/>
      <c r="AK169" s="38"/>
      <c r="AL169" s="38"/>
      <c r="AM169" s="38"/>
      <c r="AN169" s="38"/>
      <c r="AO169" s="38"/>
      <c r="AP169" s="38"/>
      <c r="AQ169" s="38"/>
      <c r="AR169" s="38"/>
      <c r="AS169" s="38"/>
      <c r="AT169" s="38"/>
      <c r="AU169" s="38"/>
      <c r="AV169" s="38"/>
      <c r="AW169" s="38"/>
      <c r="AX169" s="38"/>
      <c r="AY169" s="38"/>
      <c r="AZ169" s="38"/>
      <c r="BA169" s="38"/>
      <c r="BB169" s="38"/>
      <c r="BC169" s="38"/>
      <c r="BD169" s="38"/>
      <c r="BE169" s="38"/>
      <c r="BF169" s="38"/>
      <c r="BG169" s="38"/>
      <c r="BH169" s="38"/>
      <c r="BI169" s="38"/>
    </row>
    <row r="170" spans="1:61" ht="15" customHeight="1" x14ac:dyDescent="0.3">
      <c r="A170" s="38"/>
      <c r="B170" s="306"/>
      <c r="C170" s="307"/>
      <c r="D170" s="308"/>
      <c r="E170" s="290"/>
      <c r="F170" s="289"/>
      <c r="G170" s="289"/>
      <c r="H170" s="289"/>
      <c r="I170" s="289"/>
      <c r="J170" s="127" t="str">
        <f>IF(AND('Mapa final'!$AB$100="Baja",'Mapa final'!$AD$100="Leve"),CONCATENATE("R32C",'Mapa final'!$R$100),"")</f>
        <v/>
      </c>
      <c r="K170" s="144" t="str">
        <f>IF(AND('Mapa final'!$AB$101="Baja",'Mapa final'!$AD$101="Leve"),CONCATENATE("R32C",'Mapa final'!$R$101),"")</f>
        <v/>
      </c>
      <c r="L170" s="128" t="str">
        <f>IF(AND('Mapa final'!$AB$102="Baja",'Mapa final'!$AD$102="Leve"),CONCATENATE("R32C",'Mapa final'!$R$102),"")</f>
        <v/>
      </c>
      <c r="M170" s="119" t="str">
        <f>IF(AND('Mapa final'!$AB$100="Baja",'Mapa final'!$AD$100="Menor"),CONCATENATE("R32C",'Mapa final'!$R$100),"")</f>
        <v/>
      </c>
      <c r="N170" s="143" t="str">
        <f>IF(AND('Mapa final'!$AB$101="Baja",'Mapa final'!$AD$101="Menor"),CONCATENATE("R32C",'Mapa final'!$R$101),"")</f>
        <v/>
      </c>
      <c r="O170" s="120" t="str">
        <f>IF(AND('Mapa final'!$AB$102="Baja",'Mapa final'!$AD$102="Menor"),CONCATENATE("R32C",'Mapa final'!$R$102),"")</f>
        <v/>
      </c>
      <c r="P170" s="119" t="str">
        <f>IF(AND('Mapa final'!$AB$100="Baja",'Mapa final'!$AD$100="Moderado"),CONCATENATE("R32C",'Mapa final'!$R$100),"")</f>
        <v>R32C1</v>
      </c>
      <c r="Q170" s="143" t="str">
        <f>IF(AND('Mapa final'!$AB$101="Baja",'Mapa final'!$AD$101="Moderado"),CONCATENATE("R32C",'Mapa final'!$R$101),"")</f>
        <v/>
      </c>
      <c r="R170" s="120" t="str">
        <f>IF(AND('Mapa final'!$AB$102="Baja",'Mapa final'!$AD$102="Moderado"),CONCATENATE("R32C",'Mapa final'!$R$102),"")</f>
        <v/>
      </c>
      <c r="S170" s="148" t="str">
        <f>IF(AND('Mapa final'!$AB$100="Baja",'Mapa final'!$AD$100="Mayor"),CONCATENATE("R32C",'Mapa final'!$R$100),"")</f>
        <v/>
      </c>
      <c r="T170" s="149" t="str">
        <f>IF(AND('Mapa final'!$AB$101="Baja",'Mapa final'!$AD$101="Mayor"),CONCATENATE("R32C",'Mapa final'!$R$101),"")</f>
        <v/>
      </c>
      <c r="U170" s="150" t="str">
        <f>IF(AND('Mapa final'!$AB$102="Baja",'Mapa final'!$AD$102="Mayor"),CONCATENATE("R32C",'Mapa final'!$R$102),"")</f>
        <v/>
      </c>
      <c r="V170" s="114" t="str">
        <f>IF(AND('Mapa final'!$AB$100="Baja",'Mapa final'!$AD$100="Catastrófico"),CONCATENATE("R32C",'Mapa final'!$R$100),"")</f>
        <v/>
      </c>
      <c r="W170" s="142" t="str">
        <f>IF(AND('Mapa final'!$AB$101="Baja",'Mapa final'!$AD$101="Catastrófico"),CONCATENATE("R32C",'Mapa final'!$R$101),"")</f>
        <v/>
      </c>
      <c r="X170" s="115" t="str">
        <f>IF(AND('Mapa final'!$AB$102="Baja",'Mapa final'!$AD$102="Catastrófico"),CONCATENATE("R32C",'Mapa final'!$R$102),"")</f>
        <v/>
      </c>
      <c r="Y170" s="38"/>
      <c r="Z170" s="317"/>
      <c r="AA170" s="318"/>
      <c r="AB170" s="318"/>
      <c r="AC170" s="318"/>
      <c r="AD170" s="318"/>
      <c r="AE170" s="319"/>
      <c r="AF170" s="38"/>
      <c r="AG170" s="38"/>
      <c r="AH170" s="38"/>
      <c r="AI170" s="38"/>
      <c r="AJ170" s="38"/>
      <c r="AK170" s="38"/>
      <c r="AL170" s="38"/>
      <c r="AM170" s="38"/>
      <c r="AN170" s="38"/>
      <c r="AO170" s="38"/>
      <c r="AP170" s="38"/>
      <c r="AQ170" s="38"/>
      <c r="AR170" s="38"/>
      <c r="AS170" s="38"/>
      <c r="AT170" s="38"/>
      <c r="AU170" s="38"/>
      <c r="AV170" s="38"/>
      <c r="AW170" s="38"/>
      <c r="AX170" s="38"/>
      <c r="AY170" s="38"/>
      <c r="AZ170" s="38"/>
      <c r="BA170" s="38"/>
      <c r="BB170" s="38"/>
      <c r="BC170" s="38"/>
      <c r="BD170" s="38"/>
      <c r="BE170" s="38"/>
      <c r="BF170" s="38"/>
      <c r="BG170" s="38"/>
      <c r="BH170" s="38"/>
      <c r="BI170" s="38"/>
    </row>
    <row r="171" spans="1:61" ht="15" customHeight="1" x14ac:dyDescent="0.3">
      <c r="A171" s="38"/>
      <c r="B171" s="306"/>
      <c r="C171" s="307"/>
      <c r="D171" s="308"/>
      <c r="E171" s="290"/>
      <c r="F171" s="289"/>
      <c r="G171" s="289"/>
      <c r="H171" s="289"/>
      <c r="I171" s="289"/>
      <c r="J171" s="127" t="str">
        <f>IF(AND('Mapa final'!$AB$103="Baja",'Mapa final'!$AD$103="Leve"),CONCATENATE("R33C",'Mapa final'!$R$103),"")</f>
        <v/>
      </c>
      <c r="K171" s="144" t="str">
        <f>IF(AND('Mapa final'!$AB$104="Baja",'Mapa final'!$AD$104="Leve"),CONCATENATE("R33C",'Mapa final'!$R$104),"")</f>
        <v/>
      </c>
      <c r="L171" s="128" t="str">
        <f>IF(AND('Mapa final'!$AB$105="Baja",'Mapa final'!$AD$105="Leve"),CONCATENATE("R33C",'Mapa final'!$R$105),"")</f>
        <v/>
      </c>
      <c r="M171" s="119" t="str">
        <f>IF(AND('Mapa final'!$AB$103="Baja",'Mapa final'!$AD$103="Menor"),CONCATENATE("R33C",'Mapa final'!$R$103),"")</f>
        <v/>
      </c>
      <c r="N171" s="143" t="str">
        <f>IF(AND('Mapa final'!$AB$104="Baja",'Mapa final'!$AD$104="Menor"),CONCATENATE("R33C",'Mapa final'!$R$104),"")</f>
        <v/>
      </c>
      <c r="O171" s="120" t="str">
        <f>IF(AND('Mapa final'!$AB$105="Baja",'Mapa final'!$AD$105="Menor"),CONCATENATE("R33C",'Mapa final'!$R$105),"")</f>
        <v/>
      </c>
      <c r="P171" s="119" t="str">
        <f>IF(AND('Mapa final'!$AB$103="Baja",'Mapa final'!$AD$103="Moderado"),CONCATENATE("R33C",'Mapa final'!$R$103),"")</f>
        <v>R33C1</v>
      </c>
      <c r="Q171" s="143" t="str">
        <f>IF(AND('Mapa final'!$AB$104="Baja",'Mapa final'!$AD$104="Moderado"),CONCATENATE("R33C",'Mapa final'!$R$104),"")</f>
        <v/>
      </c>
      <c r="R171" s="120" t="str">
        <f>IF(AND('Mapa final'!$AB$105="Baja",'Mapa final'!$AD$105="Moderado"),CONCATENATE("R33C",'Mapa final'!$R$105),"")</f>
        <v/>
      </c>
      <c r="S171" s="148" t="str">
        <f>IF(AND('Mapa final'!$AB$103="Baja",'Mapa final'!$AD$103="Mayor"),CONCATENATE("R33C",'Mapa final'!$R$103),"")</f>
        <v/>
      </c>
      <c r="T171" s="149" t="str">
        <f>IF(AND('Mapa final'!$AB$104="Baja",'Mapa final'!$AD$104="Mayor"),CONCATENATE("R33C",'Mapa final'!$R$104),"")</f>
        <v/>
      </c>
      <c r="U171" s="150" t="str">
        <f>IF(AND('Mapa final'!$AB$105="Baja",'Mapa final'!$AD$105="Mayor"),CONCATENATE("R33C",'Mapa final'!$R$105),"")</f>
        <v/>
      </c>
      <c r="V171" s="114" t="str">
        <f>IF(AND('Mapa final'!$AB$103="Baja",'Mapa final'!$AD$103="Catastrófico"),CONCATENATE("R33C",'Mapa final'!$R$103),"")</f>
        <v/>
      </c>
      <c r="W171" s="142" t="str">
        <f>IF(AND('Mapa final'!$AB$104="Baja",'Mapa final'!$AD$104="Catastrófico"),CONCATENATE("R33C",'Mapa final'!$R$104),"")</f>
        <v/>
      </c>
      <c r="X171" s="115" t="str">
        <f>IF(AND('Mapa final'!$AB$105="Baja",'Mapa final'!$AD$105="Catastrófico"),CONCATENATE("R33C",'Mapa final'!$R$105),"")</f>
        <v/>
      </c>
      <c r="Y171" s="38"/>
      <c r="Z171" s="317"/>
      <c r="AA171" s="318"/>
      <c r="AB171" s="318"/>
      <c r="AC171" s="318"/>
      <c r="AD171" s="318"/>
      <c r="AE171" s="319"/>
      <c r="AF171" s="38"/>
      <c r="AG171" s="38"/>
      <c r="AH171" s="38"/>
      <c r="AI171" s="38"/>
      <c r="AJ171" s="38"/>
      <c r="AK171" s="38"/>
      <c r="AL171" s="38"/>
      <c r="AM171" s="38"/>
      <c r="AN171" s="38"/>
      <c r="AO171" s="38"/>
      <c r="AP171" s="38"/>
      <c r="AQ171" s="38"/>
      <c r="AR171" s="38"/>
      <c r="AS171" s="38"/>
      <c r="AT171" s="38"/>
      <c r="AU171" s="38"/>
      <c r="AV171" s="38"/>
      <c r="AW171" s="38"/>
      <c r="AX171" s="38"/>
      <c r="AY171" s="38"/>
      <c r="AZ171" s="38"/>
      <c r="BA171" s="38"/>
      <c r="BB171" s="38"/>
      <c r="BC171" s="38"/>
      <c r="BD171" s="38"/>
      <c r="BE171" s="38"/>
      <c r="BF171" s="38"/>
      <c r="BG171" s="38"/>
      <c r="BH171" s="38"/>
      <c r="BI171" s="38"/>
    </row>
    <row r="172" spans="1:61" ht="15" customHeight="1" x14ac:dyDescent="0.3">
      <c r="A172" s="38"/>
      <c r="B172" s="306"/>
      <c r="C172" s="307"/>
      <c r="D172" s="308"/>
      <c r="E172" s="290"/>
      <c r="F172" s="289"/>
      <c r="G172" s="289"/>
      <c r="H172" s="289"/>
      <c r="I172" s="289"/>
      <c r="J172" s="127" t="str">
        <f>IF(AND('Mapa final'!$AB$106="Baja",'Mapa final'!$AD$106="Leve"),CONCATENATE("R34C",'Mapa final'!$R$106),"")</f>
        <v/>
      </c>
      <c r="K172" s="144" t="str">
        <f>IF(AND('Mapa final'!$AB$107="Baja",'Mapa final'!$AD$107="Leve"),CONCATENATE("R34C",'Mapa final'!$R$107),"")</f>
        <v/>
      </c>
      <c r="L172" s="128" t="str">
        <f>IF(AND('Mapa final'!$AB$108="Baja",'Mapa final'!$AD$108="Leve"),CONCATENATE("R34C",'Mapa final'!$R$108),"")</f>
        <v/>
      </c>
      <c r="M172" s="119" t="str">
        <f>IF(AND('Mapa final'!$AB$106="Baja",'Mapa final'!$AD$106="Menor"),CONCATENATE("R34C",'Mapa final'!$R$106),"")</f>
        <v/>
      </c>
      <c r="N172" s="143" t="str">
        <f>IF(AND('Mapa final'!$AB$107="Baja",'Mapa final'!$AD$107="Menor"),CONCATENATE("R34C",'Mapa final'!$R$107),"")</f>
        <v/>
      </c>
      <c r="O172" s="120" t="str">
        <f>IF(AND('Mapa final'!$AB$108="Baja",'Mapa final'!$AD$108="Menor"),CONCATENATE("R34C",'Mapa final'!$R$108),"")</f>
        <v/>
      </c>
      <c r="P172" s="119" t="str">
        <f>IF(AND('Mapa final'!$AB$106="Baja",'Mapa final'!$AD$106="Moderado"),CONCATENATE("R34C",'Mapa final'!$R$106),"")</f>
        <v/>
      </c>
      <c r="Q172" s="143" t="str">
        <f>IF(AND('Mapa final'!$AB$107="Baja",'Mapa final'!$AD$107="Moderado"),CONCATENATE("R34C",'Mapa final'!$R$107),"")</f>
        <v>R34C2</v>
      </c>
      <c r="R172" s="120" t="str">
        <f>IF(AND('Mapa final'!$AB$108="Baja",'Mapa final'!$AD$108="Moderado"),CONCATENATE("R34C",'Mapa final'!$R$108),"")</f>
        <v/>
      </c>
      <c r="S172" s="148" t="str">
        <f>IF(AND('Mapa final'!$AB$106="Baja",'Mapa final'!$AD$106="Mayor"),CONCATENATE("R34C",'Mapa final'!$R$106),"")</f>
        <v/>
      </c>
      <c r="T172" s="149" t="str">
        <f>IF(AND('Mapa final'!$AB$107="Baja",'Mapa final'!$AD$107="Mayor"),CONCATENATE("R34C",'Mapa final'!$R$107),"")</f>
        <v/>
      </c>
      <c r="U172" s="150" t="str">
        <f>IF(AND('Mapa final'!$AB$108="Baja",'Mapa final'!$AD$108="Mayor"),CONCATENATE("R34C",'Mapa final'!$R$108),"")</f>
        <v/>
      </c>
      <c r="V172" s="114" t="str">
        <f>IF(AND('Mapa final'!$AB$106="Baja",'Mapa final'!$AD$106="Catastrófico"),CONCATENATE("R34C",'Mapa final'!$R$106),"")</f>
        <v/>
      </c>
      <c r="W172" s="142" t="str">
        <f>IF(AND('Mapa final'!$AB$107="Baja",'Mapa final'!$AD$107="Catastrófico"),CONCATENATE("R34C",'Mapa final'!$R$107),"")</f>
        <v/>
      </c>
      <c r="X172" s="115" t="str">
        <f>IF(AND('Mapa final'!$AB$108="Baja",'Mapa final'!$AD$108="Catastrófico"),CONCATENATE("R34C",'Mapa final'!$R$108),"")</f>
        <v/>
      </c>
      <c r="Y172" s="38"/>
      <c r="Z172" s="317"/>
      <c r="AA172" s="318"/>
      <c r="AB172" s="318"/>
      <c r="AC172" s="318"/>
      <c r="AD172" s="318"/>
      <c r="AE172" s="319"/>
      <c r="AF172" s="38"/>
      <c r="AG172" s="38"/>
      <c r="AH172" s="38"/>
      <c r="AI172" s="38"/>
      <c r="AJ172" s="38"/>
      <c r="AK172" s="38"/>
      <c r="AL172" s="38"/>
      <c r="AM172" s="38"/>
      <c r="AN172" s="38"/>
      <c r="AO172" s="38"/>
      <c r="AP172" s="38"/>
      <c r="AQ172" s="38"/>
      <c r="AR172" s="38"/>
      <c r="AS172" s="38"/>
      <c r="AT172" s="38"/>
      <c r="AU172" s="38"/>
      <c r="AV172" s="38"/>
      <c r="AW172" s="38"/>
      <c r="AX172" s="38"/>
      <c r="AY172" s="38"/>
      <c r="AZ172" s="38"/>
      <c r="BA172" s="38"/>
      <c r="BB172" s="38"/>
      <c r="BC172" s="38"/>
      <c r="BD172" s="38"/>
      <c r="BE172" s="38"/>
      <c r="BF172" s="38"/>
      <c r="BG172" s="38"/>
      <c r="BH172" s="38"/>
      <c r="BI172" s="38"/>
    </row>
    <row r="173" spans="1:61" ht="15" customHeight="1" x14ac:dyDescent="0.3">
      <c r="A173" s="38"/>
      <c r="B173" s="306"/>
      <c r="C173" s="307"/>
      <c r="D173" s="308"/>
      <c r="E173" s="290"/>
      <c r="F173" s="289"/>
      <c r="G173" s="289"/>
      <c r="H173" s="289"/>
      <c r="I173" s="289"/>
      <c r="J173" s="127" t="str">
        <f>IF(AND('Mapa final'!$AB$109="Baja",'Mapa final'!$AD$109="Leve"),CONCATENATE("R35C",'Mapa final'!$R$109),"")</f>
        <v/>
      </c>
      <c r="K173" s="144" t="str">
        <f>IF(AND('Mapa final'!$AB$110="Baja",'Mapa final'!$AD$110="Leve"),CONCATENATE("R35C",'Mapa final'!$R$110),"")</f>
        <v/>
      </c>
      <c r="L173" s="128" t="str">
        <f>IF(AND('Mapa final'!$AB$111="Baja",'Mapa final'!$AD$111="Leve"),CONCATENATE("R35C",'Mapa final'!$R$111),"")</f>
        <v/>
      </c>
      <c r="M173" s="119" t="str">
        <f>IF(AND('Mapa final'!$AB$109="Baja",'Mapa final'!$AD$109="Menor"),CONCATENATE("R35C",'Mapa final'!$R$109),"")</f>
        <v/>
      </c>
      <c r="N173" s="143" t="str">
        <f>IF(AND('Mapa final'!$AB$110="Baja",'Mapa final'!$AD$110="Menor"),CONCATENATE("R35C",'Mapa final'!$R$110),"")</f>
        <v/>
      </c>
      <c r="O173" s="120" t="str">
        <f>IF(AND('Mapa final'!$AB$111="Baja",'Mapa final'!$AD$111="Menor"),CONCATENATE("R35C",'Mapa final'!$R$111),"")</f>
        <v/>
      </c>
      <c r="P173" s="119" t="str">
        <f>IF(AND('Mapa final'!$AB$109="Baja",'Mapa final'!$AD$109="Moderado"),CONCATENATE("R35C",'Mapa final'!$R$109),"")</f>
        <v>R35C1</v>
      </c>
      <c r="Q173" s="143" t="str">
        <f>IF(AND('Mapa final'!$AB$110="Baja",'Mapa final'!$AD$110="Moderado"),CONCATENATE("R35C",'Mapa final'!$R$110),"")</f>
        <v>R35C2</v>
      </c>
      <c r="R173" s="120" t="str">
        <f>IF(AND('Mapa final'!$AB$111="Baja",'Mapa final'!$AD$111="Moderado"),CONCATENATE("R35C",'Mapa final'!$R$111),"")</f>
        <v/>
      </c>
      <c r="S173" s="148" t="str">
        <f>IF(AND('Mapa final'!$AB$109="Baja",'Mapa final'!$AD$109="Mayor"),CONCATENATE("R35C",'Mapa final'!$R$109),"")</f>
        <v/>
      </c>
      <c r="T173" s="149" t="str">
        <f>IF(AND('Mapa final'!$AB$110="Baja",'Mapa final'!$AD$110="Mayor"),CONCATENATE("R35C",'Mapa final'!$R$110),"")</f>
        <v/>
      </c>
      <c r="U173" s="150" t="str">
        <f>IF(AND('Mapa final'!$AB$111="Baja",'Mapa final'!$AD$111="Mayor"),CONCATENATE("R35C",'Mapa final'!$R$111),"")</f>
        <v/>
      </c>
      <c r="V173" s="114" t="str">
        <f>IF(AND('Mapa final'!$AB$109="Baja",'Mapa final'!$AD$109="Catastrófico"),CONCATENATE("R35C",'Mapa final'!$R$109),"")</f>
        <v/>
      </c>
      <c r="W173" s="142" t="str">
        <f>IF(AND('Mapa final'!$AB$110="Baja",'Mapa final'!$AD$110="Catastrófico"),CONCATENATE("R35C",'Mapa final'!$R$110),"")</f>
        <v/>
      </c>
      <c r="X173" s="115" t="str">
        <f>IF(AND('Mapa final'!$AB$111="Baja",'Mapa final'!$AD$111="Catastrófico"),CONCATENATE("R35C",'Mapa final'!$R$111),"")</f>
        <v/>
      </c>
      <c r="Y173" s="38"/>
      <c r="Z173" s="317"/>
      <c r="AA173" s="318"/>
      <c r="AB173" s="318"/>
      <c r="AC173" s="318"/>
      <c r="AD173" s="318"/>
      <c r="AE173" s="319"/>
      <c r="AF173" s="38"/>
      <c r="AG173" s="38"/>
      <c r="AH173" s="38"/>
      <c r="AI173" s="38"/>
      <c r="AJ173" s="38"/>
      <c r="AK173" s="38"/>
      <c r="AL173" s="38"/>
      <c r="AM173" s="38"/>
      <c r="AN173" s="38"/>
      <c r="AO173" s="38"/>
      <c r="AP173" s="38"/>
      <c r="AQ173" s="38"/>
      <c r="AR173" s="38"/>
      <c r="AS173" s="38"/>
      <c r="AT173" s="38"/>
      <c r="AU173" s="38"/>
      <c r="AV173" s="38"/>
      <c r="AW173" s="38"/>
      <c r="AX173" s="38"/>
      <c r="AY173" s="38"/>
      <c r="AZ173" s="38"/>
      <c r="BA173" s="38"/>
      <c r="BB173" s="38"/>
      <c r="BC173" s="38"/>
      <c r="BD173" s="38"/>
      <c r="BE173" s="38"/>
      <c r="BF173" s="38"/>
      <c r="BG173" s="38"/>
      <c r="BH173" s="38"/>
      <c r="BI173" s="38"/>
    </row>
    <row r="174" spans="1:61" ht="15" customHeight="1" x14ac:dyDescent="0.3">
      <c r="A174" s="38"/>
      <c r="B174" s="306"/>
      <c r="C174" s="307"/>
      <c r="D174" s="308"/>
      <c r="E174" s="290"/>
      <c r="F174" s="289"/>
      <c r="G174" s="289"/>
      <c r="H174" s="289"/>
      <c r="I174" s="289"/>
      <c r="J174" s="127" t="str">
        <f>IF(AND('Mapa final'!$AB$112="Baja",'Mapa final'!$AD$112="Leve"),CONCATENATE("R36C",'Mapa final'!$R$112),"")</f>
        <v/>
      </c>
      <c r="K174" s="144" t="str">
        <f>IF(AND('Mapa final'!$AB$113="Baja",'Mapa final'!$AD$113="Leve"),CONCATENATE("R36C",'Mapa final'!$R$113),"")</f>
        <v/>
      </c>
      <c r="L174" s="128" t="str">
        <f>IF(AND('Mapa final'!$AB$114="Baja",'Mapa final'!$AD$114="Leve"),CONCATENATE("R36C",'Mapa final'!$R$114),"")</f>
        <v/>
      </c>
      <c r="M174" s="119" t="str">
        <f>IF(AND('Mapa final'!$AB$112="Baja",'Mapa final'!$AD$112="Menor"),CONCATENATE("R36C",'Mapa final'!$R$112),"")</f>
        <v/>
      </c>
      <c r="N174" s="143" t="str">
        <f>IF(AND('Mapa final'!$AB$113="Baja",'Mapa final'!$AD$113="Menor"),CONCATENATE("R36C",'Mapa final'!$R$113),"")</f>
        <v/>
      </c>
      <c r="O174" s="120" t="str">
        <f>IF(AND('Mapa final'!$AB$114="Baja",'Mapa final'!$AD$114="Menor"),CONCATENATE("R36C",'Mapa final'!$R$114),"")</f>
        <v/>
      </c>
      <c r="P174" s="119" t="str">
        <f>IF(AND('Mapa final'!$AB$112="Baja",'Mapa final'!$AD$112="Moderado"),CONCATENATE("R36C",'Mapa final'!$R$112),"")</f>
        <v/>
      </c>
      <c r="Q174" s="143" t="str">
        <f>IF(AND('Mapa final'!$AB$113="Baja",'Mapa final'!$AD$113="Moderado"),CONCATENATE("R36C",'Mapa final'!$R$113),"")</f>
        <v/>
      </c>
      <c r="R174" s="120" t="str">
        <f>IF(AND('Mapa final'!$AB$114="Baja",'Mapa final'!$AD$114="Moderado"),CONCATENATE("R36C",'Mapa final'!$R$114),"")</f>
        <v/>
      </c>
      <c r="S174" s="148" t="str">
        <f>IF(AND('Mapa final'!$AB$112="Baja",'Mapa final'!$AD$112="Mayor"),CONCATENATE("R36C",'Mapa final'!$R$112),"")</f>
        <v>R36C1</v>
      </c>
      <c r="T174" s="149" t="str">
        <f>IF(AND('Mapa final'!$AB$113="Baja",'Mapa final'!$AD$113="Mayor"),CONCATENATE("R36C",'Mapa final'!$R$113),"")</f>
        <v>R36C2</v>
      </c>
      <c r="U174" s="150" t="str">
        <f>IF(AND('Mapa final'!$AB$114="Baja",'Mapa final'!$AD$114="Mayor"),CONCATENATE("R36C",'Mapa final'!$R$114),"")</f>
        <v/>
      </c>
      <c r="V174" s="114" t="str">
        <f>IF(AND('Mapa final'!$AB$112="Baja",'Mapa final'!$AD$112="Catastrófico"),CONCATENATE("R36C",'Mapa final'!$R$112),"")</f>
        <v/>
      </c>
      <c r="W174" s="142" t="str">
        <f>IF(AND('Mapa final'!$AB$113="Baja",'Mapa final'!$AD$113="Catastrófico"),CONCATENATE("R36C",'Mapa final'!$R$113),"")</f>
        <v/>
      </c>
      <c r="X174" s="115" t="str">
        <f>IF(AND('Mapa final'!$AB$114="Baja",'Mapa final'!$AD$114="Catastrófico"),CONCATENATE("R36C",'Mapa final'!$R$114),"")</f>
        <v/>
      </c>
      <c r="Y174" s="38"/>
      <c r="Z174" s="317"/>
      <c r="AA174" s="318"/>
      <c r="AB174" s="318"/>
      <c r="AC174" s="318"/>
      <c r="AD174" s="318"/>
      <c r="AE174" s="319"/>
      <c r="AF174" s="38"/>
      <c r="AG174" s="38"/>
      <c r="AH174" s="38"/>
      <c r="AI174" s="38"/>
      <c r="AJ174" s="38"/>
      <c r="AK174" s="38"/>
      <c r="AL174" s="38"/>
      <c r="AM174" s="38"/>
      <c r="AN174" s="38"/>
      <c r="AO174" s="38"/>
      <c r="AP174" s="38"/>
      <c r="AQ174" s="38"/>
      <c r="AR174" s="38"/>
      <c r="AS174" s="38"/>
      <c r="AT174" s="38"/>
      <c r="AU174" s="38"/>
      <c r="AV174" s="38"/>
      <c r="AW174" s="38"/>
      <c r="AX174" s="38"/>
      <c r="AY174" s="38"/>
      <c r="AZ174" s="38"/>
      <c r="BA174" s="38"/>
      <c r="BB174" s="38"/>
      <c r="BC174" s="38"/>
      <c r="BD174" s="38"/>
      <c r="BE174" s="38"/>
      <c r="BF174" s="38"/>
      <c r="BG174" s="38"/>
      <c r="BH174" s="38"/>
      <c r="BI174" s="38"/>
    </row>
    <row r="175" spans="1:61" ht="15" customHeight="1" x14ac:dyDescent="0.3">
      <c r="A175" s="38"/>
      <c r="B175" s="306"/>
      <c r="C175" s="307"/>
      <c r="D175" s="308"/>
      <c r="E175" s="290"/>
      <c r="F175" s="289"/>
      <c r="G175" s="289"/>
      <c r="H175" s="289"/>
      <c r="I175" s="289"/>
      <c r="J175" s="127" t="str">
        <f>IF(AND('Mapa final'!$AB$115="Baja",'Mapa final'!$AD$115="Leve"),CONCATENATE("R37C",'Mapa final'!$R$115),"")</f>
        <v/>
      </c>
      <c r="K175" s="144" t="str">
        <f>IF(AND('Mapa final'!$AB$116="Baja",'Mapa final'!$AD$116="Leve"),CONCATENATE("R37C",'Mapa final'!$R$116),"")</f>
        <v/>
      </c>
      <c r="L175" s="128" t="str">
        <f>IF(AND('Mapa final'!$AB$117="Baja",'Mapa final'!$AD$117="Leve"),CONCATENATE("R37C",'Mapa final'!$R$117),"")</f>
        <v/>
      </c>
      <c r="M175" s="119" t="str">
        <f>IF(AND('Mapa final'!$AB$115="Baja",'Mapa final'!$AD$115="Menor"),CONCATENATE("R37C",'Mapa final'!$R$115),"")</f>
        <v/>
      </c>
      <c r="N175" s="143" t="str">
        <f>IF(AND('Mapa final'!$AB$116="Baja",'Mapa final'!$AD$116="Menor"),CONCATENATE("R37C",'Mapa final'!$R$116),"")</f>
        <v/>
      </c>
      <c r="O175" s="120" t="str">
        <f>IF(AND('Mapa final'!$AB$117="Baja",'Mapa final'!$AD$117="Menor"),CONCATENATE("R37C",'Mapa final'!$R$117),"")</f>
        <v/>
      </c>
      <c r="P175" s="119" t="str">
        <f>IF(AND('Mapa final'!$AB$115="Baja",'Mapa final'!$AD$115="Moderado"),CONCATENATE("R37C",'Mapa final'!$R$115),"")</f>
        <v/>
      </c>
      <c r="Q175" s="143" t="str">
        <f>IF(AND('Mapa final'!$AB$116="Baja",'Mapa final'!$AD$116="Moderado"),CONCATENATE("R37C",'Mapa final'!$R$116),"")</f>
        <v/>
      </c>
      <c r="R175" s="120" t="str">
        <f>IF(AND('Mapa final'!$AB$117="Baja",'Mapa final'!$AD$117="Moderado"),CONCATENATE("R37C",'Mapa final'!$R$117),"")</f>
        <v/>
      </c>
      <c r="S175" s="148" t="str">
        <f>IF(AND('Mapa final'!$AB$115="Baja",'Mapa final'!$AD$115="Mayor"),CONCATENATE("R37C",'Mapa final'!$R$115),"")</f>
        <v/>
      </c>
      <c r="T175" s="149" t="str">
        <f>IF(AND('Mapa final'!$AB$116="Baja",'Mapa final'!$AD$116="Mayor"),CONCATENATE("R37C",'Mapa final'!$R$116),"")</f>
        <v/>
      </c>
      <c r="U175" s="150" t="str">
        <f>IF(AND('Mapa final'!$AB$117="Baja",'Mapa final'!$AD$117="Mayor"),CONCATENATE("R37C",'Mapa final'!$R$117),"")</f>
        <v/>
      </c>
      <c r="V175" s="114" t="str">
        <f>IF(AND('Mapa final'!$AB$115="Baja",'Mapa final'!$AD$115="Catastrófico"),CONCATENATE("R37C",'Mapa final'!$R$115),"")</f>
        <v/>
      </c>
      <c r="W175" s="142" t="str">
        <f>IF(AND('Mapa final'!$AB$116="Baja",'Mapa final'!$AD$116="Catastrófico"),CONCATENATE("R37C",'Mapa final'!$R$116),"")</f>
        <v/>
      </c>
      <c r="X175" s="115" t="str">
        <f>IF(AND('Mapa final'!$AB$117="Baja",'Mapa final'!$AD$117="Catastrófico"),CONCATENATE("R37C",'Mapa final'!$R$117),"")</f>
        <v/>
      </c>
      <c r="Y175" s="38"/>
      <c r="Z175" s="317"/>
      <c r="AA175" s="318"/>
      <c r="AB175" s="318"/>
      <c r="AC175" s="318"/>
      <c r="AD175" s="318"/>
      <c r="AE175" s="319"/>
      <c r="AF175" s="38"/>
      <c r="AG175" s="38"/>
      <c r="AH175" s="38"/>
      <c r="AI175" s="38"/>
      <c r="AJ175" s="38"/>
      <c r="AK175" s="38"/>
      <c r="AL175" s="38"/>
      <c r="AM175" s="38"/>
      <c r="AN175" s="38"/>
      <c r="AO175" s="38"/>
      <c r="AP175" s="38"/>
      <c r="AQ175" s="38"/>
      <c r="AR175" s="38"/>
      <c r="AS175" s="38"/>
      <c r="AT175" s="38"/>
      <c r="AU175" s="38"/>
      <c r="AV175" s="38"/>
      <c r="AW175" s="38"/>
      <c r="AX175" s="38"/>
      <c r="AY175" s="38"/>
      <c r="AZ175" s="38"/>
      <c r="BA175" s="38"/>
      <c r="BB175" s="38"/>
      <c r="BC175" s="38"/>
      <c r="BD175" s="38"/>
      <c r="BE175" s="38"/>
      <c r="BF175" s="38"/>
      <c r="BG175" s="38"/>
      <c r="BH175" s="38"/>
      <c r="BI175" s="38"/>
    </row>
    <row r="176" spans="1:61" ht="15" customHeight="1" x14ac:dyDescent="0.3">
      <c r="A176" s="38"/>
      <c r="B176" s="306"/>
      <c r="C176" s="307"/>
      <c r="D176" s="308"/>
      <c r="E176" s="290"/>
      <c r="F176" s="289"/>
      <c r="G176" s="289"/>
      <c r="H176" s="289"/>
      <c r="I176" s="289"/>
      <c r="J176" s="127" t="str">
        <f>IF(AND('Mapa final'!$AB$118="Baja",'Mapa final'!$AD$118="Leve"),CONCATENATE("R38C",'Mapa final'!$R$118),"")</f>
        <v/>
      </c>
      <c r="K176" s="144" t="str">
        <f>IF(AND('Mapa final'!$AB$119="Baja",'Mapa final'!$AD$119="Leve"),CONCATENATE("R38C",'Mapa final'!$R$119),"")</f>
        <v/>
      </c>
      <c r="L176" s="128" t="str">
        <f>IF(AND('Mapa final'!$AB$120="Baja",'Mapa final'!$AD$120="Leve"),CONCATENATE("R38C",'Mapa final'!$R$120),"")</f>
        <v/>
      </c>
      <c r="M176" s="119" t="str">
        <f>IF(AND('Mapa final'!$AB$118="Baja",'Mapa final'!$AD$118="Menor"),CONCATENATE("R38C",'Mapa final'!$R$118),"")</f>
        <v/>
      </c>
      <c r="N176" s="143" t="str">
        <f>IF(AND('Mapa final'!$AB$119="Baja",'Mapa final'!$AD$119="Menor"),CONCATENATE("R38C",'Mapa final'!$R$119),"")</f>
        <v/>
      </c>
      <c r="O176" s="120" t="str">
        <f>IF(AND('Mapa final'!$AB$120="Baja",'Mapa final'!$AD$120="Menor"),CONCATENATE("R38C",'Mapa final'!$R$120),"")</f>
        <v/>
      </c>
      <c r="P176" s="119" t="str">
        <f>IF(AND('Mapa final'!$AB$118="Baja",'Mapa final'!$AD$118="Moderado"),CONCATENATE("R38C",'Mapa final'!$R$118),"")</f>
        <v/>
      </c>
      <c r="Q176" s="143" t="str">
        <f>IF(AND('Mapa final'!$AB$119="Baja",'Mapa final'!$AD$119="Moderado"),CONCATENATE("R38C",'Mapa final'!$R$119),"")</f>
        <v/>
      </c>
      <c r="R176" s="120" t="str">
        <f>IF(AND('Mapa final'!$AB$120="Baja",'Mapa final'!$AD$120="Moderado"),CONCATENATE("R38C",'Mapa final'!$R$120),"")</f>
        <v/>
      </c>
      <c r="S176" s="148" t="str">
        <f>IF(AND('Mapa final'!$AB$118="Baja",'Mapa final'!$AD$118="Mayor"),CONCATENATE("R38C",'Mapa final'!$R$118),"")</f>
        <v/>
      </c>
      <c r="T176" s="149" t="str">
        <f>IF(AND('Mapa final'!$AB$119="Baja",'Mapa final'!$AD$119="Mayor"),CONCATENATE("R38C",'Mapa final'!$R$119),"")</f>
        <v/>
      </c>
      <c r="U176" s="150" t="str">
        <f>IF(AND('Mapa final'!$AB$120="Baja",'Mapa final'!$AD$120="Mayor"),CONCATENATE("R38C",'Mapa final'!$R$120),"")</f>
        <v/>
      </c>
      <c r="V176" s="114" t="str">
        <f>IF(AND('Mapa final'!$AB$118="Baja",'Mapa final'!$AD$118="Catastrófico"),CONCATENATE("R38C",'Mapa final'!$R$118),"")</f>
        <v/>
      </c>
      <c r="W176" s="142" t="str">
        <f>IF(AND('Mapa final'!$AB$119="Baja",'Mapa final'!$AD$119="Catastrófico"),CONCATENATE("R38C",'Mapa final'!$R$119),"")</f>
        <v/>
      </c>
      <c r="X176" s="115" t="str">
        <f>IF(AND('Mapa final'!$AB$120="Baja",'Mapa final'!$AD$120="Catastrófico"),CONCATENATE("R38C",'Mapa final'!$R$120),"")</f>
        <v/>
      </c>
      <c r="Y176" s="38"/>
      <c r="Z176" s="317"/>
      <c r="AA176" s="318"/>
      <c r="AB176" s="318"/>
      <c r="AC176" s="318"/>
      <c r="AD176" s="318"/>
      <c r="AE176" s="319"/>
      <c r="AF176" s="38"/>
      <c r="AG176" s="38"/>
      <c r="AH176" s="38"/>
      <c r="AI176" s="38"/>
      <c r="AJ176" s="38"/>
      <c r="AK176" s="38"/>
      <c r="AL176" s="38"/>
      <c r="AM176" s="38"/>
      <c r="AN176" s="38"/>
      <c r="AO176" s="38"/>
      <c r="AP176" s="38"/>
      <c r="AQ176" s="38"/>
      <c r="AR176" s="38"/>
      <c r="AS176" s="38"/>
      <c r="AT176" s="38"/>
      <c r="AU176" s="38"/>
      <c r="AV176" s="38"/>
      <c r="AW176" s="38"/>
      <c r="AX176" s="38"/>
      <c r="AY176" s="38"/>
      <c r="AZ176" s="38"/>
      <c r="BA176" s="38"/>
      <c r="BB176" s="38"/>
      <c r="BC176" s="38"/>
      <c r="BD176" s="38"/>
      <c r="BE176" s="38"/>
      <c r="BF176" s="38"/>
      <c r="BG176" s="38"/>
      <c r="BH176" s="38"/>
      <c r="BI176" s="38"/>
    </row>
    <row r="177" spans="1:65" ht="15" customHeight="1" x14ac:dyDescent="0.3">
      <c r="A177" s="38"/>
      <c r="B177" s="306"/>
      <c r="C177" s="307"/>
      <c r="D177" s="308"/>
      <c r="E177" s="290"/>
      <c r="F177" s="289"/>
      <c r="G177" s="289"/>
      <c r="H177" s="289"/>
      <c r="I177" s="289"/>
      <c r="J177" s="127" t="str">
        <f>IF(AND('Mapa final'!$AB$121="Baja",'Mapa final'!$AD$121="Leve"),CONCATENATE("R39C",'Mapa final'!$R$121),"")</f>
        <v/>
      </c>
      <c r="K177" s="144" t="str">
        <f>IF(AND('Mapa final'!$AB$122="Baja",'Mapa final'!$AD$122="Leve"),CONCATENATE("R39C",'Mapa final'!$R$122),"")</f>
        <v/>
      </c>
      <c r="L177" s="128" t="str">
        <f>IF(AND('Mapa final'!$AB$123="Baja",'Mapa final'!$AD$123="Leve"),CONCATENATE("R39C",'Mapa final'!$R$123),"")</f>
        <v/>
      </c>
      <c r="M177" s="119" t="str">
        <f>IF(AND('Mapa final'!$AB$121="Baja",'Mapa final'!$AD$121="Menor"),CONCATENATE("R39C",'Mapa final'!$R$121),"")</f>
        <v/>
      </c>
      <c r="N177" s="143" t="str">
        <f>IF(AND('Mapa final'!$AB$122="Baja",'Mapa final'!$AD$122="Menor"),CONCATENATE("R39C",'Mapa final'!$R$122),"")</f>
        <v/>
      </c>
      <c r="O177" s="120" t="str">
        <f>IF(AND('Mapa final'!$AB$123="Baja",'Mapa final'!$AD$123="Menor"),CONCATENATE("R39C",'Mapa final'!$R$123),"")</f>
        <v/>
      </c>
      <c r="P177" s="119" t="str">
        <f>IF(AND('Mapa final'!$AB$121="Baja",'Mapa final'!$AD$121="Moderado"),CONCATENATE("R39C",'Mapa final'!$R$121),"")</f>
        <v/>
      </c>
      <c r="Q177" s="143" t="str">
        <f>IF(AND('Mapa final'!$AB$122="Baja",'Mapa final'!$AD$122="Moderado"),CONCATENATE("R39C",'Mapa final'!$R$122),"")</f>
        <v/>
      </c>
      <c r="R177" s="120" t="str">
        <f>IF(AND('Mapa final'!$AB$123="Baja",'Mapa final'!$AD$123="Moderado"),CONCATENATE("R39C",'Mapa final'!$R$123),"")</f>
        <v/>
      </c>
      <c r="S177" s="148" t="str">
        <f>IF(AND('Mapa final'!$AB$121="Baja",'Mapa final'!$AD$121="Mayor"),CONCATENATE("R39C",'Mapa final'!$R$121),"")</f>
        <v>R39C1</v>
      </c>
      <c r="T177" s="149" t="str">
        <f>IF(AND('Mapa final'!$AB$122="Baja",'Mapa final'!$AD$122="Mayor"),CONCATENATE("R39C",'Mapa final'!$R$122),"")</f>
        <v/>
      </c>
      <c r="U177" s="150" t="str">
        <f>IF(AND('Mapa final'!$AB$123="Baja",'Mapa final'!$AD$123="Mayor"),CONCATENATE("R39C",'Mapa final'!$R$123),"")</f>
        <v/>
      </c>
      <c r="V177" s="114" t="str">
        <f>IF(AND('Mapa final'!$AB$121="Baja",'Mapa final'!$AD$121="Catastrófico"),CONCATENATE("R39C",'Mapa final'!$R$121),"")</f>
        <v/>
      </c>
      <c r="W177" s="142" t="str">
        <f>IF(AND('Mapa final'!$AB$122="Baja",'Mapa final'!$AD$122="Catastrófico"),CONCATENATE("R39C",'Mapa final'!$R$122),"")</f>
        <v/>
      </c>
      <c r="X177" s="115" t="str">
        <f>IF(AND('Mapa final'!$AB$123="Baja",'Mapa final'!$AD$123="Catastrófico"),CONCATENATE("R39C",'Mapa final'!$R$123),"")</f>
        <v/>
      </c>
      <c r="Y177" s="38"/>
      <c r="Z177" s="317"/>
      <c r="AA177" s="318"/>
      <c r="AB177" s="318"/>
      <c r="AC177" s="318"/>
      <c r="AD177" s="318"/>
      <c r="AE177" s="319"/>
      <c r="AF177" s="38"/>
      <c r="AG177" s="38"/>
      <c r="AH177" s="38"/>
      <c r="AI177" s="38"/>
      <c r="AJ177" s="38"/>
      <c r="AK177" s="38"/>
      <c r="AL177" s="38"/>
      <c r="AM177" s="38"/>
      <c r="AN177" s="38"/>
      <c r="AO177" s="38"/>
      <c r="AP177" s="38"/>
      <c r="AQ177" s="38"/>
      <c r="AR177" s="38"/>
      <c r="AS177" s="38"/>
      <c r="AT177" s="38"/>
      <c r="AU177" s="38"/>
      <c r="AV177" s="38"/>
      <c r="AW177" s="38"/>
      <c r="AX177" s="38"/>
      <c r="AY177" s="38"/>
      <c r="AZ177" s="38"/>
      <c r="BA177" s="38"/>
      <c r="BB177" s="38"/>
      <c r="BC177" s="38"/>
      <c r="BD177" s="38"/>
      <c r="BE177" s="38"/>
      <c r="BF177" s="38"/>
      <c r="BG177" s="38"/>
      <c r="BH177" s="38"/>
      <c r="BI177" s="38"/>
    </row>
    <row r="178" spans="1:65" ht="15" customHeight="1" x14ac:dyDescent="0.3">
      <c r="A178" s="38"/>
      <c r="B178" s="306"/>
      <c r="C178" s="307"/>
      <c r="D178" s="308"/>
      <c r="E178" s="290"/>
      <c r="F178" s="289"/>
      <c r="G178" s="289"/>
      <c r="H178" s="289"/>
      <c r="I178" s="289"/>
      <c r="J178" s="127" t="str">
        <f>IF(AND('Mapa final'!$AB$124="Baja",'Mapa final'!$AD$124="Leve"),CONCATENATE("R40C",'Mapa final'!$R$124),"")</f>
        <v/>
      </c>
      <c r="K178" s="144" t="str">
        <f>IF(AND('Mapa final'!$AB$125="Baja",'Mapa final'!$AD$125="Leve"),CONCATENATE("R40C",'Mapa final'!$R$125),"")</f>
        <v>R40C2</v>
      </c>
      <c r="L178" s="128" t="str">
        <f>IF(AND('Mapa final'!$AB$126="Baja",'Mapa final'!$AD$126="Leve"),CONCATENATE("R40C",'Mapa final'!$R$126),"")</f>
        <v/>
      </c>
      <c r="M178" s="119" t="str">
        <f>IF(AND('Mapa final'!$AB$124="Baja",'Mapa final'!$AD$124="Menor"),CONCATENATE("R40C",'Mapa final'!$R$124),"")</f>
        <v/>
      </c>
      <c r="N178" s="143" t="str">
        <f>IF(AND('Mapa final'!$AB$125="Baja",'Mapa final'!$AD$125="Menor"),CONCATENATE("R40C",'Mapa final'!$R$125),"")</f>
        <v/>
      </c>
      <c r="O178" s="120" t="str">
        <f>IF(AND('Mapa final'!$AB$126="Baja",'Mapa final'!$AD$126="Menor"),CONCATENATE("R40C",'Mapa final'!$R$126),"")</f>
        <v/>
      </c>
      <c r="P178" s="119" t="str">
        <f>IF(AND('Mapa final'!$AB$124="Baja",'Mapa final'!$AD$124="Moderado"),CONCATENATE("R40C",'Mapa final'!$R$124),"")</f>
        <v/>
      </c>
      <c r="Q178" s="143" t="str">
        <f>IF(AND('Mapa final'!$AB$125="Baja",'Mapa final'!$AD$125="Moderado"),CONCATENATE("R40C",'Mapa final'!$R$125),"")</f>
        <v/>
      </c>
      <c r="R178" s="120" t="str">
        <f>IF(AND('Mapa final'!$AB$126="Baja",'Mapa final'!$AD$126="Moderado"),CONCATENATE("R40C",'Mapa final'!$R$126),"")</f>
        <v/>
      </c>
      <c r="S178" s="148" t="str">
        <f>IF(AND('Mapa final'!$AB$124="Baja",'Mapa final'!$AD$124="Mayor"),CONCATENATE("R40C",'Mapa final'!$R$124),"")</f>
        <v>R40C1</v>
      </c>
      <c r="T178" s="149" t="str">
        <f>IF(AND('Mapa final'!$AB$125="Baja",'Mapa final'!$AD$125="Mayor"),CONCATENATE("R40C",'Mapa final'!$R$125),"")</f>
        <v/>
      </c>
      <c r="U178" s="150" t="str">
        <f>IF(AND('Mapa final'!$AB$126="Baja",'Mapa final'!$AD$126="Mayor"),CONCATENATE("R40C",'Mapa final'!$R$126),"")</f>
        <v/>
      </c>
      <c r="V178" s="114" t="str">
        <f>IF(AND('Mapa final'!$AB$124="Baja",'Mapa final'!$AD$124="Catastrófico"),CONCATENATE("R40C",'Mapa final'!$R$124),"")</f>
        <v/>
      </c>
      <c r="W178" s="142" t="str">
        <f>IF(AND('Mapa final'!$AB$125="Baja",'Mapa final'!$AD$125="Catastrófico"),CONCATENATE("R40C",'Mapa final'!$R$125),"")</f>
        <v/>
      </c>
      <c r="X178" s="115" t="str">
        <f>IF(AND('Mapa final'!$AB$126="Baja",'Mapa final'!$AD$126="Catastrófico"),CONCATENATE("R40C",'Mapa final'!$R$126),"")</f>
        <v/>
      </c>
      <c r="Y178" s="38"/>
      <c r="Z178" s="317"/>
      <c r="AA178" s="318"/>
      <c r="AB178" s="318"/>
      <c r="AC178" s="318"/>
      <c r="AD178" s="318"/>
      <c r="AE178" s="319"/>
      <c r="AF178" s="38"/>
      <c r="AG178" s="38"/>
      <c r="AH178" s="38"/>
      <c r="AI178" s="38"/>
      <c r="AJ178" s="38"/>
      <c r="AK178" s="38"/>
      <c r="AL178" s="38"/>
      <c r="AM178" s="38"/>
      <c r="AN178" s="38"/>
      <c r="AO178" s="38"/>
      <c r="AP178" s="38"/>
      <c r="AQ178" s="38"/>
      <c r="AR178" s="38"/>
      <c r="AS178" s="38"/>
      <c r="AT178" s="38"/>
      <c r="AU178" s="38"/>
      <c r="AV178" s="38"/>
      <c r="AW178" s="38"/>
      <c r="AX178" s="38"/>
      <c r="AY178" s="38"/>
      <c r="AZ178" s="38"/>
      <c r="BA178" s="38"/>
      <c r="BB178" s="38"/>
      <c r="BC178" s="38"/>
      <c r="BD178" s="38"/>
      <c r="BE178" s="38"/>
      <c r="BF178" s="38"/>
      <c r="BG178" s="38"/>
      <c r="BH178" s="38"/>
      <c r="BI178" s="38"/>
    </row>
    <row r="179" spans="1:65" ht="15" customHeight="1" x14ac:dyDescent="0.3">
      <c r="A179" s="38"/>
      <c r="B179" s="306"/>
      <c r="C179" s="307"/>
      <c r="D179" s="308"/>
      <c r="E179" s="290"/>
      <c r="F179" s="289"/>
      <c r="G179" s="289"/>
      <c r="H179" s="289"/>
      <c r="I179" s="289"/>
      <c r="J179" s="127" t="str">
        <f>IF(AND('Mapa final'!$AB$130="Baja",'Mapa final'!$AD$130="Leve"),CONCATENATE("R41C",'Mapa final'!$R$130),"")</f>
        <v/>
      </c>
      <c r="K179" s="144" t="str">
        <f>IF(AND('Mapa final'!$AB$131="Baja",'Mapa final'!$AD$131="Leve"),CONCATENATE("R41C",'Mapa final'!$R$131),"")</f>
        <v/>
      </c>
      <c r="L179" s="128" t="str">
        <f>IF(AND('Mapa final'!$AB$132="Baja",'Mapa final'!$AD$132="Leve"),CONCATENATE("R41C",'Mapa final'!$R$132),"")</f>
        <v/>
      </c>
      <c r="M179" s="119" t="str">
        <f>IF(AND('Mapa final'!$AB$130="Baja",'Mapa final'!$AD$130="Menor"),CONCATENATE("R41C",'Mapa final'!$R$130),"")</f>
        <v/>
      </c>
      <c r="N179" s="143" t="str">
        <f>IF(AND('Mapa final'!$AB$131="Baja",'Mapa final'!$AD$131="Menor"),CONCATENATE("R41C",'Mapa final'!$R$131),"")</f>
        <v/>
      </c>
      <c r="O179" s="120" t="str">
        <f>IF(AND('Mapa final'!$AB$132="Baja",'Mapa final'!$AD$132="Menor"),CONCATENATE("R41C",'Mapa final'!$R$132),"")</f>
        <v/>
      </c>
      <c r="P179" s="119" t="str">
        <f>IF(AND('Mapa final'!$AB$130="Baja",'Mapa final'!$AD$130="Moderado"),CONCATENATE("R41C",'Mapa final'!$R$130),"")</f>
        <v/>
      </c>
      <c r="Q179" s="143" t="str">
        <f>IF(AND('Mapa final'!$AB$131="Baja",'Mapa final'!$AD$131="Moderado"),CONCATENATE("R41C",'Mapa final'!$R$131),"")</f>
        <v/>
      </c>
      <c r="R179" s="120" t="str">
        <f>IF(AND('Mapa final'!$AB$132="Baja",'Mapa final'!$AD$132="Moderado"),CONCATENATE("R41C",'Mapa final'!$R$132),"")</f>
        <v/>
      </c>
      <c r="S179" s="148" t="str">
        <f>IF(AND('Mapa final'!$AB$130="Baja",'Mapa final'!$AD$130="Mayor"),CONCATENATE("R41C",'Mapa final'!$R$130),"")</f>
        <v>R41C1</v>
      </c>
      <c r="T179" s="149" t="str">
        <f>IF(AND('Mapa final'!$AB$131="Baja",'Mapa final'!$AD$131="Mayor"),CONCATENATE("R41C",'Mapa final'!$R$131),"")</f>
        <v/>
      </c>
      <c r="U179" s="150" t="str">
        <f>IF(AND('Mapa final'!$AB$132="Baja",'Mapa final'!$AD$132="Mayor"),CONCATENATE("R41C",'Mapa final'!$R$132),"")</f>
        <v/>
      </c>
      <c r="V179" s="114" t="str">
        <f>IF(AND('Mapa final'!$AB$130="Baja",'Mapa final'!$AD$130="Catastrófico"),CONCATENATE("R41C",'Mapa final'!$R$130),"")</f>
        <v/>
      </c>
      <c r="W179" s="142" t="str">
        <f>IF(AND('Mapa final'!$AB$131="Baja",'Mapa final'!$AD$131="Catastrófico"),CONCATENATE("R41C",'Mapa final'!$R$131),"")</f>
        <v/>
      </c>
      <c r="X179" s="115" t="str">
        <f>IF(AND('Mapa final'!$AB$132="Baja",'Mapa final'!$AD$132="Catastrófico"),CONCATENATE("R41C",'Mapa final'!$R$132),"")</f>
        <v/>
      </c>
      <c r="Y179" s="38"/>
      <c r="Z179" s="317"/>
      <c r="AA179" s="318"/>
      <c r="AB179" s="318"/>
      <c r="AC179" s="318"/>
      <c r="AD179" s="318"/>
      <c r="AE179" s="319"/>
      <c r="AF179" s="38"/>
      <c r="AG179" s="38"/>
      <c r="AH179" s="38"/>
      <c r="AI179" s="38"/>
      <c r="AJ179" s="38"/>
      <c r="AK179" s="38"/>
      <c r="AL179" s="38"/>
      <c r="AM179" s="38"/>
      <c r="AN179" s="38"/>
      <c r="AO179" s="38"/>
      <c r="AP179" s="38"/>
      <c r="AQ179" s="38"/>
      <c r="AR179" s="38"/>
      <c r="AS179" s="38"/>
      <c r="AT179" s="38"/>
      <c r="AU179" s="38"/>
      <c r="AV179" s="38"/>
      <c r="AW179" s="38"/>
      <c r="AX179" s="38"/>
      <c r="AY179" s="38"/>
      <c r="AZ179" s="38"/>
      <c r="BA179" s="38"/>
      <c r="BB179" s="38"/>
      <c r="BC179" s="38"/>
      <c r="BD179" s="38"/>
      <c r="BE179" s="38"/>
      <c r="BF179" s="38"/>
      <c r="BG179" s="38"/>
      <c r="BH179" s="38"/>
      <c r="BI179" s="38"/>
    </row>
    <row r="180" spans="1:65" ht="15" customHeight="1" x14ac:dyDescent="0.3">
      <c r="A180" s="38"/>
      <c r="B180" s="306"/>
      <c r="C180" s="307"/>
      <c r="D180" s="308"/>
      <c r="E180" s="290"/>
      <c r="F180" s="289"/>
      <c r="G180" s="289"/>
      <c r="H180" s="289"/>
      <c r="I180" s="289"/>
      <c r="J180" s="127" t="str">
        <f>IF(AND('Mapa final'!$AB$133="Baja",'Mapa final'!$AD$133="Leve"),CONCATENATE("R42C",'Mapa final'!$R$133),"")</f>
        <v/>
      </c>
      <c r="K180" s="144" t="str">
        <f>IF(AND('Mapa final'!$AB$134="Baja",'Mapa final'!$AD$134="Leve"),CONCATENATE("R42C",'Mapa final'!$R$134),"")</f>
        <v/>
      </c>
      <c r="L180" s="128" t="str">
        <f>IF(AND('Mapa final'!$AB$135="Baja",'Mapa final'!$AD$135="Leve"),CONCATENATE("R42C",'Mapa final'!$R$135),"")</f>
        <v/>
      </c>
      <c r="M180" s="119" t="str">
        <f>IF(AND('Mapa final'!$AB$133="Baja",'Mapa final'!$AD$133="Menor"),CONCATENATE("R42C",'Mapa final'!$R$133),"")</f>
        <v/>
      </c>
      <c r="N180" s="143" t="str">
        <f>IF(AND('Mapa final'!$AB$134="Baja",'Mapa final'!$AD$134="Menor"),CONCATENATE("R42C",'Mapa final'!$R$134),"")</f>
        <v/>
      </c>
      <c r="O180" s="120" t="str">
        <f>IF(AND('Mapa final'!$AB$135="Baja",'Mapa final'!$AD$135="Menor"),CONCATENATE("R42C",'Mapa final'!$R$135),"")</f>
        <v/>
      </c>
      <c r="P180" s="119" t="str">
        <f>IF(AND('Mapa final'!$AB$133="Baja",'Mapa final'!$AD$133="Moderado"),CONCATENATE("R42C",'Mapa final'!$R$133),"")</f>
        <v>R42C1</v>
      </c>
      <c r="Q180" s="143" t="str">
        <f>IF(AND('Mapa final'!$AB$134="Baja",'Mapa final'!$AD$134="Moderado"),CONCATENATE("R42C",'Mapa final'!$R$134),"")</f>
        <v/>
      </c>
      <c r="R180" s="120" t="str">
        <f>IF(AND('Mapa final'!$AB$135="Baja",'Mapa final'!$AD$135="Moderado"),CONCATENATE("R42C",'Mapa final'!$R$135),"")</f>
        <v/>
      </c>
      <c r="S180" s="148" t="str">
        <f>IF(AND('Mapa final'!$AB$133="Baja",'Mapa final'!$AD$133="Mayor"),CONCATENATE("R42C",'Mapa final'!$R$133),"")</f>
        <v/>
      </c>
      <c r="T180" s="149" t="str">
        <f>IF(AND('Mapa final'!$AB$134="Baja",'Mapa final'!$AD$134="Mayor"),CONCATENATE("R42C",'Mapa final'!$R$134),"")</f>
        <v/>
      </c>
      <c r="U180" s="150" t="str">
        <f>IF(AND('Mapa final'!$AB$135="Baja",'Mapa final'!$AD$135="Mayor"),CONCATENATE("R42C",'Mapa final'!$R$135),"")</f>
        <v/>
      </c>
      <c r="V180" s="114" t="str">
        <f>IF(AND('Mapa final'!$AB$133="Baja",'Mapa final'!$AD$133="Catastrófico"),CONCATENATE("R42C",'Mapa final'!$R$133),"")</f>
        <v/>
      </c>
      <c r="W180" s="142" t="str">
        <f>IF(AND('Mapa final'!$AB$134="Baja",'Mapa final'!$AD$134="Catastrófico"),CONCATENATE("R42C",'Mapa final'!$R$134),"")</f>
        <v/>
      </c>
      <c r="X180" s="115" t="str">
        <f>IF(AND('Mapa final'!$AB$135="Baja",'Mapa final'!$AD$135="Catastrófico"),CONCATENATE("R42C",'Mapa final'!$R$135),"")</f>
        <v/>
      </c>
      <c r="Y180" s="38"/>
      <c r="Z180" s="317"/>
      <c r="AA180" s="318"/>
      <c r="AB180" s="318"/>
      <c r="AC180" s="318"/>
      <c r="AD180" s="318"/>
      <c r="AE180" s="319"/>
      <c r="AF180" s="38"/>
      <c r="AG180" s="38"/>
      <c r="AH180" s="38"/>
      <c r="AI180" s="38"/>
      <c r="AJ180" s="38"/>
      <c r="AK180" s="38"/>
      <c r="AL180" s="38"/>
      <c r="AM180" s="38"/>
      <c r="AN180" s="38"/>
      <c r="AO180" s="38"/>
      <c r="AP180" s="38"/>
      <c r="AQ180" s="38"/>
      <c r="AR180" s="38"/>
      <c r="AS180" s="38"/>
      <c r="AT180" s="38"/>
      <c r="AU180" s="38"/>
      <c r="AV180" s="38"/>
      <c r="AW180" s="38"/>
      <c r="AX180" s="38"/>
      <c r="AY180" s="38"/>
      <c r="AZ180" s="38"/>
      <c r="BA180" s="38"/>
      <c r="BB180" s="38"/>
      <c r="BC180" s="38"/>
      <c r="BD180" s="38"/>
      <c r="BE180" s="38"/>
      <c r="BF180" s="38"/>
      <c r="BG180" s="38"/>
      <c r="BH180" s="38"/>
      <c r="BI180" s="38"/>
    </row>
    <row r="181" spans="1:65" ht="15" customHeight="1" thickBot="1" x14ac:dyDescent="0.35">
      <c r="A181" s="38"/>
      <c r="B181" s="306"/>
      <c r="C181" s="307"/>
      <c r="D181" s="308"/>
      <c r="E181" s="290"/>
      <c r="F181" s="289"/>
      <c r="G181" s="289"/>
      <c r="H181" s="289"/>
      <c r="I181" s="289"/>
      <c r="J181" s="127" t="str">
        <f>IF(AND('Mapa final'!$AB$136="Baja",'Mapa final'!$AD$136="Leve"),CONCATENATE("R43C",'Mapa final'!$R$136),"")</f>
        <v/>
      </c>
      <c r="K181" s="144" t="str">
        <f>IF(AND('Mapa final'!$AB$137="Baja",'Mapa final'!$AD$137="Leve"),CONCATENATE("R43C",'Mapa final'!$R$137),"")</f>
        <v/>
      </c>
      <c r="L181" s="128" t="str">
        <f>IF(AND('Mapa final'!$AB$138="Baja",'Mapa final'!$AD$138="Leve"),CONCATENATE("R43C",'Mapa final'!$R$138),"")</f>
        <v/>
      </c>
      <c r="M181" s="119" t="str">
        <f>IF(AND('Mapa final'!$AB$136="Baja",'Mapa final'!$AD$136="Menor"),CONCATENATE("R43C",'Mapa final'!$R$136),"")</f>
        <v/>
      </c>
      <c r="N181" s="143" t="str">
        <f>IF(AND('Mapa final'!$AB$137="Baja",'Mapa final'!$AD$137="Menor"),CONCATENATE("R43C",'Mapa final'!$R$137),"")</f>
        <v/>
      </c>
      <c r="O181" s="120" t="str">
        <f>IF(AND('Mapa final'!$AB$138="Baja",'Mapa final'!$AD$138="Menor"),CONCATENATE("R43C",'Mapa final'!$R$138),"")</f>
        <v/>
      </c>
      <c r="P181" s="119" t="str">
        <f>IF(AND('Mapa final'!$AB$136="Baja",'Mapa final'!$AD$136="Moderado"),CONCATENATE("R43C",'Mapa final'!$R$136),"")</f>
        <v/>
      </c>
      <c r="Q181" s="143" t="str">
        <f>IF(AND('Mapa final'!$AB$137="Baja",'Mapa final'!$AD$137="Moderado"),CONCATENATE("R43C",'Mapa final'!$R$137),"")</f>
        <v/>
      </c>
      <c r="R181" s="120" t="str">
        <f>IF(AND('Mapa final'!$AB$138="Baja",'Mapa final'!$AD$138="Moderado"),CONCATENATE("R43C",'Mapa final'!$R$138),"")</f>
        <v/>
      </c>
      <c r="S181" s="148" t="str">
        <f>IF(AND('Mapa final'!$AB$136="Baja",'Mapa final'!$AD$136="Mayor"),CONCATENATE("R43C",'Mapa final'!$R$136),"")</f>
        <v/>
      </c>
      <c r="T181" s="149" t="str">
        <f>IF(AND('Mapa final'!$AB$137="Baja",'Mapa final'!$AD$137="Mayor"),CONCATENATE("R43C",'Mapa final'!$R$137),"")</f>
        <v/>
      </c>
      <c r="U181" s="150" t="str">
        <f>IF(AND('Mapa final'!$AB$138="Baja",'Mapa final'!$AD$138="Mayor"),CONCATENATE("R43C",'Mapa final'!$R$138),"")</f>
        <v/>
      </c>
      <c r="V181" s="114" t="str">
        <f>IF(AND('Mapa final'!$AB$136="Baja",'Mapa final'!$AD$136="Catastrófico"),CONCATENATE("R43C",'Mapa final'!$R$136),"")</f>
        <v/>
      </c>
      <c r="W181" s="142" t="str">
        <f>IF(AND('Mapa final'!$AB$137="Baja",'Mapa final'!$AD$137="Catastrófico"),CONCATENATE("R43C",'Mapa final'!$R$137),"")</f>
        <v/>
      </c>
      <c r="X181" s="115" t="str">
        <f>IF(AND('Mapa final'!$AB$138="Baja",'Mapa final'!$AD$138="Catastrófico"),CONCATENATE("R43C",'Mapa final'!$R$138),"")</f>
        <v/>
      </c>
      <c r="Y181" s="38"/>
      <c r="Z181" s="317"/>
      <c r="AA181" s="318"/>
      <c r="AB181" s="318"/>
      <c r="AC181" s="318"/>
      <c r="AD181" s="318"/>
      <c r="AE181" s="319"/>
      <c r="AF181" s="38"/>
      <c r="AG181" s="38"/>
      <c r="AH181" s="38"/>
      <c r="AI181" s="38"/>
      <c r="AJ181" s="38"/>
      <c r="AK181" s="38"/>
      <c r="AL181" s="38"/>
      <c r="AM181" s="38"/>
      <c r="AN181" s="38"/>
      <c r="AO181" s="38"/>
      <c r="AP181" s="38"/>
      <c r="AQ181" s="38"/>
      <c r="AR181" s="38"/>
      <c r="AS181" s="38"/>
      <c r="AT181" s="38"/>
      <c r="AU181" s="38"/>
      <c r="AV181" s="38"/>
      <c r="AW181" s="38"/>
      <c r="AX181" s="38"/>
      <c r="AY181" s="38"/>
      <c r="AZ181" s="38"/>
      <c r="BA181" s="38"/>
      <c r="BB181" s="38"/>
      <c r="BC181" s="38"/>
      <c r="BD181" s="38"/>
      <c r="BE181" s="38"/>
      <c r="BF181" s="38"/>
      <c r="BG181" s="38"/>
      <c r="BH181" s="38"/>
      <c r="BI181" s="38"/>
    </row>
    <row r="182" spans="1:65" ht="16.5" customHeight="1" x14ac:dyDescent="0.3">
      <c r="A182" s="38"/>
      <c r="B182" s="306"/>
      <c r="C182" s="307"/>
      <c r="D182" s="308"/>
      <c r="E182" s="286" t="s">
        <v>104</v>
      </c>
      <c r="F182" s="287"/>
      <c r="G182" s="287"/>
      <c r="H182" s="287"/>
      <c r="I182" s="312"/>
      <c r="J182" s="124" t="str">
        <f>IF(AND('Mapa final'!$AB$7="Muy Baja",'Mapa final'!$AD$7="Leve"),CONCATENATE("R1C",'Mapa final'!$R$7),"")</f>
        <v/>
      </c>
      <c r="K182" s="125" t="str">
        <f>IF(AND('Mapa final'!$AB$8="Muy Baja",'Mapa final'!$AD$8="Leve"),CONCATENATE("R1C",'Mapa final'!$R$8),"")</f>
        <v/>
      </c>
      <c r="L182" s="126" t="str">
        <f>IF(AND('Mapa final'!$AB$9="Muy Baja",'Mapa final'!$AD$9="Leve"),CONCATENATE("R1C",'Mapa final'!$R$9),"")</f>
        <v/>
      </c>
      <c r="M182" s="124" t="str">
        <f>IF(AND('Mapa final'!$AB$7="Muy Baja",'Mapa final'!$AD$7="Menor"),CONCATENATE("R1C",'Mapa final'!$R$7),"")</f>
        <v/>
      </c>
      <c r="N182" s="125" t="str">
        <f>IF(AND('Mapa final'!$AB$8="Muy Baja",'Mapa final'!$AD$8="Menor"),CONCATENATE("R1C",'Mapa final'!$R$8),"")</f>
        <v/>
      </c>
      <c r="O182" s="126" t="str">
        <f>IF(AND('Mapa final'!$AB$9="Muy Baja",'Mapa final'!$AD$9="Menor"),CONCATENATE("R1C",'Mapa final'!$R$9),"")</f>
        <v/>
      </c>
      <c r="P182" s="116" t="str">
        <f>IF(AND('Mapa final'!$AB$7="Muy Baja",'Mapa final'!$AD$7="Moderado"),CONCATENATE("R1C",'Mapa final'!$R$7),"")</f>
        <v/>
      </c>
      <c r="Q182" s="117" t="str">
        <f>IF(AND('Mapa final'!$AB$8="Muy Baja",'Mapa final'!$AD$8="Moderado"),CONCATENATE("R1C",'Mapa final'!$R$8),"")</f>
        <v/>
      </c>
      <c r="R182" s="118" t="str">
        <f>IF(AND('Mapa final'!$AB$9="Muy Baja",'Mapa final'!$AD$9="Moderado"),CONCATENATE("R1C",'Mapa final'!$R$9),"")</f>
        <v/>
      </c>
      <c r="S182" s="145" t="str">
        <f>IF(AND('Mapa final'!$AB$7="Muy Baja",'Mapa final'!$AD$7="Mayor"),CONCATENATE("R1C",'Mapa final'!$R$7),"")</f>
        <v/>
      </c>
      <c r="T182" s="146" t="str">
        <f>IF(AND('Mapa final'!$AB$8="Muy Baja",'Mapa final'!$AD$8="Mayor"),CONCATENATE("R1C",'Mapa final'!$R$8),"")</f>
        <v/>
      </c>
      <c r="U182" s="147" t="str">
        <f>IF(AND('Mapa final'!$AB$9="Muy Baja",'Mapa final'!$AD$9="Mayor"),CONCATENATE("R1C",'Mapa final'!$R$9),"")</f>
        <v/>
      </c>
      <c r="V182" s="111" t="str">
        <f>IF(AND('Mapa final'!$AB$7="Muy Baja",'Mapa final'!$AD$7="Catastrófico"),CONCATENATE("R1C",'Mapa final'!$R$7),"")</f>
        <v/>
      </c>
      <c r="W182" s="112" t="str">
        <f>IF(AND('Mapa final'!$AB$8="Muy Baja",'Mapa final'!$AD$8="Catastrófico"),CONCATENATE("R1C",'Mapa final'!$R$8),"")</f>
        <v/>
      </c>
      <c r="X182" s="113" t="str">
        <f>IF(AND('Mapa final'!$AB$9="Muy Baja",'Mapa final'!$AD$9="Catastrófico"),CONCATENATE("R1C",'Mapa final'!$R$9),"")</f>
        <v/>
      </c>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38"/>
      <c r="BA182" s="38"/>
      <c r="BB182" s="38"/>
      <c r="BC182" s="38"/>
      <c r="BD182" s="38"/>
      <c r="BE182" s="38"/>
      <c r="BF182" s="38"/>
      <c r="BG182" s="38"/>
      <c r="BH182" s="38"/>
      <c r="BI182" s="38"/>
      <c r="BJ182" s="38"/>
      <c r="BK182" s="38"/>
      <c r="BL182" s="38"/>
      <c r="BM182" s="38"/>
    </row>
    <row r="183" spans="1:65" ht="15.6" x14ac:dyDescent="0.3">
      <c r="A183" s="38"/>
      <c r="B183" s="306"/>
      <c r="C183" s="307"/>
      <c r="D183" s="308"/>
      <c r="E183" s="288"/>
      <c r="F183" s="289"/>
      <c r="G183" s="289"/>
      <c r="H183" s="289"/>
      <c r="I183" s="313"/>
      <c r="J183" s="127" t="str">
        <f>IF(AND('Mapa final'!$AB$10="Muy Baja",'Mapa final'!$AD$10="Leve"),CONCATENATE("R2C",'Mapa final'!$R$10),"")</f>
        <v/>
      </c>
      <c r="K183" s="144" t="str">
        <f>IF(AND('Mapa final'!$AB$11="Muy Baja",'Mapa final'!$AD$11="Leve"),CONCATENATE("R2C",'Mapa final'!$R$11),"")</f>
        <v/>
      </c>
      <c r="L183" s="128" t="str">
        <f>IF(AND('Mapa final'!$AB$12="Muy Baja",'Mapa final'!$AD$12="Leve"),CONCATENATE("R2C",'Mapa final'!$R$12),"")</f>
        <v/>
      </c>
      <c r="M183" s="127" t="str">
        <f>IF(AND('Mapa final'!$AB$10="Muy Baja",'Mapa final'!$AD$10="Menor"),CONCATENATE("R2C",'Mapa final'!$R$10),"")</f>
        <v/>
      </c>
      <c r="N183" s="144" t="str">
        <f>IF(AND('Mapa final'!$AB$11="Muy Baja",'Mapa final'!$AD$11="Menor"),CONCATENATE("R2C",'Mapa final'!$R$11),"")</f>
        <v/>
      </c>
      <c r="O183" s="128" t="str">
        <f>IF(AND('Mapa final'!$AB$12="Muy Baja",'Mapa final'!$AD$12="Menor"),CONCATENATE("R2C",'Mapa final'!$R$12),"")</f>
        <v/>
      </c>
      <c r="P183" s="119" t="str">
        <f>IF(AND('Mapa final'!$AB$10="Muy Baja",'Mapa final'!$AD$10="Moderado"),CONCATENATE("R2C",'Mapa final'!$R$10),"")</f>
        <v/>
      </c>
      <c r="Q183" s="143" t="str">
        <f>IF(AND('Mapa final'!$AB$11="Muy Baja",'Mapa final'!$AD$11="Moderado"),CONCATENATE("R2C",'Mapa final'!$R$11),"")</f>
        <v/>
      </c>
      <c r="R183" s="120" t="str">
        <f>IF(AND('Mapa final'!$AB$12="Muy Baja",'Mapa final'!$AD$12="Moderado"),CONCATENATE("R2C",'Mapa final'!$R$12),"")</f>
        <v/>
      </c>
      <c r="S183" s="148" t="str">
        <f>IF(AND('Mapa final'!$AB$10="Muy Baja",'Mapa final'!$AD$10="Mayor"),CONCATENATE("R2C",'Mapa final'!$R$10),"")</f>
        <v/>
      </c>
      <c r="T183" s="149" t="str">
        <f>IF(AND('Mapa final'!$AB$11="Muy Baja",'Mapa final'!$AD$11="Mayor"),CONCATENATE("R2C",'Mapa final'!$R$11),"")</f>
        <v/>
      </c>
      <c r="U183" s="150" t="str">
        <f>IF(AND('Mapa final'!$AB$12="Muy Baja",'Mapa final'!$AD$12="Mayor"),CONCATENATE("R2C",'Mapa final'!$R$12),"")</f>
        <v/>
      </c>
      <c r="V183" s="114" t="str">
        <f>IF(AND('Mapa final'!$AB$10="Muy Baja",'Mapa final'!$AD$10="Catastrófico"),CONCATENATE("R2C",'Mapa final'!$R$10),"")</f>
        <v/>
      </c>
      <c r="W183" s="142" t="str">
        <f>IF(AND('Mapa final'!$AB$11="Muy Baja",'Mapa final'!$AD$11="Catastrófico"),CONCATENATE("R2C",'Mapa final'!$R$11),"")</f>
        <v/>
      </c>
      <c r="X183" s="115" t="str">
        <f>IF(AND('Mapa final'!$AB$12="Muy Baja",'Mapa final'!$AD$12="Catastrófico"),CONCATENATE("R2C",'Mapa final'!$R$12),"")</f>
        <v/>
      </c>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8"/>
      <c r="AX183" s="38"/>
      <c r="AY183" s="38"/>
      <c r="AZ183" s="38"/>
      <c r="BA183" s="38"/>
      <c r="BB183" s="38"/>
      <c r="BC183" s="38"/>
      <c r="BD183" s="38"/>
      <c r="BE183" s="38"/>
      <c r="BF183" s="38"/>
      <c r="BG183" s="38"/>
      <c r="BH183" s="38"/>
      <c r="BI183" s="38"/>
      <c r="BJ183" s="38"/>
      <c r="BK183" s="38"/>
      <c r="BL183" s="38"/>
      <c r="BM183" s="38"/>
    </row>
    <row r="184" spans="1:65" ht="15.6" x14ac:dyDescent="0.3">
      <c r="A184" s="38"/>
      <c r="B184" s="306"/>
      <c r="C184" s="307"/>
      <c r="D184" s="308"/>
      <c r="E184" s="288"/>
      <c r="F184" s="289"/>
      <c r="G184" s="289"/>
      <c r="H184" s="289"/>
      <c r="I184" s="313"/>
      <c r="J184" s="127" t="e">
        <f>IF(AND('Mapa final'!#REF!="Muy Baja",'Mapa final'!#REF!="Leve"),CONCATENATE("R3C",'Mapa final'!#REF!),"")</f>
        <v>#REF!</v>
      </c>
      <c r="K184" s="144" t="e">
        <f>IF(AND('Mapa final'!#REF!="Muy Baja",'Mapa final'!#REF!="Leve"),CONCATENATE("R3C",'Mapa final'!#REF!),"")</f>
        <v>#REF!</v>
      </c>
      <c r="L184" s="128" t="e">
        <f>IF(AND('Mapa final'!#REF!="Muy Baja",'Mapa final'!#REF!="Leve"),CONCATENATE("R3C",'Mapa final'!#REF!),"")</f>
        <v>#REF!</v>
      </c>
      <c r="M184" s="127" t="e">
        <f>IF(AND('Mapa final'!#REF!="Muy Baja",'Mapa final'!#REF!="Menor"),CONCATENATE("R3C",'Mapa final'!#REF!),"")</f>
        <v>#REF!</v>
      </c>
      <c r="N184" s="144" t="e">
        <f>IF(AND('Mapa final'!#REF!="Muy Baja",'Mapa final'!#REF!="Menor"),CONCATENATE("R3C",'Mapa final'!#REF!),"")</f>
        <v>#REF!</v>
      </c>
      <c r="O184" s="128" t="e">
        <f>IF(AND('Mapa final'!#REF!="Muy Baja",'Mapa final'!#REF!="Menor"),CONCATENATE("R3C",'Mapa final'!#REF!),"")</f>
        <v>#REF!</v>
      </c>
      <c r="P184" s="119" t="e">
        <f>IF(AND('Mapa final'!#REF!="Muy Baja",'Mapa final'!#REF!="Moderado"),CONCATENATE("R3C",'Mapa final'!#REF!),"")</f>
        <v>#REF!</v>
      </c>
      <c r="Q184" s="143" t="e">
        <f>IF(AND('Mapa final'!#REF!="Muy Baja",'Mapa final'!#REF!="Moderado"),CONCATENATE("R3C",'Mapa final'!#REF!),"")</f>
        <v>#REF!</v>
      </c>
      <c r="R184" s="120" t="e">
        <f>IF(AND('Mapa final'!#REF!="Muy Baja",'Mapa final'!#REF!="Moderado"),CONCATENATE("R3C",'Mapa final'!#REF!),"")</f>
        <v>#REF!</v>
      </c>
      <c r="S184" s="148" t="e">
        <f>IF(AND('Mapa final'!#REF!="Muy Baja",'Mapa final'!#REF!="Mayor"),CONCATENATE("R3C",'Mapa final'!#REF!),"")</f>
        <v>#REF!</v>
      </c>
      <c r="T184" s="149" t="e">
        <f>IF(AND('Mapa final'!#REF!="Muy Baja",'Mapa final'!#REF!="Mayor"),CONCATENATE("R3C",'Mapa final'!#REF!),"")</f>
        <v>#REF!</v>
      </c>
      <c r="U184" s="150" t="e">
        <f>IF(AND('Mapa final'!#REF!="Muy Baja",'Mapa final'!#REF!="Mayor"),CONCATENATE("R3C",'Mapa final'!#REF!),"")</f>
        <v>#REF!</v>
      </c>
      <c r="V184" s="114" t="e">
        <f>IF(AND('Mapa final'!#REF!="Muy Baja",'Mapa final'!#REF!="Catastrófico"),CONCATENATE("R3C",'Mapa final'!#REF!),"")</f>
        <v>#REF!</v>
      </c>
      <c r="W184" s="142" t="e">
        <f>IF(AND('Mapa final'!#REF!="Muy Baja",'Mapa final'!#REF!="Catastrófico"),CONCATENATE("R3C",'Mapa final'!#REF!),"")</f>
        <v>#REF!</v>
      </c>
      <c r="X184" s="115" t="e">
        <f>IF(AND('Mapa final'!#REF!="Muy Baja",'Mapa final'!#REF!="Catastrófico"),CONCATENATE("R3C",'Mapa final'!#REF!),"")</f>
        <v>#REF!</v>
      </c>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8"/>
      <c r="AY184" s="38"/>
      <c r="AZ184" s="38"/>
      <c r="BA184" s="38"/>
      <c r="BB184" s="38"/>
      <c r="BC184" s="38"/>
      <c r="BD184" s="38"/>
      <c r="BE184" s="38"/>
      <c r="BF184" s="38"/>
      <c r="BG184" s="38"/>
      <c r="BH184" s="38"/>
      <c r="BI184" s="38"/>
      <c r="BJ184" s="38"/>
      <c r="BK184" s="38"/>
      <c r="BL184" s="38"/>
      <c r="BM184" s="38"/>
    </row>
    <row r="185" spans="1:65" ht="15.6" x14ac:dyDescent="0.3">
      <c r="A185" s="38"/>
      <c r="B185" s="306"/>
      <c r="C185" s="307"/>
      <c r="D185" s="308"/>
      <c r="E185" s="288"/>
      <c r="F185" s="289"/>
      <c r="G185" s="289"/>
      <c r="H185" s="289"/>
      <c r="I185" s="313"/>
      <c r="J185" s="127" t="str">
        <f>IF(AND('Mapa final'!$AB$13="Muy Baja",'Mapa final'!$AD$13="Leve"),CONCATENATE("R4C",'Mapa final'!$R$13),"")</f>
        <v/>
      </c>
      <c r="K185" s="144" t="str">
        <f>IF(AND('Mapa final'!$AB$14="Muy Baja",'Mapa final'!$AD$14="Leve"),CONCATENATE("R4C",'Mapa final'!$R$14),"")</f>
        <v/>
      </c>
      <c r="L185" s="128" t="str">
        <f>IF(AND('Mapa final'!$AB$15="Muy Baja",'Mapa final'!$AD$15="Leve"),CONCATENATE("R4C",'Mapa final'!$R$15),"")</f>
        <v/>
      </c>
      <c r="M185" s="127" t="str">
        <f>IF(AND('Mapa final'!$AB$13="Muy Baja",'Mapa final'!$AD$13="Menor"),CONCATENATE("R4C",'Mapa final'!$R$13),"")</f>
        <v/>
      </c>
      <c r="N185" s="144" t="str">
        <f>IF(AND('Mapa final'!$AB$14="Muy Baja",'Mapa final'!$AD$14="Menor"),CONCATENATE("R4C",'Mapa final'!$R$14),"")</f>
        <v/>
      </c>
      <c r="O185" s="128" t="str">
        <f>IF(AND('Mapa final'!$AB$15="Muy Baja",'Mapa final'!$AD$15="Menor"),CONCATENATE("R4C",'Mapa final'!$R$15),"")</f>
        <v/>
      </c>
      <c r="P185" s="119" t="str">
        <f>IF(AND('Mapa final'!$AB$13="Muy Baja",'Mapa final'!$AD$13="Moderado"),CONCATENATE("R4C",'Mapa final'!$R$13),"")</f>
        <v/>
      </c>
      <c r="Q185" s="143" t="str">
        <f>IF(AND('Mapa final'!$AB$14="Muy Baja",'Mapa final'!$AD$14="Moderado"),CONCATENATE("R4C",'Mapa final'!$R$14),"")</f>
        <v/>
      </c>
      <c r="R185" s="120" t="str">
        <f>IF(AND('Mapa final'!$AB$15="Muy Baja",'Mapa final'!$AD$15="Moderado"),CONCATENATE("R4C",'Mapa final'!$R$15),"")</f>
        <v/>
      </c>
      <c r="S185" s="148" t="str">
        <f>IF(AND('Mapa final'!$AB$13="Muy Baja",'Mapa final'!$AD$13="Mayor"),CONCATENATE("R4C",'Mapa final'!$R$13),"")</f>
        <v/>
      </c>
      <c r="T185" s="149" t="str">
        <f>IF(AND('Mapa final'!$AB$14="Muy Baja",'Mapa final'!$AD$14="Mayor"),CONCATENATE("R4C",'Mapa final'!$R$14),"")</f>
        <v/>
      </c>
      <c r="U185" s="150" t="str">
        <f>IF(AND('Mapa final'!$AB$15="Muy Baja",'Mapa final'!$AD$15="Mayor"),CONCATENATE("R4C",'Mapa final'!$R$15),"")</f>
        <v/>
      </c>
      <c r="V185" s="114" t="str">
        <f>IF(AND('Mapa final'!$AB$13="Muy Baja",'Mapa final'!$AD$13="Catastrófico"),CONCATENATE("R4C",'Mapa final'!$R$13),"")</f>
        <v/>
      </c>
      <c r="W185" s="142" t="str">
        <f>IF(AND('Mapa final'!$AB$14="Muy Baja",'Mapa final'!$AD$14="Catastrófico"),CONCATENATE("R4C",'Mapa final'!$R$14),"")</f>
        <v/>
      </c>
      <c r="X185" s="115" t="str">
        <f>IF(AND('Mapa final'!$AB$15="Muy Baja",'Mapa final'!$AD$15="Catastrófico"),CONCATENATE("R4C",'Mapa final'!$R$15),"")</f>
        <v/>
      </c>
      <c r="Y185" s="38"/>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38"/>
      <c r="AW185" s="38"/>
      <c r="AX185" s="38"/>
      <c r="AY185" s="38"/>
      <c r="AZ185" s="38"/>
      <c r="BA185" s="38"/>
      <c r="BB185" s="38"/>
      <c r="BC185" s="38"/>
      <c r="BD185" s="38"/>
      <c r="BE185" s="38"/>
      <c r="BF185" s="38"/>
      <c r="BG185" s="38"/>
      <c r="BH185" s="38"/>
      <c r="BI185" s="38"/>
      <c r="BJ185" s="38"/>
      <c r="BK185" s="38"/>
      <c r="BL185" s="38"/>
      <c r="BM185" s="38"/>
    </row>
    <row r="186" spans="1:65" ht="15.6" x14ac:dyDescent="0.3">
      <c r="A186" s="38"/>
      <c r="B186" s="306"/>
      <c r="C186" s="307"/>
      <c r="D186" s="308"/>
      <c r="E186" s="288"/>
      <c r="F186" s="289"/>
      <c r="G186" s="289"/>
      <c r="H186" s="289"/>
      <c r="I186" s="313"/>
      <c r="J186" s="127" t="str">
        <f>IF(AND('Mapa final'!$AB$16="Muy Baja",'Mapa final'!$AD$16="Leve"),CONCATENATE("R5C",'Mapa final'!$R$16),"")</f>
        <v/>
      </c>
      <c r="K186" s="144" t="str">
        <f>IF(AND('Mapa final'!$AB$17="Muy Baja",'Mapa final'!$AD$17="Leve"),CONCATENATE("R5C",'Mapa final'!$R$17),"")</f>
        <v/>
      </c>
      <c r="L186" s="128" t="str">
        <f>IF(AND('Mapa final'!$AB$18="Muy Baja",'Mapa final'!$AD$18="Leve"),CONCATENATE("R5C",'Mapa final'!$R$18),"")</f>
        <v/>
      </c>
      <c r="M186" s="127" t="str">
        <f>IF(AND('Mapa final'!$AB$16="Muy Baja",'Mapa final'!$AD$16="Menor"),CONCATENATE("R5C",'Mapa final'!$R$16),"")</f>
        <v/>
      </c>
      <c r="N186" s="144" t="str">
        <f>IF(AND('Mapa final'!$AB$17="Muy Baja",'Mapa final'!$AD$17="Menor"),CONCATENATE("R5C",'Mapa final'!$R$17),"")</f>
        <v/>
      </c>
      <c r="O186" s="128" t="str">
        <f>IF(AND('Mapa final'!$AB$18="Muy Baja",'Mapa final'!$AD$18="Menor"),CONCATENATE("R5C",'Mapa final'!$R$18),"")</f>
        <v/>
      </c>
      <c r="P186" s="119" t="str">
        <f>IF(AND('Mapa final'!$AB$16="Muy Baja",'Mapa final'!$AD$16="Moderado"),CONCATENATE("R5C",'Mapa final'!$R$16),"")</f>
        <v/>
      </c>
      <c r="Q186" s="143" t="str">
        <f>IF(AND('Mapa final'!$AB$17="Muy Baja",'Mapa final'!$AD$17="Moderado"),CONCATENATE("R5C",'Mapa final'!$R$17),"")</f>
        <v/>
      </c>
      <c r="R186" s="120" t="str">
        <f>IF(AND('Mapa final'!$AB$18="Muy Baja",'Mapa final'!$AD$18="Moderado"),CONCATENATE("R5C",'Mapa final'!$R$18),"")</f>
        <v/>
      </c>
      <c r="S186" s="148" t="str">
        <f>IF(AND('Mapa final'!$AB$16="Muy Baja",'Mapa final'!$AD$16="Mayor"),CONCATENATE("R5C",'Mapa final'!$R$16),"")</f>
        <v/>
      </c>
      <c r="T186" s="149" t="str">
        <f>IF(AND('Mapa final'!$AB$17="Muy Baja",'Mapa final'!$AD$17="Mayor"),CONCATENATE("R5C",'Mapa final'!$R$17),"")</f>
        <v/>
      </c>
      <c r="U186" s="150" t="str">
        <f>IF(AND('Mapa final'!$AB$18="Muy Baja",'Mapa final'!$AD$18="Mayor"),CONCATENATE("R5C",'Mapa final'!$R$18),"")</f>
        <v/>
      </c>
      <c r="V186" s="114" t="str">
        <f>IF(AND('Mapa final'!$AB$16="Muy Baja",'Mapa final'!$AD$16="Catastrófico"),CONCATENATE("R5C",'Mapa final'!$R$16),"")</f>
        <v/>
      </c>
      <c r="W186" s="142" t="str">
        <f>IF(AND('Mapa final'!$AB$17="Muy Baja",'Mapa final'!$AD$17="Catastrófico"),CONCATENATE("R5C",'Mapa final'!$R$17),"")</f>
        <v/>
      </c>
      <c r="X186" s="115" t="str">
        <f>IF(AND('Mapa final'!$AB$18="Muy Baja",'Mapa final'!$AD$18="Catastrófico"),CONCATENATE("R5C",'Mapa final'!$R$18),"")</f>
        <v/>
      </c>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38"/>
      <c r="BA186" s="38"/>
      <c r="BB186" s="38"/>
      <c r="BC186" s="38"/>
      <c r="BD186" s="38"/>
      <c r="BE186" s="38"/>
      <c r="BF186" s="38"/>
      <c r="BG186" s="38"/>
      <c r="BH186" s="38"/>
      <c r="BI186" s="38"/>
      <c r="BJ186" s="38"/>
      <c r="BK186" s="38"/>
      <c r="BL186" s="38"/>
      <c r="BM186" s="38"/>
    </row>
    <row r="187" spans="1:65" ht="15.6" x14ac:dyDescent="0.3">
      <c r="A187" s="38"/>
      <c r="B187" s="306"/>
      <c r="C187" s="307"/>
      <c r="D187" s="308"/>
      <c r="E187" s="288"/>
      <c r="F187" s="289"/>
      <c r="G187" s="289"/>
      <c r="H187" s="289"/>
      <c r="I187" s="313"/>
      <c r="J187" s="127" t="str">
        <f>IF(AND('Mapa final'!$AB$19="Muy Baja",'Mapa final'!$AD$19="Leve"),CONCATENATE("R6C",'Mapa final'!$R$19),"")</f>
        <v/>
      </c>
      <c r="K187" s="144" t="str">
        <f>IF(AND('Mapa final'!$AB$20="Muy Baja",'Mapa final'!$AD$20="Leve"),CONCATENATE("R6C",'Mapa final'!$R$20),"")</f>
        <v/>
      </c>
      <c r="L187" s="128" t="str">
        <f>IF(AND('Mapa final'!$AB$21="Muy Baja",'Mapa final'!$AD$21="Leve"),CONCATENATE("R6C",'Mapa final'!$R$21),"")</f>
        <v/>
      </c>
      <c r="M187" s="127" t="str">
        <f>IF(AND('Mapa final'!$AB$19="Muy Baja",'Mapa final'!$AD$19="Menor"),CONCATENATE("R6C",'Mapa final'!$R$19),"")</f>
        <v/>
      </c>
      <c r="N187" s="144" t="str">
        <f>IF(AND('Mapa final'!$AB$20="Muy Baja",'Mapa final'!$AD$20="Menor"),CONCATENATE("R6C",'Mapa final'!$R$20),"")</f>
        <v/>
      </c>
      <c r="O187" s="128" t="str">
        <f>IF(AND('Mapa final'!$AB$21="Muy Baja",'Mapa final'!$AD$21="Menor"),CONCATENATE("R6C",'Mapa final'!$R$21),"")</f>
        <v/>
      </c>
      <c r="P187" s="119" t="str">
        <f>IF(AND('Mapa final'!$AB$19="Muy Baja",'Mapa final'!$AD$19="Moderado"),CONCATENATE("R6C",'Mapa final'!$R$19),"")</f>
        <v/>
      </c>
      <c r="Q187" s="143" t="str">
        <f>IF(AND('Mapa final'!$AB$20="Muy Baja",'Mapa final'!$AD$20="Moderado"),CONCATENATE("R6C",'Mapa final'!$R$20),"")</f>
        <v/>
      </c>
      <c r="R187" s="120" t="str">
        <f>IF(AND('Mapa final'!$AB$21="Muy Baja",'Mapa final'!$AD$21="Moderado"),CONCATENATE("R6C",'Mapa final'!$R$21),"")</f>
        <v/>
      </c>
      <c r="S187" s="148" t="str">
        <f>IF(AND('Mapa final'!$AB$19="Muy Baja",'Mapa final'!$AD$19="Mayor"),CONCATENATE("R6C",'Mapa final'!$R$19),"")</f>
        <v/>
      </c>
      <c r="T187" s="149" t="str">
        <f>IF(AND('Mapa final'!$AB$20="Muy Baja",'Mapa final'!$AD$20="Mayor"),CONCATENATE("R6C",'Mapa final'!$R$20),"")</f>
        <v/>
      </c>
      <c r="U187" s="150" t="str">
        <f>IF(AND('Mapa final'!$AB$21="Muy Baja",'Mapa final'!$AD$21="Mayor"),CONCATENATE("R6C",'Mapa final'!$R$21),"")</f>
        <v/>
      </c>
      <c r="V187" s="114" t="str">
        <f>IF(AND('Mapa final'!$AB$19="Muy Baja",'Mapa final'!$AD$19="Catastrófico"),CONCATENATE("R6C",'Mapa final'!$R$19),"")</f>
        <v/>
      </c>
      <c r="W187" s="142" t="str">
        <f>IF(AND('Mapa final'!$AB$20="Muy Baja",'Mapa final'!$AD$20="Catastrófico"),CONCATENATE("R6C",'Mapa final'!$R$20),"")</f>
        <v/>
      </c>
      <c r="X187" s="115" t="str">
        <f>IF(AND('Mapa final'!$AB$21="Muy Baja",'Mapa final'!$AD$21="Catastrófico"),CONCATENATE("R6C",'Mapa final'!$R$21),"")</f>
        <v/>
      </c>
      <c r="Y187" s="38"/>
      <c r="Z187" s="38"/>
      <c r="AA187" s="38"/>
      <c r="AB187" s="38"/>
      <c r="AC187" s="38"/>
      <c r="AD187" s="38"/>
      <c r="AE187" s="38"/>
      <c r="AF187" s="38"/>
      <c r="AG187" s="38"/>
      <c r="AH187" s="38"/>
      <c r="AI187" s="38"/>
      <c r="AJ187" s="38"/>
      <c r="AK187" s="38"/>
      <c r="AL187" s="38"/>
      <c r="AM187" s="38"/>
      <c r="AN187" s="38"/>
      <c r="AO187" s="38"/>
      <c r="AP187" s="38"/>
      <c r="AQ187" s="38"/>
      <c r="AR187" s="38"/>
      <c r="AS187" s="38"/>
      <c r="AT187" s="38"/>
      <c r="AU187" s="38"/>
      <c r="AV187" s="38"/>
      <c r="AW187" s="38"/>
      <c r="AX187" s="38"/>
      <c r="AY187" s="38"/>
      <c r="AZ187" s="38"/>
      <c r="BA187" s="38"/>
      <c r="BB187" s="38"/>
      <c r="BC187" s="38"/>
      <c r="BD187" s="38"/>
      <c r="BE187" s="38"/>
      <c r="BF187" s="38"/>
      <c r="BG187" s="38"/>
      <c r="BH187" s="38"/>
      <c r="BI187" s="38"/>
      <c r="BJ187" s="38"/>
      <c r="BK187" s="38"/>
      <c r="BL187" s="38"/>
      <c r="BM187" s="38"/>
    </row>
    <row r="188" spans="1:65" ht="15.6" x14ac:dyDescent="0.3">
      <c r="A188" s="38"/>
      <c r="B188" s="306"/>
      <c r="C188" s="307"/>
      <c r="D188" s="308"/>
      <c r="E188" s="288"/>
      <c r="F188" s="289"/>
      <c r="G188" s="289"/>
      <c r="H188" s="289"/>
      <c r="I188" s="313"/>
      <c r="J188" s="127" t="str">
        <f>IF(AND('Mapa final'!$AB$22="Muy Baja",'Mapa final'!$AD$22="Leve"),CONCATENATE("R7C",'Mapa final'!$R$22),"")</f>
        <v/>
      </c>
      <c r="K188" s="144" t="str">
        <f>IF(AND('Mapa final'!$AB$23="Muy Baja",'Mapa final'!$AD$23="Leve"),CONCATENATE("R7C",'Mapa final'!$R$23),"")</f>
        <v/>
      </c>
      <c r="L188" s="128" t="str">
        <f>IF(AND('Mapa final'!$AB$24="Muy Baja",'Mapa final'!$AD$24="Leve"),CONCATENATE("R7C",'Mapa final'!$R$24),"")</f>
        <v/>
      </c>
      <c r="M188" s="127" t="str">
        <f>IF(AND('Mapa final'!$AB$22="Muy Baja",'Mapa final'!$AD$22="Menor"),CONCATENATE("R7C",'Mapa final'!$R$22),"")</f>
        <v/>
      </c>
      <c r="N188" s="144" t="str">
        <f>IF(AND('Mapa final'!$AB$23="Muy Baja",'Mapa final'!$AD$23="Menor"),CONCATENATE("R7C",'Mapa final'!$R$23),"")</f>
        <v/>
      </c>
      <c r="O188" s="128" t="str">
        <f>IF(AND('Mapa final'!$AB$24="Muy Baja",'Mapa final'!$AD$24="Menor"),CONCATENATE("R7C",'Mapa final'!$R$24),"")</f>
        <v/>
      </c>
      <c r="P188" s="119" t="str">
        <f>IF(AND('Mapa final'!$AB$22="Muy Baja",'Mapa final'!$AD$22="Moderado"),CONCATENATE("R7C",'Mapa final'!$R$22),"")</f>
        <v/>
      </c>
      <c r="Q188" s="143" t="str">
        <f>IF(AND('Mapa final'!$AB$23="Muy Baja",'Mapa final'!$AD$23="Moderado"),CONCATENATE("R7C",'Mapa final'!$R$23),"")</f>
        <v/>
      </c>
      <c r="R188" s="120" t="str">
        <f>IF(AND('Mapa final'!$AB$24="Muy Baja",'Mapa final'!$AD$24="Moderado"),CONCATENATE("R7C",'Mapa final'!$R$24),"")</f>
        <v/>
      </c>
      <c r="S188" s="148" t="str">
        <f>IF(AND('Mapa final'!$AB$22="Muy Baja",'Mapa final'!$AD$22="Mayor"),CONCATENATE("R7C",'Mapa final'!$R$22),"")</f>
        <v/>
      </c>
      <c r="T188" s="149" t="str">
        <f>IF(AND('Mapa final'!$AB$23="Muy Baja",'Mapa final'!$AD$23="Mayor"),CONCATENATE("R7C",'Mapa final'!$R$23),"")</f>
        <v/>
      </c>
      <c r="U188" s="150" t="str">
        <f>IF(AND('Mapa final'!$AB$24="Muy Baja",'Mapa final'!$AD$24="Mayor"),CONCATENATE("R7C",'Mapa final'!$R$24),"")</f>
        <v/>
      </c>
      <c r="V188" s="114" t="str">
        <f>IF(AND('Mapa final'!$AB$22="Muy Baja",'Mapa final'!$AD$22="Catastrófico"),CONCATENATE("R7C",'Mapa final'!$R$22),"")</f>
        <v/>
      </c>
      <c r="W188" s="142" t="str">
        <f>IF(AND('Mapa final'!$AB$23="Muy Baja",'Mapa final'!$AD$23="Catastrófico"),CONCATENATE("R7C",'Mapa final'!$R$23),"")</f>
        <v/>
      </c>
      <c r="X188" s="115" t="str">
        <f>IF(AND('Mapa final'!$AB$24="Muy Baja",'Mapa final'!$AD$24="Catastrófico"),CONCATENATE("R7C",'Mapa final'!$R$24),"")</f>
        <v/>
      </c>
      <c r="Y188" s="38"/>
      <c r="Z188" s="38"/>
      <c r="AA188" s="38"/>
      <c r="AB188" s="38"/>
      <c r="AC188" s="38"/>
      <c r="AD188" s="38"/>
      <c r="AE188" s="38"/>
      <c r="AF188" s="38"/>
      <c r="AG188" s="38"/>
      <c r="AH188" s="38"/>
      <c r="AI188" s="38"/>
      <c r="AJ188" s="38"/>
      <c r="AK188" s="38"/>
      <c r="AL188" s="38"/>
      <c r="AM188" s="38"/>
      <c r="AN188" s="38"/>
      <c r="AO188" s="38"/>
      <c r="AP188" s="38"/>
      <c r="AQ188" s="38"/>
      <c r="AR188" s="38"/>
      <c r="AS188" s="38"/>
      <c r="AT188" s="38"/>
      <c r="AU188" s="38"/>
      <c r="AV188" s="38"/>
      <c r="AW188" s="38"/>
      <c r="AX188" s="38"/>
      <c r="AY188" s="38"/>
      <c r="AZ188" s="38"/>
      <c r="BA188" s="38"/>
      <c r="BB188" s="38"/>
      <c r="BC188" s="38"/>
      <c r="BD188" s="38"/>
      <c r="BE188" s="38"/>
      <c r="BF188" s="38"/>
      <c r="BG188" s="38"/>
      <c r="BH188" s="38"/>
      <c r="BI188" s="38"/>
      <c r="BJ188" s="38"/>
      <c r="BK188" s="38"/>
      <c r="BL188" s="38"/>
      <c r="BM188" s="38"/>
    </row>
    <row r="189" spans="1:65" ht="15.6" x14ac:dyDescent="0.3">
      <c r="A189" s="38"/>
      <c r="B189" s="306"/>
      <c r="C189" s="307"/>
      <c r="D189" s="308"/>
      <c r="E189" s="288"/>
      <c r="F189" s="289"/>
      <c r="G189" s="289"/>
      <c r="H189" s="289"/>
      <c r="I189" s="313"/>
      <c r="J189" s="127" t="str">
        <f>IF(AND('Mapa final'!$AB$25="Muy Baja",'Mapa final'!$AD$25="Leve"),CONCATENATE("R8C",'Mapa final'!$R$25),"")</f>
        <v/>
      </c>
      <c r="K189" s="144" t="str">
        <f>IF(AND('Mapa final'!$AB$26="Muy Baja",'Mapa final'!$AD$26="Leve"),CONCATENATE("R8C",'Mapa final'!$R$26),"")</f>
        <v/>
      </c>
      <c r="L189" s="128" t="str">
        <f>IF(AND('Mapa final'!$AB$27="Muy Baja",'Mapa final'!$AD$27="Leve"),CONCATENATE("R8C",'Mapa final'!$R$27),"")</f>
        <v/>
      </c>
      <c r="M189" s="127" t="str">
        <f>IF(AND('Mapa final'!$AB$25="Muy Baja",'Mapa final'!$AD$25="Menor"),CONCATENATE("R8C",'Mapa final'!$R$25),"")</f>
        <v/>
      </c>
      <c r="N189" s="144" t="str">
        <f>IF(AND('Mapa final'!$AB$26="Muy Baja",'Mapa final'!$AD$26="Menor"),CONCATENATE("R8C",'Mapa final'!$R$26),"")</f>
        <v/>
      </c>
      <c r="O189" s="128" t="str">
        <f>IF(AND('Mapa final'!$AB$27="Muy Baja",'Mapa final'!$AD$27="Menor"),CONCATENATE("R8C",'Mapa final'!$R$27),"")</f>
        <v/>
      </c>
      <c r="P189" s="119" t="str">
        <f>IF(AND('Mapa final'!$AB$25="Muy Baja",'Mapa final'!$AD$25="Moderado"),CONCATENATE("R8C",'Mapa final'!$R$25),"")</f>
        <v/>
      </c>
      <c r="Q189" s="143" t="str">
        <f>IF(AND('Mapa final'!$AB$26="Muy Baja",'Mapa final'!$AD$26="Moderado"),CONCATENATE("R8C",'Mapa final'!$R$26),"")</f>
        <v/>
      </c>
      <c r="R189" s="120" t="str">
        <f>IF(AND('Mapa final'!$AB$27="Muy Baja",'Mapa final'!$AD$27="Moderado"),CONCATENATE("R8C",'Mapa final'!$R$27),"")</f>
        <v/>
      </c>
      <c r="S189" s="148" t="str">
        <f>IF(AND('Mapa final'!$AB$25="Muy Baja",'Mapa final'!$AD$25="Mayor"),CONCATENATE("R8C",'Mapa final'!$R$25),"")</f>
        <v/>
      </c>
      <c r="T189" s="149" t="str">
        <f>IF(AND('Mapa final'!$AB$26="Muy Baja",'Mapa final'!$AD$26="Mayor"),CONCATENATE("R8C",'Mapa final'!$R$26),"")</f>
        <v/>
      </c>
      <c r="U189" s="150" t="str">
        <f>IF(AND('Mapa final'!$AB$27="Muy Baja",'Mapa final'!$AD$27="Mayor"),CONCATENATE("R8C",'Mapa final'!$R$27),"")</f>
        <v/>
      </c>
      <c r="V189" s="114" t="str">
        <f>IF(AND('Mapa final'!$AB$25="Muy Baja",'Mapa final'!$AD$25="Catastrófico"),CONCATENATE("R8C",'Mapa final'!$R$25),"")</f>
        <v/>
      </c>
      <c r="W189" s="142" t="str">
        <f>IF(AND('Mapa final'!$AB$26="Muy Baja",'Mapa final'!$AD$26="Catastrófico"),CONCATENATE("R8C",'Mapa final'!$R$26),"")</f>
        <v/>
      </c>
      <c r="X189" s="115" t="str">
        <f>IF(AND('Mapa final'!$AB$27="Muy Baja",'Mapa final'!$AD$27="Catastrófico"),CONCATENATE("R8C",'Mapa final'!$R$27),"")</f>
        <v/>
      </c>
      <c r="Y189" s="38"/>
      <c r="Z189" s="38"/>
      <c r="AA189" s="38"/>
      <c r="AB189" s="38"/>
      <c r="AC189" s="38"/>
      <c r="AD189" s="38"/>
      <c r="AE189" s="38"/>
      <c r="AF189" s="38"/>
      <c r="AG189" s="38"/>
      <c r="AH189" s="38"/>
      <c r="AI189" s="38"/>
      <c r="AJ189" s="38"/>
      <c r="AK189" s="38"/>
      <c r="AL189" s="38"/>
      <c r="AM189" s="38"/>
      <c r="AN189" s="38"/>
      <c r="AO189" s="38"/>
      <c r="AP189" s="38"/>
      <c r="AQ189" s="38"/>
      <c r="AR189" s="38"/>
      <c r="AS189" s="38"/>
      <c r="AT189" s="38"/>
      <c r="AU189" s="38"/>
      <c r="AV189" s="38"/>
      <c r="AW189" s="38"/>
      <c r="AX189" s="38"/>
      <c r="AY189" s="38"/>
      <c r="AZ189" s="38"/>
      <c r="BA189" s="38"/>
      <c r="BB189" s="38"/>
      <c r="BC189" s="38"/>
      <c r="BD189" s="38"/>
      <c r="BE189" s="38"/>
      <c r="BF189" s="38"/>
      <c r="BG189" s="38"/>
      <c r="BH189" s="38"/>
      <c r="BI189" s="38"/>
      <c r="BJ189" s="38"/>
      <c r="BK189" s="38"/>
      <c r="BL189" s="38"/>
      <c r="BM189" s="38"/>
    </row>
    <row r="190" spans="1:65" ht="15.6" x14ac:dyDescent="0.3">
      <c r="A190" s="38"/>
      <c r="B190" s="306"/>
      <c r="C190" s="307"/>
      <c r="D190" s="308"/>
      <c r="E190" s="288"/>
      <c r="F190" s="289"/>
      <c r="G190" s="289"/>
      <c r="H190" s="289"/>
      <c r="I190" s="313"/>
      <c r="J190" s="127" t="str">
        <f>IF(AND('Mapa final'!$AB$28="Muy Baja",'Mapa final'!$AD$28="Leve"),CONCATENATE("R9C",'Mapa final'!$R$28),"")</f>
        <v/>
      </c>
      <c r="K190" s="144" t="str">
        <f>IF(AND('Mapa final'!$AB$29="Muy Baja",'Mapa final'!$AD$29="Leve"),CONCATENATE("R9C",'Mapa final'!$R$29),"")</f>
        <v/>
      </c>
      <c r="L190" s="128" t="str">
        <f>IF(AND('Mapa final'!$AB$30="Muy Baja",'Mapa final'!$AD$30="Leve"),CONCATENATE("R9C",'Mapa final'!$R$30),"")</f>
        <v/>
      </c>
      <c r="M190" s="127" t="str">
        <f>IF(AND('Mapa final'!$AB$28="Muy Baja",'Mapa final'!$AD$28="Menor"),CONCATENATE("R9C",'Mapa final'!$R$28),"")</f>
        <v/>
      </c>
      <c r="N190" s="144" t="str">
        <f>IF(AND('Mapa final'!$AB$29="Muy Baja",'Mapa final'!$AD$29="Menor"),CONCATENATE("R9C",'Mapa final'!$R$29),"")</f>
        <v/>
      </c>
      <c r="O190" s="128" t="str">
        <f>IF(AND('Mapa final'!$AB$30="Muy Baja",'Mapa final'!$AD$30="Menor"),CONCATENATE("R9C",'Mapa final'!$R$30),"")</f>
        <v/>
      </c>
      <c r="P190" s="119" t="str">
        <f>IF(AND('Mapa final'!$AB$28="Muy Baja",'Mapa final'!$AD$28="Moderado"),CONCATENATE("R9C",'Mapa final'!$R$28),"")</f>
        <v/>
      </c>
      <c r="Q190" s="143" t="str">
        <f>IF(AND('Mapa final'!$AB$29="Muy Baja",'Mapa final'!$AD$29="Moderado"),CONCATENATE("R9C",'Mapa final'!$R$29),"")</f>
        <v/>
      </c>
      <c r="R190" s="120" t="str">
        <f>IF(AND('Mapa final'!$AB$30="Muy Baja",'Mapa final'!$AD$30="Moderado"),CONCATENATE("R9C",'Mapa final'!$R$30),"")</f>
        <v/>
      </c>
      <c r="S190" s="148" t="str">
        <f>IF(AND('Mapa final'!$AB$28="Muy Baja",'Mapa final'!$AD$28="Mayor"),CONCATENATE("R9C",'Mapa final'!$R$28),"")</f>
        <v/>
      </c>
      <c r="T190" s="149" t="str">
        <f>IF(AND('Mapa final'!$AB$29="Muy Baja",'Mapa final'!$AD$29="Mayor"),CONCATENATE("R9C",'Mapa final'!$R$29),"")</f>
        <v/>
      </c>
      <c r="U190" s="150" t="str">
        <f>IF(AND('Mapa final'!$AB$30="Muy Baja",'Mapa final'!$AD$30="Mayor"),CONCATENATE("R9C",'Mapa final'!$R$30),"")</f>
        <v/>
      </c>
      <c r="V190" s="114" t="str">
        <f>IF(AND('Mapa final'!$AB$28="Muy Baja",'Mapa final'!$AD$28="Catastrófico"),CONCATENATE("R9C",'Mapa final'!$R$28),"")</f>
        <v/>
      </c>
      <c r="W190" s="142" t="str">
        <f>IF(AND('Mapa final'!$AB$29="Muy Baja",'Mapa final'!$AD$29="Catastrófico"),CONCATENATE("R9C",'Mapa final'!$R$29),"")</f>
        <v/>
      </c>
      <c r="X190" s="115" t="str">
        <f>IF(AND('Mapa final'!$AB$30="Muy Baja",'Mapa final'!$AD$30="Catastrófico"),CONCATENATE("R9C",'Mapa final'!$R$30),"")</f>
        <v/>
      </c>
      <c r="Y190" s="38"/>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38"/>
      <c r="AW190" s="38"/>
      <c r="AX190" s="38"/>
      <c r="AY190" s="38"/>
      <c r="AZ190" s="38"/>
      <c r="BA190" s="38"/>
      <c r="BB190" s="38"/>
      <c r="BC190" s="38"/>
      <c r="BD190" s="38"/>
      <c r="BE190" s="38"/>
      <c r="BF190" s="38"/>
      <c r="BG190" s="38"/>
      <c r="BH190" s="38"/>
      <c r="BI190" s="38"/>
      <c r="BJ190" s="38"/>
      <c r="BK190" s="38"/>
      <c r="BL190" s="38"/>
      <c r="BM190" s="38"/>
    </row>
    <row r="191" spans="1:65" ht="15.6" x14ac:dyDescent="0.3">
      <c r="A191" s="38"/>
      <c r="B191" s="306"/>
      <c r="C191" s="307"/>
      <c r="D191" s="308"/>
      <c r="E191" s="288"/>
      <c r="F191" s="289"/>
      <c r="G191" s="289"/>
      <c r="H191" s="289"/>
      <c r="I191" s="313"/>
      <c r="J191" s="127" t="str">
        <f>IF(AND('Mapa final'!$AB$31="Muy Baja",'Mapa final'!$AD$31="Leve"),CONCATENATE("R10C",'Mapa final'!$R$31),"")</f>
        <v/>
      </c>
      <c r="K191" s="144" t="str">
        <f>IF(AND('Mapa final'!$AB$32="Muy Baja",'Mapa final'!$AD$32="Leve"),CONCATENATE("R10C",'Mapa final'!$R$32),"")</f>
        <v/>
      </c>
      <c r="L191" s="128" t="str">
        <f>IF(AND('Mapa final'!$AB$33="Muy Baja",'Mapa final'!$AD$33="Leve"),CONCATENATE("R10C",'Mapa final'!$R$33),"")</f>
        <v/>
      </c>
      <c r="M191" s="127" t="str">
        <f>IF(AND('Mapa final'!$AB$31="Muy Baja",'Mapa final'!$AD$31="Menor"),CONCATENATE("R10C",'Mapa final'!$R$31),"")</f>
        <v/>
      </c>
      <c r="N191" s="144" t="str">
        <f>IF(AND('Mapa final'!$AB$32="Muy Baja",'Mapa final'!$AD$32="Menor"),CONCATENATE("R10C",'Mapa final'!$R$32),"")</f>
        <v/>
      </c>
      <c r="O191" s="128" t="str">
        <f>IF(AND('Mapa final'!$AB$33="Muy Baja",'Mapa final'!$AD$33="Menor"),CONCATENATE("R10C",'Mapa final'!$R$33),"")</f>
        <v/>
      </c>
      <c r="P191" s="119" t="str">
        <f>IF(AND('Mapa final'!$AB$31="Muy Baja",'Mapa final'!$AD$31="Moderado"),CONCATENATE("R10C",'Mapa final'!$R$31),"")</f>
        <v/>
      </c>
      <c r="Q191" s="143" t="str">
        <f>IF(AND('Mapa final'!$AB$32="Muy Baja",'Mapa final'!$AD$32="Moderado"),CONCATENATE("R10C",'Mapa final'!$R$32),"")</f>
        <v/>
      </c>
      <c r="R191" s="120" t="str">
        <f>IF(AND('Mapa final'!$AB$33="Muy Baja",'Mapa final'!$AD$33="Moderado"),CONCATENATE("R10C",'Mapa final'!$R$33),"")</f>
        <v/>
      </c>
      <c r="S191" s="148" t="str">
        <f>IF(AND('Mapa final'!$AB$31="Muy Baja",'Mapa final'!$AD$31="Mayor"),CONCATENATE("R10C",'Mapa final'!$R$31),"")</f>
        <v/>
      </c>
      <c r="T191" s="149" t="str">
        <f>IF(AND('Mapa final'!$AB$32="Muy Baja",'Mapa final'!$AD$32="Mayor"),CONCATENATE("R10C",'Mapa final'!$R$32),"")</f>
        <v/>
      </c>
      <c r="U191" s="150" t="str">
        <f>IF(AND('Mapa final'!$AB$33="Muy Baja",'Mapa final'!$AD$33="Mayor"),CONCATENATE("R10C",'Mapa final'!$R$33),"")</f>
        <v/>
      </c>
      <c r="V191" s="114" t="str">
        <f>IF(AND('Mapa final'!$AB$31="Muy Baja",'Mapa final'!$AD$31="Catastrófico"),CONCATENATE("R10C",'Mapa final'!$R$31),"")</f>
        <v/>
      </c>
      <c r="W191" s="142" t="str">
        <f>IF(AND('Mapa final'!$AB$32="Muy Baja",'Mapa final'!$AD$32="Catastrófico"),CONCATENATE("R10C",'Mapa final'!$R$32),"")</f>
        <v/>
      </c>
      <c r="X191" s="115" t="str">
        <f>IF(AND('Mapa final'!$AB$33="Muy Baja",'Mapa final'!$AD$33="Catastrófico"),CONCATENATE("R10C",'Mapa final'!$R$33),"")</f>
        <v/>
      </c>
      <c r="Y191" s="38"/>
      <c r="Z191" s="38"/>
      <c r="AA191" s="38"/>
      <c r="AB191" s="38"/>
      <c r="AC191" s="38"/>
      <c r="AD191" s="38"/>
      <c r="AE191" s="38"/>
      <c r="AF191" s="38"/>
      <c r="AG191" s="38"/>
      <c r="AH191" s="38"/>
      <c r="AI191" s="38"/>
      <c r="AJ191" s="38"/>
      <c r="AK191" s="38"/>
      <c r="AL191" s="38"/>
      <c r="AM191" s="38"/>
      <c r="AN191" s="38"/>
      <c r="AO191" s="38"/>
      <c r="AP191" s="38"/>
      <c r="AQ191" s="38"/>
      <c r="AR191" s="38"/>
      <c r="AS191" s="38"/>
      <c r="AT191" s="38"/>
      <c r="AU191" s="38"/>
      <c r="AV191" s="38"/>
      <c r="AW191" s="38"/>
      <c r="AX191" s="38"/>
      <c r="AY191" s="38"/>
      <c r="AZ191" s="38"/>
      <c r="BA191" s="38"/>
      <c r="BB191" s="38"/>
      <c r="BC191" s="38"/>
      <c r="BD191" s="38"/>
      <c r="BE191" s="38"/>
      <c r="BF191" s="38"/>
      <c r="BG191" s="38"/>
      <c r="BH191" s="38"/>
      <c r="BI191" s="38"/>
      <c r="BJ191" s="38"/>
      <c r="BK191" s="38"/>
      <c r="BL191" s="38"/>
      <c r="BM191" s="38"/>
    </row>
    <row r="192" spans="1:65" ht="15.6" x14ac:dyDescent="0.3">
      <c r="A192" s="38"/>
      <c r="B192" s="306"/>
      <c r="C192" s="307"/>
      <c r="D192" s="308"/>
      <c r="E192" s="288"/>
      <c r="F192" s="289"/>
      <c r="G192" s="289"/>
      <c r="H192" s="289"/>
      <c r="I192" s="313"/>
      <c r="J192" s="127" t="str">
        <f>IF(AND('Mapa final'!$AB$34="Muy Baja",'Mapa final'!$AD$34="Leve"),CONCATENATE("R11C",'Mapa final'!$R$34),"")</f>
        <v/>
      </c>
      <c r="K192" s="144" t="str">
        <f>IF(AND('Mapa final'!$AB$35="Muy Baja",'Mapa final'!$AD$35="Leve"),CONCATENATE("R11C",'Mapa final'!$R$35),"")</f>
        <v/>
      </c>
      <c r="L192" s="128" t="str">
        <f>IF(AND('Mapa final'!$AB$36="Muy Baja",'Mapa final'!$AD$36="Leve"),CONCATENATE("R11C",'Mapa final'!$R$36),"")</f>
        <v/>
      </c>
      <c r="M192" s="127" t="str">
        <f>IF(AND('Mapa final'!$AB$34="Muy Baja",'Mapa final'!$AD$34="Menor"),CONCATENATE("R11C",'Mapa final'!$R$34),"")</f>
        <v/>
      </c>
      <c r="N192" s="144" t="str">
        <f>IF(AND('Mapa final'!$AB$35="Muy Baja",'Mapa final'!$AD$35="Menor"),CONCATENATE("R11C",'Mapa final'!$R$35),"")</f>
        <v/>
      </c>
      <c r="O192" s="128" t="str">
        <f>IF(AND('Mapa final'!$AB$36="Muy Baja",'Mapa final'!$AD$36="Menor"),CONCATENATE("R11C",'Mapa final'!$R$36),"")</f>
        <v/>
      </c>
      <c r="P192" s="119" t="str">
        <f>IF(AND('Mapa final'!$AB$34="Muy Baja",'Mapa final'!$AD$34="Moderado"),CONCATENATE("R11C",'Mapa final'!$R$34),"")</f>
        <v/>
      </c>
      <c r="Q192" s="143" t="str">
        <f>IF(AND('Mapa final'!$AB$35="Muy Baja",'Mapa final'!$AD$35="Moderado"),CONCATENATE("R11C",'Mapa final'!$R$35),"")</f>
        <v/>
      </c>
      <c r="R192" s="120" t="str">
        <f>IF(AND('Mapa final'!$AB$36="Muy Baja",'Mapa final'!$AD$36="Moderado"),CONCATENATE("R11C",'Mapa final'!$R$36),"")</f>
        <v/>
      </c>
      <c r="S192" s="148" t="str">
        <f>IF(AND('Mapa final'!$AB$34="Muy Baja",'Mapa final'!$AD$34="Mayor"),CONCATENATE("R11C",'Mapa final'!$R$34),"")</f>
        <v/>
      </c>
      <c r="T192" s="149" t="str">
        <f>IF(AND('Mapa final'!$AB$35="Muy Baja",'Mapa final'!$AD$35="Mayor"),CONCATENATE("R11C",'Mapa final'!$R$35),"")</f>
        <v/>
      </c>
      <c r="U192" s="150" t="str">
        <f>IF(AND('Mapa final'!$AB$36="Muy Baja",'Mapa final'!$AD$36="Mayor"),CONCATENATE("R11C",'Mapa final'!$R$36),"")</f>
        <v/>
      </c>
      <c r="V192" s="114" t="str">
        <f>IF(AND('Mapa final'!$AB$34="Muy Baja",'Mapa final'!$AD$34="Catastrófico"),CONCATENATE("R11C",'Mapa final'!$R$34),"")</f>
        <v/>
      </c>
      <c r="W192" s="142" t="str">
        <f>IF(AND('Mapa final'!$AB$35="Muy Baja",'Mapa final'!$AD$35="Catastrófico"),CONCATENATE("R11C",'Mapa final'!$R$35),"")</f>
        <v/>
      </c>
      <c r="X192" s="115" t="str">
        <f>IF(AND('Mapa final'!$AB$36="Muy Baja",'Mapa final'!$AD$36="Catastrófico"),CONCATENATE("R11C",'Mapa final'!$R$36),"")</f>
        <v/>
      </c>
      <c r="Y192" s="38"/>
      <c r="Z192" s="38"/>
      <c r="AA192" s="38"/>
      <c r="AB192" s="38"/>
      <c r="AC192" s="38"/>
      <c r="AD192" s="38"/>
      <c r="AE192" s="38"/>
      <c r="AF192" s="38"/>
      <c r="AG192" s="38"/>
      <c r="AH192" s="38"/>
      <c r="AI192" s="38"/>
      <c r="AJ192" s="38"/>
      <c r="AK192" s="38"/>
      <c r="AL192" s="38"/>
      <c r="AM192" s="38"/>
      <c r="AN192" s="38"/>
      <c r="AO192" s="38"/>
      <c r="AP192" s="38"/>
      <c r="AQ192" s="38"/>
      <c r="AR192" s="38"/>
      <c r="AS192" s="38"/>
      <c r="AT192" s="38"/>
      <c r="AU192" s="38"/>
      <c r="AV192" s="38"/>
      <c r="AW192" s="38"/>
      <c r="AX192" s="38"/>
      <c r="AY192" s="38"/>
      <c r="AZ192" s="38"/>
      <c r="BA192" s="38"/>
      <c r="BB192" s="38"/>
      <c r="BC192" s="38"/>
      <c r="BD192" s="38"/>
      <c r="BE192" s="38"/>
      <c r="BF192" s="38"/>
      <c r="BG192" s="38"/>
      <c r="BH192" s="38"/>
      <c r="BI192" s="38"/>
      <c r="BJ192" s="38"/>
      <c r="BK192" s="38"/>
      <c r="BL192" s="38"/>
      <c r="BM192" s="38"/>
    </row>
    <row r="193" spans="1:65" ht="15.6" x14ac:dyDescent="0.3">
      <c r="A193" s="38"/>
      <c r="B193" s="306"/>
      <c r="C193" s="307"/>
      <c r="D193" s="308"/>
      <c r="E193" s="288"/>
      <c r="F193" s="289"/>
      <c r="G193" s="289"/>
      <c r="H193" s="289"/>
      <c r="I193" s="313"/>
      <c r="J193" s="127" t="str">
        <f>IF(AND('Mapa final'!$AB$37="Muy Baja",'Mapa final'!$AD$37="Leve"),CONCATENATE("R12C",'Mapa final'!$R$37),"")</f>
        <v/>
      </c>
      <c r="K193" s="144" t="str">
        <f>IF(AND('Mapa final'!$AB$38="Muy Baja",'Mapa final'!$AD$38="Leve"),CONCATENATE("R12C",'Mapa final'!$R$38),"")</f>
        <v>R12C2</v>
      </c>
      <c r="L193" s="128" t="str">
        <f>IF(AND('Mapa final'!$AB$39="Muy Baja",'Mapa final'!$AD$39="Leve"),CONCATENATE("R12C",'Mapa final'!$R$39),"")</f>
        <v>R12C3</v>
      </c>
      <c r="M193" s="127" t="str">
        <f>IF(AND('Mapa final'!$AB$37="Muy Baja",'Mapa final'!$AD$37="Menor"),CONCATENATE("R12C",'Mapa final'!$R$37),"")</f>
        <v/>
      </c>
      <c r="N193" s="144" t="str">
        <f>IF(AND('Mapa final'!$AB$38="Muy Baja",'Mapa final'!$AD$38="Menor"),CONCATENATE("R12C",'Mapa final'!$R$38),"")</f>
        <v/>
      </c>
      <c r="O193" s="128" t="str">
        <f>IF(AND('Mapa final'!$AB$39="Muy Baja",'Mapa final'!$AD$39="Menor"),CONCATENATE("R12C",'Mapa final'!$R$39),"")</f>
        <v/>
      </c>
      <c r="P193" s="119" t="str">
        <f>IF(AND('Mapa final'!$AB$37="Muy Baja",'Mapa final'!$AD$37="Moderado"),CONCATENATE("R12C",'Mapa final'!$R$37),"")</f>
        <v/>
      </c>
      <c r="Q193" s="143" t="str">
        <f>IF(AND('Mapa final'!$AB$38="Muy Baja",'Mapa final'!$AD$38="Moderado"),CONCATENATE("R12C",'Mapa final'!$R$38),"")</f>
        <v/>
      </c>
      <c r="R193" s="120" t="str">
        <f>IF(AND('Mapa final'!$AB$39="Muy Baja",'Mapa final'!$AD$39="Moderado"),CONCATENATE("R12C",'Mapa final'!$R$39),"")</f>
        <v/>
      </c>
      <c r="S193" s="148" t="str">
        <f>IF(AND('Mapa final'!$AB$37="Muy Baja",'Mapa final'!$AD$37="Mayor"),CONCATENATE("R12C",'Mapa final'!$R$37),"")</f>
        <v/>
      </c>
      <c r="T193" s="149" t="str">
        <f>IF(AND('Mapa final'!$AB$38="Muy Baja",'Mapa final'!$AD$38="Mayor"),CONCATENATE("R12C",'Mapa final'!$R$38),"")</f>
        <v/>
      </c>
      <c r="U193" s="150" t="str">
        <f>IF(AND('Mapa final'!$AB$39="Muy Baja",'Mapa final'!$AD$39="Mayor"),CONCATENATE("R12C",'Mapa final'!$R$39),"")</f>
        <v/>
      </c>
      <c r="V193" s="114" t="str">
        <f>IF(AND('Mapa final'!$AB$37="Muy Baja",'Mapa final'!$AD$37="Catastrófico"),CONCATENATE("R12C",'Mapa final'!$R$37),"")</f>
        <v/>
      </c>
      <c r="W193" s="142" t="str">
        <f>IF(AND('Mapa final'!$AB$38="Muy Baja",'Mapa final'!$AD$38="Catastrófico"),CONCATENATE("R12C",'Mapa final'!$R$38),"")</f>
        <v/>
      </c>
      <c r="X193" s="115" t="str">
        <f>IF(AND('Mapa final'!$AB$39="Muy Baja",'Mapa final'!$AD$39="Catastrófico"),CONCATENATE("R12C",'Mapa final'!$R$39),"")</f>
        <v/>
      </c>
      <c r="Y193" s="38"/>
      <c r="Z193" s="38"/>
      <c r="AA193" s="38"/>
      <c r="AB193" s="38"/>
      <c r="AC193" s="38"/>
      <c r="AD193" s="38"/>
      <c r="AE193" s="38"/>
      <c r="AF193" s="38"/>
      <c r="AG193" s="38"/>
      <c r="AH193" s="38"/>
      <c r="AI193" s="38"/>
      <c r="AJ193" s="38"/>
      <c r="AK193" s="38"/>
      <c r="AL193" s="38"/>
      <c r="AM193" s="38"/>
      <c r="AN193" s="38"/>
      <c r="AO193" s="38"/>
      <c r="AP193" s="38"/>
      <c r="AQ193" s="38"/>
      <c r="AR193" s="38"/>
      <c r="AS193" s="38"/>
      <c r="AT193" s="38"/>
      <c r="AU193" s="38"/>
      <c r="AV193" s="38"/>
      <c r="AW193" s="38"/>
      <c r="AX193" s="38"/>
      <c r="AY193" s="38"/>
      <c r="AZ193" s="38"/>
      <c r="BA193" s="38"/>
      <c r="BB193" s="38"/>
      <c r="BC193" s="38"/>
      <c r="BD193" s="38"/>
      <c r="BE193" s="38"/>
      <c r="BF193" s="38"/>
      <c r="BG193" s="38"/>
      <c r="BH193" s="38"/>
      <c r="BI193" s="38"/>
      <c r="BJ193" s="38"/>
      <c r="BK193" s="38"/>
      <c r="BL193" s="38"/>
      <c r="BM193" s="38"/>
    </row>
    <row r="194" spans="1:65" ht="15.6" x14ac:dyDescent="0.3">
      <c r="A194" s="38"/>
      <c r="B194" s="306"/>
      <c r="C194" s="307"/>
      <c r="D194" s="308"/>
      <c r="E194" s="288"/>
      <c r="F194" s="289"/>
      <c r="G194" s="289"/>
      <c r="H194" s="289"/>
      <c r="I194" s="313"/>
      <c r="J194" s="127" t="str">
        <f>IF(AND('Mapa final'!$AB$40="Muy Baja",'Mapa final'!$AD$40="Leve"),CONCATENATE("R12C",'Mapa final'!$R$40),"")</f>
        <v>R12C4</v>
      </c>
      <c r="K194" s="144" t="str">
        <f>IF(AND('Mapa final'!$AB$41="Muy Baja",'Mapa final'!$AD$41="Leve"),CONCATENATE("R13C",'Mapa final'!$R$41),"")</f>
        <v/>
      </c>
      <c r="L194" s="128" t="str">
        <f>IF(AND('Mapa final'!$AB$42="Muy Baja",'Mapa final'!$AD$42="Leve"),CONCATENATE("R13C",'Mapa final'!$R$42),"")</f>
        <v/>
      </c>
      <c r="M194" s="127" t="str">
        <f>IF(AND('Mapa final'!$AB$40="Muy Baja",'Mapa final'!$AD$40="Menor"),CONCATENATE("R12C",'Mapa final'!$R$40),"")</f>
        <v/>
      </c>
      <c r="N194" s="144" t="str">
        <f>IF(AND('Mapa final'!$AB$41="Muy Baja",'Mapa final'!$AD$41="Menor"),CONCATENATE("R13C",'Mapa final'!$R$41),"")</f>
        <v/>
      </c>
      <c r="O194" s="128" t="str">
        <f>IF(AND('Mapa final'!$AB$42="Muy Baja",'Mapa final'!$AD$42="Menor"),CONCATENATE("R13C",'Mapa final'!$R$42),"")</f>
        <v/>
      </c>
      <c r="P194" s="119" t="str">
        <f>IF(AND('Mapa final'!$AB$40="Muy Baja",'Mapa final'!$AD$40="Moderado"),CONCATENATE("R12C",'Mapa final'!$R$40),"")</f>
        <v/>
      </c>
      <c r="Q194" s="143" t="str">
        <f>IF(AND('Mapa final'!$AB$41="Muy Baja",'Mapa final'!$AD$41="Moderado"),CONCATENATE("R13C",'Mapa final'!$R$41),"")</f>
        <v/>
      </c>
      <c r="R194" s="120" t="str">
        <f>IF(AND('Mapa final'!$AB$42="Muy Baja",'Mapa final'!$AD$42="Moderado"),CONCATENATE("R13C",'Mapa final'!$R$42),"")</f>
        <v/>
      </c>
      <c r="S194" s="148" t="str">
        <f>IF(AND('Mapa final'!$AB$40="Muy Baja",'Mapa final'!$AD$40="Mayor"),CONCATENATE("R12C",'Mapa final'!$R$40),"")</f>
        <v/>
      </c>
      <c r="T194" s="149" t="str">
        <f>IF(AND('Mapa final'!$AB$41="Muy Baja",'Mapa final'!$AD$41="Mayor"),CONCATENATE("R13C",'Mapa final'!$R$41),"")</f>
        <v/>
      </c>
      <c r="U194" s="150" t="str">
        <f>IF(AND('Mapa final'!$AB$42="Muy Baja",'Mapa final'!$AD$42="Mayor"),CONCATENATE("R13C",'Mapa final'!$R$42),"")</f>
        <v/>
      </c>
      <c r="V194" s="114" t="str">
        <f>IF(AND('Mapa final'!$AB$40="Muy Baja",'Mapa final'!$AD$40="Catastrófico"),CONCATENATE("R12C",'Mapa final'!$R$40),"")</f>
        <v/>
      </c>
      <c r="W194" s="142" t="str">
        <f>IF(AND('Mapa final'!$AB$41="Muy Baja",'Mapa final'!$AD$41="Catastrófico"),CONCATENATE("R13C",'Mapa final'!$R$41),"")</f>
        <v/>
      </c>
      <c r="X194" s="115" t="str">
        <f>IF(AND('Mapa final'!$AB$42="Muy Baja",'Mapa final'!$AD$42="Catastrófico"),CONCATENATE("R13C",'Mapa final'!$R$42),"")</f>
        <v/>
      </c>
      <c r="Y194" s="38"/>
      <c r="Z194" s="38"/>
      <c r="AA194" s="38"/>
      <c r="AB194" s="38"/>
      <c r="AC194" s="38"/>
      <c r="AD194" s="38"/>
      <c r="AE194" s="38"/>
      <c r="AF194" s="38"/>
      <c r="AG194" s="38"/>
      <c r="AH194" s="38"/>
      <c r="AI194" s="38"/>
      <c r="AJ194" s="38"/>
      <c r="AK194" s="38"/>
      <c r="AL194" s="38"/>
      <c r="AM194" s="38"/>
      <c r="AN194" s="38"/>
      <c r="AO194" s="38"/>
      <c r="AP194" s="38"/>
      <c r="AQ194" s="38"/>
      <c r="AR194" s="38"/>
      <c r="AS194" s="38"/>
      <c r="AT194" s="38"/>
      <c r="AU194" s="38"/>
      <c r="AV194" s="38"/>
      <c r="AW194" s="38"/>
      <c r="AX194" s="38"/>
      <c r="AY194" s="38"/>
      <c r="AZ194" s="38"/>
      <c r="BA194" s="38"/>
      <c r="BB194" s="38"/>
      <c r="BC194" s="38"/>
      <c r="BD194" s="38"/>
      <c r="BE194" s="38"/>
      <c r="BF194" s="38"/>
      <c r="BG194" s="38"/>
      <c r="BH194" s="38"/>
      <c r="BI194" s="38"/>
      <c r="BJ194" s="38"/>
      <c r="BK194" s="38"/>
      <c r="BL194" s="38"/>
      <c r="BM194" s="38"/>
    </row>
    <row r="195" spans="1:65" ht="15.6" x14ac:dyDescent="0.3">
      <c r="A195" s="38"/>
      <c r="B195" s="306"/>
      <c r="C195" s="307"/>
      <c r="D195" s="308"/>
      <c r="E195" s="288"/>
      <c r="F195" s="289"/>
      <c r="G195" s="289"/>
      <c r="H195" s="289"/>
      <c r="I195" s="313"/>
      <c r="J195" s="127" t="str">
        <f>IF(AND('Mapa final'!$AB$43="Muy Baja",'Mapa final'!$AD$43="Leve"),CONCATENATE("R13C",'Mapa final'!$R$43),"")</f>
        <v/>
      </c>
      <c r="K195" s="144" t="str">
        <f>IF(AND('Mapa final'!$AB$44="Muy Baja",'Mapa final'!$AD$44="Leve"),CONCATENATE("R14C",'Mapa final'!$R$44),"")</f>
        <v/>
      </c>
      <c r="L195" s="128" t="str">
        <f>IF(AND('Mapa final'!$AB$45="Muy Baja",'Mapa final'!$AD$45="Leve"),CONCATENATE("R14C",'Mapa final'!$R$45),"")</f>
        <v>R14C2</v>
      </c>
      <c r="M195" s="127" t="str">
        <f>IF(AND('Mapa final'!$AB$43="Muy Baja",'Mapa final'!$AD$43="Menor"),CONCATENATE("R13C",'Mapa final'!$R$43),"")</f>
        <v/>
      </c>
      <c r="N195" s="144" t="str">
        <f>IF(AND('Mapa final'!$AB$44="Muy Baja",'Mapa final'!$AD$44="Menor"),CONCATENATE("R14C",'Mapa final'!$R$44),"")</f>
        <v/>
      </c>
      <c r="O195" s="128" t="str">
        <f>IF(AND('Mapa final'!$AB$45="Muy Baja",'Mapa final'!$AD$45="Menor"),CONCATENATE("R14C",'Mapa final'!$R$45),"")</f>
        <v/>
      </c>
      <c r="P195" s="119" t="str">
        <f>IF(AND('Mapa final'!$AB$43="Muy Baja",'Mapa final'!$AD$43="Moderado"),CONCATENATE("R13C",'Mapa final'!$R$43),"")</f>
        <v/>
      </c>
      <c r="Q195" s="143" t="str">
        <f>IF(AND('Mapa final'!$AB$44="Muy Baja",'Mapa final'!$AD$44="Moderado"),CONCATENATE("R14C",'Mapa final'!$R$44),"")</f>
        <v/>
      </c>
      <c r="R195" s="120" t="str">
        <f>IF(AND('Mapa final'!$AB$45="Muy Baja",'Mapa final'!$AD$45="Moderado"),CONCATENATE("R14C",'Mapa final'!$R$45),"")</f>
        <v/>
      </c>
      <c r="S195" s="148" t="str">
        <f>IF(AND('Mapa final'!$AB$43="Muy Baja",'Mapa final'!$AD$43="Mayor"),CONCATENATE("R13C",'Mapa final'!$R$43),"")</f>
        <v/>
      </c>
      <c r="T195" s="149" t="str">
        <f>IF(AND('Mapa final'!$AB$44="Muy Baja",'Mapa final'!$AD$44="Mayor"),CONCATENATE("R14C",'Mapa final'!$R$44),"")</f>
        <v/>
      </c>
      <c r="U195" s="150" t="str">
        <f>IF(AND('Mapa final'!$AB$45="Muy Baja",'Mapa final'!$AD$45="Mayor"),CONCATENATE("R14C",'Mapa final'!$R$45),"")</f>
        <v/>
      </c>
      <c r="V195" s="114" t="str">
        <f>IF(AND('Mapa final'!$AB$43="Muy Baja",'Mapa final'!$AD$43="Catastrófico"),CONCATENATE("R13C",'Mapa final'!$R$43),"")</f>
        <v/>
      </c>
      <c r="W195" s="142" t="str">
        <f>IF(AND('Mapa final'!$AB$44="Muy Baja",'Mapa final'!$AD$44="Catastrófico"),CONCATENATE("R14C",'Mapa final'!$R$44),"")</f>
        <v/>
      </c>
      <c r="X195" s="115" t="str">
        <f>IF(AND('Mapa final'!$AB$45="Muy Baja",'Mapa final'!$AD$45="Catastrófico"),CONCATENATE("R14C",'Mapa final'!$R$45),"")</f>
        <v/>
      </c>
      <c r="Y195" s="38"/>
      <c r="Z195" s="38"/>
      <c r="AA195" s="38"/>
      <c r="AB195" s="38"/>
      <c r="AC195" s="38"/>
      <c r="AD195" s="38"/>
      <c r="AE195" s="38"/>
      <c r="AF195" s="38"/>
      <c r="AG195" s="38"/>
      <c r="AH195" s="38"/>
      <c r="AI195" s="38"/>
      <c r="AJ195" s="38"/>
      <c r="AK195" s="38"/>
      <c r="AL195" s="38"/>
      <c r="AM195" s="38"/>
      <c r="AN195" s="38"/>
      <c r="AO195" s="38"/>
      <c r="AP195" s="38"/>
      <c r="AQ195" s="38"/>
      <c r="AR195" s="38"/>
      <c r="AS195" s="38"/>
      <c r="AT195" s="38"/>
      <c r="AU195" s="38"/>
      <c r="AV195" s="38"/>
      <c r="AW195" s="38"/>
      <c r="AX195" s="38"/>
      <c r="AY195" s="38"/>
      <c r="AZ195" s="38"/>
      <c r="BA195" s="38"/>
      <c r="BB195" s="38"/>
      <c r="BC195" s="38"/>
      <c r="BD195" s="38"/>
      <c r="BE195" s="38"/>
      <c r="BF195" s="38"/>
      <c r="BG195" s="38"/>
      <c r="BH195" s="38"/>
      <c r="BI195" s="38"/>
      <c r="BJ195" s="38"/>
      <c r="BK195" s="38"/>
      <c r="BL195" s="38"/>
      <c r="BM195" s="38"/>
    </row>
    <row r="196" spans="1:65" ht="15.6" x14ac:dyDescent="0.3">
      <c r="A196" s="38"/>
      <c r="B196" s="306"/>
      <c r="C196" s="307"/>
      <c r="D196" s="308"/>
      <c r="E196" s="288"/>
      <c r="F196" s="289"/>
      <c r="G196" s="289"/>
      <c r="H196" s="289"/>
      <c r="I196" s="313"/>
      <c r="J196" s="127" t="str">
        <f>IF(AND('Mapa final'!$AB$46="Muy Baja",'Mapa final'!$AD$46="Leve"),CONCATENATE("R14C",'Mapa final'!$R$46),"")</f>
        <v/>
      </c>
      <c r="K196" s="144" t="str">
        <f>IF(AND('Mapa final'!$AB$47="Muy Baja",'Mapa final'!$AD$47="Leve"),CONCATENATE("R14C",'Mapa final'!$R$47),"")</f>
        <v/>
      </c>
      <c r="L196" s="128" t="str">
        <f>IF(AND('Mapa final'!$AB$48="Muy Baja",'Mapa final'!$AD$48="Leve"),CONCATENATE("R14C",'Mapa final'!$R$48),"")</f>
        <v>R14C5</v>
      </c>
      <c r="M196" s="127" t="str">
        <f>IF(AND('Mapa final'!$AB$46="Muy Baja",'Mapa final'!$AD$46="Menor"),CONCATENATE("R14C",'Mapa final'!$R$46),"")</f>
        <v/>
      </c>
      <c r="N196" s="144" t="str">
        <f>IF(AND('Mapa final'!$AB$47="Muy Baja",'Mapa final'!$AD$47="Menor"),CONCATENATE("R14C",'Mapa final'!$R$47),"")</f>
        <v/>
      </c>
      <c r="O196" s="128" t="str">
        <f>IF(AND('Mapa final'!$AB$48="Muy Baja",'Mapa final'!$AD$48="Menor"),CONCATENATE("R14C",'Mapa final'!$R$48),"")</f>
        <v/>
      </c>
      <c r="P196" s="119" t="str">
        <f>IF(AND('Mapa final'!$AB$46="Muy Baja",'Mapa final'!$AD$46="Moderado"),CONCATENATE("R14C",'Mapa final'!$R$46),"")</f>
        <v/>
      </c>
      <c r="Q196" s="143" t="str">
        <f>IF(AND('Mapa final'!$AB$47="Muy Baja",'Mapa final'!$AD$47="Moderado"),CONCATENATE("R14C",'Mapa final'!$R$47),"")</f>
        <v/>
      </c>
      <c r="R196" s="120" t="str">
        <f>IF(AND('Mapa final'!$AB$48="Muy Baja",'Mapa final'!$AD$48="Moderado"),CONCATENATE("R14C",'Mapa final'!$R$48),"")</f>
        <v/>
      </c>
      <c r="S196" s="148" t="str">
        <f>IF(AND('Mapa final'!$AB$46="Muy Baja",'Mapa final'!$AD$46="Mayor"),CONCATENATE("R14C",'Mapa final'!$R$46),"")</f>
        <v/>
      </c>
      <c r="T196" s="149" t="str">
        <f>IF(AND('Mapa final'!$AB$47="Muy Baja",'Mapa final'!$AD$47="Mayor"),CONCATENATE("R14C",'Mapa final'!$R$47),"")</f>
        <v/>
      </c>
      <c r="U196" s="150" t="str">
        <f>IF(AND('Mapa final'!$AB$48="Muy Baja",'Mapa final'!$AD$48="Mayor"),CONCATENATE("R14C",'Mapa final'!$R$48),"")</f>
        <v/>
      </c>
      <c r="V196" s="114" t="str">
        <f>IF(AND('Mapa final'!$AB$46="Muy Baja",'Mapa final'!$AD$46="Catastrófico"),CONCATENATE("R14C",'Mapa final'!$R$46),"")</f>
        <v/>
      </c>
      <c r="W196" s="142" t="str">
        <f>IF(AND('Mapa final'!$AB$47="Muy Baja",'Mapa final'!$AD$47="Catastrófico"),CONCATENATE("R14C",'Mapa final'!$R$47),"")</f>
        <v/>
      </c>
      <c r="X196" s="115" t="str">
        <f>IF(AND('Mapa final'!$AB$48="Muy Baja",'Mapa final'!$AD$48="Catastrófico"),CONCATENATE("R14C",'Mapa final'!$R$48),"")</f>
        <v/>
      </c>
      <c r="Y196" s="38"/>
      <c r="Z196" s="38"/>
      <c r="AA196" s="38"/>
      <c r="AB196" s="38"/>
      <c r="AC196" s="38"/>
      <c r="AD196" s="38"/>
      <c r="AE196" s="38"/>
      <c r="AF196" s="38"/>
      <c r="AG196" s="38"/>
      <c r="AH196" s="38"/>
      <c r="AI196" s="38"/>
      <c r="AJ196" s="38"/>
      <c r="AK196" s="38"/>
      <c r="AL196" s="38"/>
      <c r="AM196" s="38"/>
      <c r="AN196" s="38"/>
      <c r="AO196" s="38"/>
      <c r="AP196" s="38"/>
      <c r="AQ196" s="38"/>
      <c r="AR196" s="38"/>
      <c r="AS196" s="38"/>
      <c r="AT196" s="38"/>
      <c r="AU196" s="38"/>
      <c r="AV196" s="38"/>
      <c r="AW196" s="38"/>
      <c r="AX196" s="38"/>
      <c r="AY196" s="38"/>
      <c r="AZ196" s="38"/>
      <c r="BA196" s="38"/>
      <c r="BB196" s="38"/>
      <c r="BC196" s="38"/>
      <c r="BD196" s="38"/>
      <c r="BE196" s="38"/>
      <c r="BF196" s="38"/>
      <c r="BG196" s="38"/>
      <c r="BH196" s="38"/>
      <c r="BI196" s="38"/>
      <c r="BJ196" s="38"/>
      <c r="BK196" s="38"/>
      <c r="BL196" s="38"/>
      <c r="BM196" s="38"/>
    </row>
    <row r="197" spans="1:65" ht="15.6" x14ac:dyDescent="0.3">
      <c r="A197" s="38"/>
      <c r="B197" s="306"/>
      <c r="C197" s="307"/>
      <c r="D197" s="308"/>
      <c r="E197" s="288"/>
      <c r="F197" s="289"/>
      <c r="G197" s="289"/>
      <c r="H197" s="289"/>
      <c r="I197" s="313"/>
      <c r="J197" s="127" t="str">
        <f>IF(AND('Mapa final'!$AB$49="Muy Baja",'Mapa final'!$AD$49="Leve"),CONCATENATE("R15C",'Mapa final'!$R$49),"")</f>
        <v/>
      </c>
      <c r="K197" s="144" t="str">
        <f>IF(AND('Mapa final'!$AB$50="Muy Baja",'Mapa final'!$AD$50="Leve"),CONCATENATE("R15C",'Mapa final'!$R$50),"")</f>
        <v/>
      </c>
      <c r="L197" s="128" t="str">
        <f>IF(AND('Mapa final'!$AB$51="Muy Baja",'Mapa final'!$AD$51="Leve"),CONCATENATE("R15C",'Mapa final'!$R$51),"")</f>
        <v/>
      </c>
      <c r="M197" s="127" t="str">
        <f>IF(AND('Mapa final'!$AB$49="Muy Baja",'Mapa final'!$AD$49="Menor"),CONCATENATE("R15C",'Mapa final'!$R$49),"")</f>
        <v/>
      </c>
      <c r="N197" s="144" t="str">
        <f>IF(AND('Mapa final'!$AB$50="Muy Baja",'Mapa final'!$AD$50="Menor"),CONCATENATE("R15C",'Mapa final'!$R$50),"")</f>
        <v/>
      </c>
      <c r="O197" s="128" t="str">
        <f>IF(AND('Mapa final'!$AB$51="Muy Baja",'Mapa final'!$AD$51="Menor"),CONCATENATE("R15C",'Mapa final'!$R$51),"")</f>
        <v/>
      </c>
      <c r="P197" s="119" t="str">
        <f>IF(AND('Mapa final'!$AB$49="Muy Baja",'Mapa final'!$AD$49="Moderado"),CONCATENATE("R15C",'Mapa final'!$R$49),"")</f>
        <v>R15C1</v>
      </c>
      <c r="Q197" s="143" t="str">
        <f>IF(AND('Mapa final'!$AB$50="Muy Baja",'Mapa final'!$AD$50="Moderado"),CONCATENATE("R15C",'Mapa final'!$R$50),"")</f>
        <v/>
      </c>
      <c r="R197" s="120" t="str">
        <f>IF(AND('Mapa final'!$AB$51="Muy Baja",'Mapa final'!$AD$51="Moderado"),CONCATENATE("R15C",'Mapa final'!$R$51),"")</f>
        <v/>
      </c>
      <c r="S197" s="148" t="str">
        <f>IF(AND('Mapa final'!$AB$49="Muy Baja",'Mapa final'!$AD$49="Mayor"),CONCATENATE("R15C",'Mapa final'!$R$49),"")</f>
        <v/>
      </c>
      <c r="T197" s="149" t="str">
        <f>IF(AND('Mapa final'!$AB$50="Muy Baja",'Mapa final'!$AD$50="Mayor"),CONCATENATE("R15C",'Mapa final'!$R$50),"")</f>
        <v/>
      </c>
      <c r="U197" s="150" t="str">
        <f>IF(AND('Mapa final'!$AB$51="Muy Baja",'Mapa final'!$AD$51="Mayor"),CONCATENATE("R15C",'Mapa final'!$R$51),"")</f>
        <v/>
      </c>
      <c r="V197" s="114" t="str">
        <f>IF(AND('Mapa final'!$AB$49="Muy Baja",'Mapa final'!$AD$49="Catastrófico"),CONCATENATE("R15C",'Mapa final'!$R$49),"")</f>
        <v/>
      </c>
      <c r="W197" s="142" t="str">
        <f>IF(AND('Mapa final'!$AB$50="Muy Baja",'Mapa final'!$AD$50="Catastrófico"),CONCATENATE("R15C",'Mapa final'!$R$50),"")</f>
        <v/>
      </c>
      <c r="X197" s="115" t="str">
        <f>IF(AND('Mapa final'!$AB$51="Muy Baja",'Mapa final'!$AD$51="Catastrófico"),CONCATENATE("R15C",'Mapa final'!$R$51),"")</f>
        <v/>
      </c>
      <c r="Y197" s="38"/>
      <c r="Z197" s="38"/>
      <c r="AA197" s="38"/>
      <c r="AB197" s="38"/>
      <c r="AC197" s="38"/>
      <c r="AD197" s="38"/>
      <c r="AE197" s="38"/>
      <c r="AF197" s="38"/>
      <c r="AG197" s="38"/>
      <c r="AH197" s="38"/>
      <c r="AI197" s="38"/>
      <c r="AJ197" s="38"/>
      <c r="AK197" s="38"/>
      <c r="AL197" s="38"/>
      <c r="AM197" s="38"/>
      <c r="AN197" s="38"/>
      <c r="AO197" s="38"/>
      <c r="AP197" s="38"/>
      <c r="AQ197" s="38"/>
      <c r="AR197" s="38"/>
      <c r="AS197" s="38"/>
      <c r="AT197" s="38"/>
      <c r="AU197" s="38"/>
      <c r="AV197" s="38"/>
      <c r="AW197" s="38"/>
      <c r="AX197" s="38"/>
      <c r="AY197" s="38"/>
      <c r="AZ197" s="38"/>
      <c r="BA197" s="38"/>
      <c r="BB197" s="38"/>
      <c r="BC197" s="38"/>
      <c r="BD197" s="38"/>
      <c r="BE197" s="38"/>
      <c r="BF197" s="38"/>
      <c r="BG197" s="38"/>
      <c r="BH197" s="38"/>
      <c r="BI197" s="38"/>
      <c r="BJ197" s="38"/>
      <c r="BK197" s="38"/>
      <c r="BL197" s="38"/>
      <c r="BM197" s="38"/>
    </row>
    <row r="198" spans="1:65" ht="15.6" x14ac:dyDescent="0.3">
      <c r="A198" s="38"/>
      <c r="B198" s="306"/>
      <c r="C198" s="307"/>
      <c r="D198" s="308"/>
      <c r="E198" s="288"/>
      <c r="F198" s="289"/>
      <c r="G198" s="289"/>
      <c r="H198" s="289"/>
      <c r="I198" s="313"/>
      <c r="J198" s="127" t="str">
        <f>IF(AND('Mapa final'!$AB$52="Muy Baja",'Mapa final'!$AD$52="Leve"),CONCATENATE("R16C",'Mapa final'!$R$52),"")</f>
        <v/>
      </c>
      <c r="K198" s="144" t="str">
        <f>IF(AND('Mapa final'!$AB$53="Muy Baja",'Mapa final'!$AD$53="Leve"),CONCATENATE("R16C",'Mapa final'!$R$53),"")</f>
        <v/>
      </c>
      <c r="L198" s="128" t="str">
        <f>IF(AND('Mapa final'!$AB$54="Muy Baja",'Mapa final'!$AD$54="Leve"),CONCATENATE("R16C",'Mapa final'!$R$54),"")</f>
        <v/>
      </c>
      <c r="M198" s="127" t="str">
        <f>IF(AND('Mapa final'!$AB$52="Muy Baja",'Mapa final'!$AD$52="Menor"),CONCATENATE("R16C",'Mapa final'!$R$52),"")</f>
        <v/>
      </c>
      <c r="N198" s="144" t="str">
        <f>IF(AND('Mapa final'!$AB$53="Muy Baja",'Mapa final'!$AD$53="Menor"),CONCATENATE("R16C",'Mapa final'!$R$53),"")</f>
        <v/>
      </c>
      <c r="O198" s="128" t="str">
        <f>IF(AND('Mapa final'!$AB$54="Muy Baja",'Mapa final'!$AD$54="Menor"),CONCATENATE("R16C",'Mapa final'!$R$54),"")</f>
        <v/>
      </c>
      <c r="P198" s="119" t="str">
        <f>IF(AND('Mapa final'!$AB$52="Muy Baja",'Mapa final'!$AD$52="Moderado"),CONCATENATE("R16C",'Mapa final'!$R$52),"")</f>
        <v/>
      </c>
      <c r="Q198" s="143" t="str">
        <f>IF(AND('Mapa final'!$AB$53="Muy Baja",'Mapa final'!$AD$53="Moderado"),CONCATENATE("R16C",'Mapa final'!$R$53),"")</f>
        <v/>
      </c>
      <c r="R198" s="120" t="str">
        <f>IF(AND('Mapa final'!$AB$54="Muy Baja",'Mapa final'!$AD$54="Moderado"),CONCATENATE("R16C",'Mapa final'!$R$54),"")</f>
        <v/>
      </c>
      <c r="S198" s="148" t="str">
        <f>IF(AND('Mapa final'!$AB$52="Muy Baja",'Mapa final'!$AD$52="Mayor"),CONCATENATE("R16C",'Mapa final'!$R$52),"")</f>
        <v/>
      </c>
      <c r="T198" s="149" t="str">
        <f>IF(AND('Mapa final'!$AB$53="Muy Baja",'Mapa final'!$AD$53="Mayor"),CONCATENATE("R16C",'Mapa final'!$R$53),"")</f>
        <v/>
      </c>
      <c r="U198" s="150" t="str">
        <f>IF(AND('Mapa final'!$AB$54="Muy Baja",'Mapa final'!$AD$54="Mayor"),CONCATENATE("R16C",'Mapa final'!$R$54),"")</f>
        <v/>
      </c>
      <c r="V198" s="114" t="str">
        <f>IF(AND('Mapa final'!$AB$52="Muy Baja",'Mapa final'!$AD$52="Catastrófico"),CONCATENATE("R16C",'Mapa final'!$R$52),"")</f>
        <v/>
      </c>
      <c r="W198" s="142" t="str">
        <f>IF(AND('Mapa final'!$AB$53="Muy Baja",'Mapa final'!$AD$53="Catastrófico"),CONCATENATE("R16C",'Mapa final'!$R$53),"")</f>
        <v/>
      </c>
      <c r="X198" s="115" t="str">
        <f>IF(AND('Mapa final'!$AB$54="Muy Baja",'Mapa final'!$AD$54="Catastrófico"),CONCATENATE("R16C",'Mapa final'!$R$54),"")</f>
        <v/>
      </c>
      <c r="Y198" s="38"/>
      <c r="Z198" s="38"/>
      <c r="AA198" s="38"/>
      <c r="AB198" s="38"/>
      <c r="AC198" s="38"/>
      <c r="AD198" s="38"/>
      <c r="AE198" s="38"/>
      <c r="AF198" s="38"/>
      <c r="AG198" s="38"/>
      <c r="AH198" s="38"/>
      <c r="AI198" s="38"/>
      <c r="AJ198" s="38"/>
      <c r="AK198" s="38"/>
      <c r="AL198" s="38"/>
      <c r="AM198" s="38"/>
      <c r="AN198" s="38"/>
      <c r="AO198" s="38"/>
      <c r="AP198" s="38"/>
      <c r="AQ198" s="38"/>
      <c r="AR198" s="38"/>
      <c r="AS198" s="38"/>
      <c r="AT198" s="38"/>
      <c r="AU198" s="38"/>
      <c r="AV198" s="38"/>
      <c r="AW198" s="38"/>
      <c r="AX198" s="38"/>
      <c r="AY198" s="38"/>
      <c r="AZ198" s="38"/>
      <c r="BA198" s="38"/>
      <c r="BB198" s="38"/>
      <c r="BC198" s="38"/>
      <c r="BD198" s="38"/>
      <c r="BE198" s="38"/>
      <c r="BF198" s="38"/>
      <c r="BG198" s="38"/>
      <c r="BH198" s="38"/>
      <c r="BI198" s="38"/>
      <c r="BJ198" s="38"/>
      <c r="BK198" s="38"/>
      <c r="BL198" s="38"/>
      <c r="BM198" s="38"/>
    </row>
    <row r="199" spans="1:65" ht="15.6" x14ac:dyDescent="0.3">
      <c r="A199" s="38"/>
      <c r="B199" s="306"/>
      <c r="C199" s="307"/>
      <c r="D199" s="308"/>
      <c r="E199" s="288"/>
      <c r="F199" s="289"/>
      <c r="G199" s="289"/>
      <c r="H199" s="289"/>
      <c r="I199" s="313"/>
      <c r="J199" s="127" t="str">
        <f>IF(AND('Mapa final'!$AB$55="Muy Baja",'Mapa final'!$AD$55="Leve"),CONCATENATE("R17C",'Mapa final'!$R$55),"")</f>
        <v/>
      </c>
      <c r="K199" s="144" t="str">
        <f>IF(AND('Mapa final'!$AB$56="Muy Baja",'Mapa final'!$AD$56="Leve"),CONCATENATE("R17C",'Mapa final'!$R$56),"")</f>
        <v/>
      </c>
      <c r="L199" s="128" t="str">
        <f>IF(AND('Mapa final'!$AB$57="Muy Baja",'Mapa final'!$AD$57="Leve"),CONCATENATE("R17C",'Mapa final'!$R$57),"")</f>
        <v/>
      </c>
      <c r="M199" s="127" t="str">
        <f>IF(AND('Mapa final'!$AB$55="Muy Baja",'Mapa final'!$AD$55="Menor"),CONCATENATE("R17C",'Mapa final'!$R$55),"")</f>
        <v/>
      </c>
      <c r="N199" s="144" t="str">
        <f>IF(AND('Mapa final'!$AB$56="Muy Baja",'Mapa final'!$AD$56="Menor"),CONCATENATE("R17C",'Mapa final'!$R$56),"")</f>
        <v/>
      </c>
      <c r="O199" s="128" t="str">
        <f>IF(AND('Mapa final'!$AB$57="Muy Baja",'Mapa final'!$AD$57="Menor"),CONCATENATE("R17C",'Mapa final'!$R$57),"")</f>
        <v/>
      </c>
      <c r="P199" s="119" t="str">
        <f>IF(AND('Mapa final'!$AB$55="Muy Baja",'Mapa final'!$AD$55="Moderado"),CONCATENATE("R17C",'Mapa final'!$R$55),"")</f>
        <v>R17C1</v>
      </c>
      <c r="Q199" s="143" t="str">
        <f>IF(AND('Mapa final'!$AB$56="Muy Baja",'Mapa final'!$AD$56="Moderado"),CONCATENATE("R17C",'Mapa final'!$R$56),"")</f>
        <v/>
      </c>
      <c r="R199" s="120" t="str">
        <f>IF(AND('Mapa final'!$AB$57="Muy Baja",'Mapa final'!$AD$57="Moderado"),CONCATENATE("R17C",'Mapa final'!$R$57),"")</f>
        <v/>
      </c>
      <c r="S199" s="148" t="str">
        <f>IF(AND('Mapa final'!$AB$55="Muy Baja",'Mapa final'!$AD$55="Mayor"),CONCATENATE("R17C",'Mapa final'!$R$55),"")</f>
        <v/>
      </c>
      <c r="T199" s="149" t="str">
        <f>IF(AND('Mapa final'!$AB$56="Muy Baja",'Mapa final'!$AD$56="Mayor"),CONCATENATE("R17C",'Mapa final'!$R$56),"")</f>
        <v/>
      </c>
      <c r="U199" s="150" t="str">
        <f>IF(AND('Mapa final'!$AB$57="Muy Baja",'Mapa final'!$AD$57="Mayor"),CONCATENATE("R17C",'Mapa final'!$R$57),"")</f>
        <v/>
      </c>
      <c r="V199" s="114" t="str">
        <f>IF(AND('Mapa final'!$AB$55="Muy Baja",'Mapa final'!$AD$55="Catastrófico"),CONCATENATE("R17C",'Mapa final'!$R$55),"")</f>
        <v/>
      </c>
      <c r="W199" s="142" t="str">
        <f>IF(AND('Mapa final'!$AB$56="Muy Baja",'Mapa final'!$AD$56="Catastrófico"),CONCATENATE("R17C",'Mapa final'!$R$56),"")</f>
        <v/>
      </c>
      <c r="X199" s="115" t="str">
        <f>IF(AND('Mapa final'!$AB$57="Muy Baja",'Mapa final'!$AD$57="Catastrófico"),CONCATENATE("R17C",'Mapa final'!$R$57),"")</f>
        <v/>
      </c>
      <c r="Y199" s="38"/>
      <c r="Z199" s="38"/>
      <c r="AA199" s="38"/>
      <c r="AB199" s="38"/>
      <c r="AC199" s="38"/>
      <c r="AD199" s="38"/>
      <c r="AE199" s="38"/>
      <c r="AF199" s="38"/>
      <c r="AG199" s="38"/>
      <c r="AH199" s="38"/>
      <c r="AI199" s="38"/>
      <c r="AJ199" s="38"/>
      <c r="AK199" s="38"/>
      <c r="AL199" s="38"/>
      <c r="AM199" s="38"/>
      <c r="AN199" s="38"/>
      <c r="AO199" s="38"/>
      <c r="AP199" s="38"/>
      <c r="AQ199" s="38"/>
      <c r="AR199" s="38"/>
      <c r="AS199" s="38"/>
      <c r="AT199" s="38"/>
      <c r="AU199" s="38"/>
      <c r="AV199" s="38"/>
      <c r="AW199" s="38"/>
      <c r="AX199" s="38"/>
      <c r="AY199" s="38"/>
      <c r="AZ199" s="38"/>
      <c r="BA199" s="38"/>
      <c r="BB199" s="38"/>
      <c r="BC199" s="38"/>
      <c r="BD199" s="38"/>
      <c r="BE199" s="38"/>
      <c r="BF199" s="38"/>
      <c r="BG199" s="38"/>
      <c r="BH199" s="38"/>
      <c r="BI199" s="38"/>
      <c r="BJ199" s="38"/>
      <c r="BK199" s="38"/>
      <c r="BL199" s="38"/>
      <c r="BM199" s="38"/>
    </row>
    <row r="200" spans="1:65" ht="15.6" x14ac:dyDescent="0.3">
      <c r="A200" s="38"/>
      <c r="B200" s="306"/>
      <c r="C200" s="307"/>
      <c r="D200" s="308"/>
      <c r="E200" s="288"/>
      <c r="F200" s="289"/>
      <c r="G200" s="289"/>
      <c r="H200" s="289"/>
      <c r="I200" s="313"/>
      <c r="J200" s="127" t="str">
        <f>IF(AND('Mapa final'!$AB$58="Muy Baja",'Mapa final'!$AD$58="Leve"),CONCATENATE("R18C",'Mapa final'!$R$58),"")</f>
        <v/>
      </c>
      <c r="K200" s="144" t="str">
        <f>IF(AND('Mapa final'!$AB$59="Muy Baja",'Mapa final'!$AD$59="Leve"),CONCATENATE("R18C",'Mapa final'!$R$59),"")</f>
        <v/>
      </c>
      <c r="L200" s="128" t="str">
        <f>IF(AND('Mapa final'!$AB$60="Muy Baja",'Mapa final'!$AD$60="Leve"),CONCATENATE("R18C",'Mapa final'!$R$60),"")</f>
        <v/>
      </c>
      <c r="M200" s="127" t="str">
        <f>IF(AND('Mapa final'!$AB$58="Muy Baja",'Mapa final'!$AD$58="Menor"),CONCATENATE("R18C",'Mapa final'!$R$58),"")</f>
        <v/>
      </c>
      <c r="N200" s="144" t="str">
        <f>IF(AND('Mapa final'!$AB$59="Muy Baja",'Mapa final'!$AD$59="Menor"),CONCATENATE("R18C",'Mapa final'!$R$59),"")</f>
        <v/>
      </c>
      <c r="O200" s="128" t="str">
        <f>IF(AND('Mapa final'!$AB$60="Muy Baja",'Mapa final'!$AD$60="Menor"),CONCATENATE("R18C",'Mapa final'!$R$60),"")</f>
        <v/>
      </c>
      <c r="P200" s="119" t="str">
        <f>IF(AND('Mapa final'!$AB$58="Muy Baja",'Mapa final'!$AD$58="Moderado"),CONCATENATE("R18C",'Mapa final'!$R$58),"")</f>
        <v/>
      </c>
      <c r="Q200" s="143" t="str">
        <f>IF(AND('Mapa final'!$AB$59="Muy Baja",'Mapa final'!$AD$59="Moderado"),CONCATENATE("R18C",'Mapa final'!$R$59),"")</f>
        <v/>
      </c>
      <c r="R200" s="120" t="str">
        <f>IF(AND('Mapa final'!$AB$60="Muy Baja",'Mapa final'!$AD$60="Moderado"),CONCATENATE("R18C",'Mapa final'!$R$60),"")</f>
        <v/>
      </c>
      <c r="S200" s="148" t="str">
        <f>IF(AND('Mapa final'!$AB$58="Muy Baja",'Mapa final'!$AD$58="Mayor"),CONCATENATE("R18C",'Mapa final'!$R$58),"")</f>
        <v/>
      </c>
      <c r="T200" s="149" t="str">
        <f>IF(AND('Mapa final'!$AB$59="Muy Baja",'Mapa final'!$AD$59="Mayor"),CONCATENATE("R18C",'Mapa final'!$R$59),"")</f>
        <v/>
      </c>
      <c r="U200" s="150" t="str">
        <f>IF(AND('Mapa final'!$AB$60="Muy Baja",'Mapa final'!$AD$60="Mayor"),CONCATENATE("R18C",'Mapa final'!$R$60),"")</f>
        <v/>
      </c>
      <c r="V200" s="114" t="str">
        <f>IF(AND('Mapa final'!$AB$58="Muy Baja",'Mapa final'!$AD$58="Catastrófico"),CONCATENATE("R18C",'Mapa final'!$R$58),"")</f>
        <v/>
      </c>
      <c r="W200" s="142" t="str">
        <f>IF(AND('Mapa final'!$AB$59="Muy Baja",'Mapa final'!$AD$59="Catastrófico"),CONCATENATE("R18C",'Mapa final'!$R$59),"")</f>
        <v/>
      </c>
      <c r="X200" s="115" t="str">
        <f>IF(AND('Mapa final'!$AB$60="Muy Baja",'Mapa final'!$AD$60="Catastrófico"),CONCATENATE("R18C",'Mapa final'!$R$60),"")</f>
        <v/>
      </c>
      <c r="Y200" s="38"/>
      <c r="Z200" s="38"/>
      <c r="AA200" s="38"/>
      <c r="AB200" s="38"/>
      <c r="AC200" s="38"/>
      <c r="AD200" s="38"/>
      <c r="AE200" s="38"/>
      <c r="AF200" s="38"/>
      <c r="AG200" s="38"/>
      <c r="AH200" s="38"/>
      <c r="AI200" s="38"/>
      <c r="AJ200" s="38"/>
      <c r="AK200" s="38"/>
      <c r="AL200" s="38"/>
      <c r="AM200" s="38"/>
      <c r="AN200" s="38"/>
      <c r="AO200" s="38"/>
      <c r="AP200" s="38"/>
      <c r="AQ200" s="38"/>
      <c r="AR200" s="38"/>
      <c r="AS200" s="38"/>
      <c r="AT200" s="38"/>
      <c r="AU200" s="38"/>
      <c r="AV200" s="38"/>
      <c r="AW200" s="38"/>
      <c r="AX200" s="38"/>
      <c r="AY200" s="38"/>
      <c r="AZ200" s="38"/>
      <c r="BA200" s="38"/>
      <c r="BB200" s="38"/>
      <c r="BC200" s="38"/>
      <c r="BD200" s="38"/>
      <c r="BE200" s="38"/>
      <c r="BF200" s="38"/>
      <c r="BG200" s="38"/>
      <c r="BH200" s="38"/>
      <c r="BI200" s="38"/>
      <c r="BJ200" s="38"/>
      <c r="BK200" s="38"/>
      <c r="BL200" s="38"/>
      <c r="BM200" s="38"/>
    </row>
    <row r="201" spans="1:65" ht="15.6" x14ac:dyDescent="0.3">
      <c r="A201" s="38"/>
      <c r="B201" s="306"/>
      <c r="C201" s="307"/>
      <c r="D201" s="308"/>
      <c r="E201" s="288"/>
      <c r="F201" s="289"/>
      <c r="G201" s="289"/>
      <c r="H201" s="289"/>
      <c r="I201" s="313"/>
      <c r="J201" s="127" t="str">
        <f>IF(AND('Mapa final'!$AB$61="Muy Baja",'Mapa final'!$AD$61="Leve"),CONCATENATE("R19C",'Mapa final'!$R$61),"")</f>
        <v/>
      </c>
      <c r="K201" s="144" t="str">
        <f>IF(AND('Mapa final'!$AB$62="Muy Baja",'Mapa final'!$AD$62="Leve"),CONCATENATE("R19C",'Mapa final'!$R$62),"")</f>
        <v/>
      </c>
      <c r="L201" s="128" t="str">
        <f>IF(AND('Mapa final'!$AB$63="Muy Baja",'Mapa final'!$AD$63="Leve"),CONCATENATE("R19C",'Mapa final'!$R$63),"")</f>
        <v/>
      </c>
      <c r="M201" s="127" t="str">
        <f>IF(AND('Mapa final'!$AB$61="Muy Baja",'Mapa final'!$AD$61="Menor"),CONCATENATE("R19C",'Mapa final'!$R$61),"")</f>
        <v/>
      </c>
      <c r="N201" s="144" t="str">
        <f>IF(AND('Mapa final'!$AB$62="Muy Baja",'Mapa final'!$AD$62="Menor"),CONCATENATE("R19C",'Mapa final'!$R$62),"")</f>
        <v/>
      </c>
      <c r="O201" s="128" t="str">
        <f>IF(AND('Mapa final'!$AB$63="Muy Baja",'Mapa final'!$AD$63="Menor"),CONCATENATE("R19C",'Mapa final'!$R$63),"")</f>
        <v/>
      </c>
      <c r="P201" s="119" t="str">
        <f>IF(AND('Mapa final'!$AB$61="Muy Baja",'Mapa final'!$AD$61="Moderado"),CONCATENATE("R19C",'Mapa final'!$R$61),"")</f>
        <v/>
      </c>
      <c r="Q201" s="143" t="str">
        <f>IF(AND('Mapa final'!$AB$62="Muy Baja",'Mapa final'!$AD$62="Moderado"),CONCATENATE("R19C",'Mapa final'!$R$62),"")</f>
        <v/>
      </c>
      <c r="R201" s="120" t="str">
        <f>IF(AND('Mapa final'!$AB$63="Muy Baja",'Mapa final'!$AD$63="Moderado"),CONCATENATE("R19C",'Mapa final'!$R$63),"")</f>
        <v/>
      </c>
      <c r="S201" s="148" t="str">
        <f>IF(AND('Mapa final'!$AB$61="Muy Baja",'Mapa final'!$AD$61="Mayor"),CONCATENATE("R19C",'Mapa final'!$R$61),"")</f>
        <v/>
      </c>
      <c r="T201" s="149" t="str">
        <f>IF(AND('Mapa final'!$AB$62="Muy Baja",'Mapa final'!$AD$62="Mayor"),CONCATENATE("R19C",'Mapa final'!$R$62),"")</f>
        <v/>
      </c>
      <c r="U201" s="150" t="str">
        <f>IF(AND('Mapa final'!$AB$63="Muy Baja",'Mapa final'!$AD$63="Mayor"),CONCATENATE("R19C",'Mapa final'!$R$63),"")</f>
        <v/>
      </c>
      <c r="V201" s="114" t="str">
        <f>IF(AND('Mapa final'!$AB$61="Muy Baja",'Mapa final'!$AD$61="Catastrófico"),CONCATENATE("R19C",'Mapa final'!$R$61),"")</f>
        <v/>
      </c>
      <c r="W201" s="142" t="str">
        <f>IF(AND('Mapa final'!$AB$62="Muy Baja",'Mapa final'!$AD$62="Catastrófico"),CONCATENATE("R19C",'Mapa final'!$R$62),"")</f>
        <v/>
      </c>
      <c r="X201" s="115" t="str">
        <f>IF(AND('Mapa final'!$AB$63="Muy Baja",'Mapa final'!$AD$63="Catastrófico"),CONCATENATE("R19C",'Mapa final'!$R$63),"")</f>
        <v/>
      </c>
      <c r="Y201" s="38"/>
      <c r="Z201" s="38"/>
      <c r="AA201" s="38"/>
      <c r="AB201" s="38"/>
      <c r="AC201" s="38"/>
      <c r="AD201" s="38"/>
      <c r="AE201" s="38"/>
      <c r="AF201" s="38"/>
      <c r="AG201" s="38"/>
      <c r="AH201" s="38"/>
      <c r="AI201" s="38"/>
      <c r="AJ201" s="38"/>
      <c r="AK201" s="38"/>
      <c r="AL201" s="38"/>
      <c r="AM201" s="38"/>
      <c r="AN201" s="38"/>
      <c r="AO201" s="38"/>
      <c r="AP201" s="38"/>
      <c r="AQ201" s="38"/>
      <c r="AR201" s="38"/>
      <c r="AS201" s="38"/>
      <c r="AT201" s="38"/>
      <c r="AU201" s="38"/>
      <c r="AV201" s="38"/>
      <c r="AW201" s="38"/>
      <c r="AX201" s="38"/>
      <c r="AY201" s="38"/>
      <c r="AZ201" s="38"/>
      <c r="BA201" s="38"/>
      <c r="BB201" s="38"/>
      <c r="BC201" s="38"/>
      <c r="BD201" s="38"/>
      <c r="BE201" s="38"/>
      <c r="BF201" s="38"/>
      <c r="BG201" s="38"/>
      <c r="BH201" s="38"/>
      <c r="BI201" s="38"/>
      <c r="BJ201" s="38"/>
      <c r="BK201" s="38"/>
      <c r="BL201" s="38"/>
      <c r="BM201" s="38"/>
    </row>
    <row r="202" spans="1:65" ht="15.6" x14ac:dyDescent="0.3">
      <c r="A202" s="38"/>
      <c r="B202" s="306"/>
      <c r="C202" s="307"/>
      <c r="D202" s="308"/>
      <c r="E202" s="288"/>
      <c r="F202" s="289"/>
      <c r="G202" s="289"/>
      <c r="H202" s="289"/>
      <c r="I202" s="313"/>
      <c r="J202" s="127" t="str">
        <f>IF(AND('Mapa final'!$AB$64="Muy Baja",'Mapa final'!$AD$64="Leve"),CONCATENATE("R20",'Mapa final'!$R$64),"")</f>
        <v/>
      </c>
      <c r="K202" s="144" t="str">
        <f>IF(AND('Mapa final'!$AB$65="Muy Baja",'Mapa final'!$AD$65="Leve"),CONCATENATE("R20C",'Mapa final'!$R$65),"")</f>
        <v/>
      </c>
      <c r="L202" s="128" t="str">
        <f>IF(AND('Mapa final'!$AB$66="Muy Baja",'Mapa final'!$AD$66="Leve"),CONCATENATE("R20C",'Mapa final'!$R$66),"")</f>
        <v/>
      </c>
      <c r="M202" s="127" t="str">
        <f>IF(AND('Mapa final'!$AB$64="Muy Baja",'Mapa final'!$AD$64="Menor"),CONCATENATE("R20",'Mapa final'!$R$64),"")</f>
        <v/>
      </c>
      <c r="N202" s="144" t="str">
        <f>IF(AND('Mapa final'!$AB$65="Muy Baja",'Mapa final'!$AD$65="Menor"),CONCATENATE("R20C",'Mapa final'!$R$65),"")</f>
        <v/>
      </c>
      <c r="O202" s="128" t="str">
        <f>IF(AND('Mapa final'!$AB$66="Muy Baja",'Mapa final'!$AD$66="Menor"),CONCATENATE("R20C",'Mapa final'!$R$66),"")</f>
        <v/>
      </c>
      <c r="P202" s="119" t="str">
        <f>IF(AND('Mapa final'!$AB$64="Muy Baja",'Mapa final'!$AD$64="Moderado"),CONCATENATE("R20",'Mapa final'!$R$64),"")</f>
        <v/>
      </c>
      <c r="Q202" s="143" t="str">
        <f>IF(AND('Mapa final'!$AB$65="Muy Baja",'Mapa final'!$AD$65="Moderado"),CONCATENATE("R20C",'Mapa final'!$R$65),"")</f>
        <v/>
      </c>
      <c r="R202" s="120" t="str">
        <f>IF(AND('Mapa final'!$AB$66="Muy Baja",'Mapa final'!$AD$66="Moderado"),CONCATENATE("R20C",'Mapa final'!$R$66),"")</f>
        <v/>
      </c>
      <c r="S202" s="148" t="str">
        <f>IF(AND('Mapa final'!$AB$64="Muy Baja",'Mapa final'!$AD$64="Mayor"),CONCATENATE("R20",'Mapa final'!$R$64),"")</f>
        <v/>
      </c>
      <c r="T202" s="149" t="str">
        <f>IF(AND('Mapa final'!$AB$65="Muy Baja",'Mapa final'!$AD$65="Mayor"),CONCATENATE("R20C",'Mapa final'!$R$65),"")</f>
        <v/>
      </c>
      <c r="U202" s="150" t="str">
        <f>IF(AND('Mapa final'!$AB$66="Muy Baja",'Mapa final'!$AD$66="Mayor"),CONCATENATE("R20C",'Mapa final'!$R$66),"")</f>
        <v/>
      </c>
      <c r="V202" s="114" t="str">
        <f>IF(AND('Mapa final'!$AB$64="Muy Baja",'Mapa final'!$AD$64="Catastrófico"),CONCATENATE("R20",'Mapa final'!$R$64),"")</f>
        <v/>
      </c>
      <c r="W202" s="142" t="str">
        <f>IF(AND('Mapa final'!$AB$65="Muy Baja",'Mapa final'!$AD$65="Catastrófico"),CONCATENATE("R20C",'Mapa final'!$R$65),"")</f>
        <v/>
      </c>
      <c r="X202" s="115" t="str">
        <f>IF(AND('Mapa final'!$AB$66="Muy Baja",'Mapa final'!$AD$66="Catastrófico"),CONCATENATE("R20C",'Mapa final'!$R$66),"")</f>
        <v/>
      </c>
      <c r="Y202" s="38"/>
      <c r="Z202" s="38"/>
      <c r="AA202" s="38"/>
      <c r="AB202" s="38"/>
      <c r="AC202" s="38"/>
      <c r="AD202" s="38"/>
      <c r="AE202" s="38"/>
      <c r="AF202" s="38"/>
      <c r="AG202" s="38"/>
      <c r="AH202" s="38"/>
      <c r="AI202" s="38"/>
      <c r="AJ202" s="38"/>
      <c r="AK202" s="38"/>
      <c r="AL202" s="38"/>
      <c r="AM202" s="38"/>
      <c r="AN202" s="38"/>
      <c r="AO202" s="38"/>
      <c r="AP202" s="38"/>
      <c r="AQ202" s="38"/>
      <c r="AR202" s="38"/>
      <c r="AS202" s="38"/>
      <c r="AT202" s="38"/>
      <c r="AU202" s="38"/>
      <c r="AV202" s="38"/>
      <c r="AW202" s="38"/>
      <c r="AX202" s="38"/>
      <c r="AY202" s="38"/>
      <c r="AZ202" s="38"/>
      <c r="BA202" s="38"/>
      <c r="BB202" s="38"/>
      <c r="BC202" s="38"/>
      <c r="BD202" s="38"/>
      <c r="BE202" s="38"/>
      <c r="BF202" s="38"/>
      <c r="BG202" s="38"/>
      <c r="BH202" s="38"/>
      <c r="BI202" s="38"/>
      <c r="BJ202" s="38"/>
      <c r="BK202" s="38"/>
      <c r="BL202" s="38"/>
      <c r="BM202" s="38"/>
    </row>
    <row r="203" spans="1:65" ht="15.6" x14ac:dyDescent="0.3">
      <c r="A203" s="38"/>
      <c r="B203" s="306"/>
      <c r="C203" s="307"/>
      <c r="D203" s="308"/>
      <c r="E203" s="288"/>
      <c r="F203" s="289"/>
      <c r="G203" s="289"/>
      <c r="H203" s="289"/>
      <c r="I203" s="313"/>
      <c r="J203" s="127" t="str">
        <f>IF(AND('Mapa final'!$AB$67="Muy Baja",'Mapa final'!$AD$67="Leve"),CONCATENATE("R21C",'Mapa final'!$R$67),"")</f>
        <v/>
      </c>
      <c r="K203" s="144" t="str">
        <f>IF(AND('Mapa final'!$AB$68="Muy Baja",'Mapa final'!$AD$68="Leve"),CONCATENATE("R21C",'Mapa final'!$R$68),"")</f>
        <v/>
      </c>
      <c r="L203" s="128" t="str">
        <f>IF(AND('Mapa final'!$AB$69="Muy Baja",'Mapa final'!$AD$69="Leve"),CONCATENATE("R21C",'Mapa final'!$R$69),"")</f>
        <v>R21C3</v>
      </c>
      <c r="M203" s="127" t="str">
        <f>IF(AND('Mapa final'!$AB$67="Muy Baja",'Mapa final'!$AD$67="Menor"),CONCATENATE("R21C",'Mapa final'!$R$67),"")</f>
        <v/>
      </c>
      <c r="N203" s="144" t="str">
        <f>IF(AND('Mapa final'!$AB$68="Muy Baja",'Mapa final'!$AD$68="Menor"),CONCATENATE("R21C",'Mapa final'!$R$68),"")</f>
        <v/>
      </c>
      <c r="O203" s="128" t="str">
        <f>IF(AND('Mapa final'!$AB$69="Muy Baja",'Mapa final'!$AD$69="Menor"),CONCATENATE("R21C",'Mapa final'!$R$69),"")</f>
        <v/>
      </c>
      <c r="P203" s="119" t="str">
        <f>IF(AND('Mapa final'!$AB$67="Muy Baja",'Mapa final'!$AD$67="Moderado"),CONCATENATE("R21C",'Mapa final'!$R$67),"")</f>
        <v/>
      </c>
      <c r="Q203" s="143" t="str">
        <f>IF(AND('Mapa final'!$AB$68="Muy Baja",'Mapa final'!$AD$68="Moderado"),CONCATENATE("R21C",'Mapa final'!$R$68),"")</f>
        <v/>
      </c>
      <c r="R203" s="120" t="str">
        <f>IF(AND('Mapa final'!$AB$69="Muy Baja",'Mapa final'!$AD$69="Moderado"),CONCATENATE("R21C",'Mapa final'!$R$69),"")</f>
        <v/>
      </c>
      <c r="S203" s="148" t="str">
        <f>IF(AND('Mapa final'!$AB$67="Muy Baja",'Mapa final'!$AD$67="Mayor"),CONCATENATE("R21C",'Mapa final'!$R$67),"")</f>
        <v/>
      </c>
      <c r="T203" s="149" t="str">
        <f>IF(AND('Mapa final'!$AB$68="Muy Baja",'Mapa final'!$AD$68="Mayor"),CONCATENATE("R21C",'Mapa final'!$R$68),"")</f>
        <v/>
      </c>
      <c r="U203" s="150" t="str">
        <f>IF(AND('Mapa final'!$AB$69="Muy Baja",'Mapa final'!$AD$69="Mayor"),CONCATENATE("R21C",'Mapa final'!$R$69),"")</f>
        <v/>
      </c>
      <c r="V203" s="114" t="str">
        <f>IF(AND('Mapa final'!$AB$67="Muy Baja",'Mapa final'!$AD$67="Catastrófico"),CONCATENATE("R21C",'Mapa final'!$R$67),"")</f>
        <v/>
      </c>
      <c r="W203" s="142" t="str">
        <f>IF(AND('Mapa final'!$AB$68="Muy Baja",'Mapa final'!$AD$68="Catastrófico"),CONCATENATE("R21C",'Mapa final'!$R$68),"")</f>
        <v/>
      </c>
      <c r="X203" s="115" t="str">
        <f>IF(AND('Mapa final'!$AB$69="Muy Baja",'Mapa final'!$AD$69="Catastrófico"),CONCATENATE("R21C",'Mapa final'!$R$69),"")</f>
        <v/>
      </c>
      <c r="Y203" s="38"/>
      <c r="Z203" s="38"/>
      <c r="AA203" s="38"/>
      <c r="AB203" s="38"/>
      <c r="AC203" s="38"/>
      <c r="AD203" s="38"/>
      <c r="AE203" s="38"/>
      <c r="AF203" s="38"/>
      <c r="AG203" s="38"/>
      <c r="AH203" s="38"/>
      <c r="AI203" s="38"/>
      <c r="AJ203" s="38"/>
      <c r="AK203" s="38"/>
      <c r="AL203" s="38"/>
      <c r="AM203" s="38"/>
      <c r="AN203" s="38"/>
      <c r="AO203" s="38"/>
      <c r="AP203" s="38"/>
      <c r="AQ203" s="38"/>
      <c r="AR203" s="38"/>
      <c r="AS203" s="38"/>
      <c r="AT203" s="38"/>
      <c r="AU203" s="38"/>
      <c r="AV203" s="38"/>
      <c r="AW203" s="38"/>
      <c r="AX203" s="38"/>
      <c r="AY203" s="38"/>
      <c r="AZ203" s="38"/>
      <c r="BA203" s="38"/>
      <c r="BB203" s="38"/>
      <c r="BC203" s="38"/>
      <c r="BD203" s="38"/>
      <c r="BE203" s="38"/>
      <c r="BF203" s="38"/>
      <c r="BG203" s="38"/>
      <c r="BH203" s="38"/>
      <c r="BI203" s="38"/>
      <c r="BJ203" s="38"/>
      <c r="BK203" s="38"/>
      <c r="BL203" s="38"/>
      <c r="BM203" s="38"/>
    </row>
    <row r="204" spans="1:65" ht="15.6" x14ac:dyDescent="0.3">
      <c r="A204" s="38"/>
      <c r="B204" s="306"/>
      <c r="C204" s="307"/>
      <c r="D204" s="308"/>
      <c r="E204" s="288"/>
      <c r="F204" s="289"/>
      <c r="G204" s="289"/>
      <c r="H204" s="289"/>
      <c r="I204" s="313"/>
      <c r="J204" s="127" t="str">
        <f>IF(AND('Mapa final'!$AB$70="Muy Baja",'Mapa final'!$AD$70="Leve"),CONCATENATE("R22C",'Mapa final'!$R$70),"")</f>
        <v/>
      </c>
      <c r="K204" s="144" t="str">
        <f>IF(AND('Mapa final'!$AB$71="Muy Baja",'Mapa final'!$AD$71="Leve"),CONCATENATE("R22C",'Mapa final'!$R$71),"")</f>
        <v/>
      </c>
      <c r="L204" s="128" t="str">
        <f>IF(AND('Mapa final'!$AB$72="Muy Baja",'Mapa final'!$AD$72="Leve"),CONCATENATE("R2C",'Mapa final'!$R$72),"")</f>
        <v/>
      </c>
      <c r="M204" s="127" t="str">
        <f>IF(AND('Mapa final'!$AB$70="Muy Baja",'Mapa final'!$AD$70="Menor"),CONCATENATE("R22C",'Mapa final'!$R$70),"")</f>
        <v/>
      </c>
      <c r="N204" s="144" t="str">
        <f>IF(AND('Mapa final'!$AB$71="Muy Baja",'Mapa final'!$AD$71="Menor"),CONCATENATE("R22C",'Mapa final'!$R$71),"")</f>
        <v/>
      </c>
      <c r="O204" s="128" t="str">
        <f>IF(AND('Mapa final'!$AB$72="Muy Baja",'Mapa final'!$AD$72="Menor"),CONCATENATE("R2C",'Mapa final'!$R$72),"")</f>
        <v/>
      </c>
      <c r="P204" s="119" t="str">
        <f>IF(AND('Mapa final'!$AB$70="Muy Baja",'Mapa final'!$AD$70="Moderado"),CONCATENATE("R22C",'Mapa final'!$R$70),"")</f>
        <v/>
      </c>
      <c r="Q204" s="143" t="str">
        <f>IF(AND('Mapa final'!$AB$71="Muy Baja",'Mapa final'!$AD$71="Moderado"),CONCATENATE("R22C",'Mapa final'!$R$71),"")</f>
        <v/>
      </c>
      <c r="R204" s="120" t="str">
        <f>IF(AND('Mapa final'!$AB$72="Muy Baja",'Mapa final'!$AD$72="Moderado"),CONCATENATE("R2C",'Mapa final'!$R$72),"")</f>
        <v/>
      </c>
      <c r="S204" s="148" t="str">
        <f>IF(AND('Mapa final'!$AB$70="Muy Baja",'Mapa final'!$AD$70="Mayor"),CONCATENATE("R22C",'Mapa final'!$R$70),"")</f>
        <v/>
      </c>
      <c r="T204" s="149" t="str">
        <f>IF(AND('Mapa final'!$AB$71="Muy Baja",'Mapa final'!$AD$71="Mayor"),CONCATENATE("R22C",'Mapa final'!$R$71),"")</f>
        <v/>
      </c>
      <c r="U204" s="150" t="str">
        <f>IF(AND('Mapa final'!$AB$72="Muy Baja",'Mapa final'!$AD$72="Mayor"),CONCATENATE("R2C",'Mapa final'!$R$72),"")</f>
        <v/>
      </c>
      <c r="V204" s="114" t="str">
        <f>IF(AND('Mapa final'!$AB$70="Muy Baja",'Mapa final'!$AD$70="Catastrófico"),CONCATENATE("R22C",'Mapa final'!$R$70),"")</f>
        <v/>
      </c>
      <c r="W204" s="142" t="str">
        <f>IF(AND('Mapa final'!$AB$71="Muy Baja",'Mapa final'!$AD$71="Catastrófico"),CONCATENATE("R22C",'Mapa final'!$R$71),"")</f>
        <v/>
      </c>
      <c r="X204" s="115" t="str">
        <f>IF(AND('Mapa final'!$AB$72="Muy Baja",'Mapa final'!$AD$72="Catastrófico"),CONCATENATE("R2C",'Mapa final'!$R$72),"")</f>
        <v/>
      </c>
      <c r="Y204" s="38"/>
      <c r="Z204" s="38"/>
      <c r="AA204" s="38"/>
      <c r="AB204" s="38"/>
      <c r="AC204" s="38"/>
      <c r="AD204" s="38"/>
      <c r="AE204" s="38"/>
      <c r="AF204" s="38"/>
      <c r="AG204" s="38"/>
      <c r="AH204" s="38"/>
      <c r="AI204" s="38"/>
      <c r="AJ204" s="38"/>
      <c r="AK204" s="38"/>
      <c r="AL204" s="38"/>
      <c r="AM204" s="38"/>
      <c r="AN204" s="38"/>
      <c r="AO204" s="38"/>
      <c r="AP204" s="38"/>
      <c r="AQ204" s="38"/>
      <c r="AR204" s="38"/>
      <c r="AS204" s="38"/>
      <c r="AT204" s="38"/>
      <c r="AU204" s="38"/>
      <c r="AV204" s="38"/>
      <c r="AW204" s="38"/>
      <c r="AX204" s="38"/>
      <c r="AY204" s="38"/>
      <c r="AZ204" s="38"/>
      <c r="BA204" s="38"/>
      <c r="BB204" s="38"/>
      <c r="BC204" s="38"/>
      <c r="BD204" s="38"/>
      <c r="BE204" s="38"/>
      <c r="BF204" s="38"/>
      <c r="BG204" s="38"/>
      <c r="BH204" s="38"/>
      <c r="BI204" s="38"/>
      <c r="BJ204" s="38"/>
      <c r="BK204" s="38"/>
      <c r="BL204" s="38"/>
      <c r="BM204" s="38"/>
    </row>
    <row r="205" spans="1:65" ht="15.6" x14ac:dyDescent="0.3">
      <c r="A205" s="38"/>
      <c r="B205" s="306"/>
      <c r="C205" s="307"/>
      <c r="D205" s="308"/>
      <c r="E205" s="288"/>
      <c r="F205" s="289"/>
      <c r="G205" s="289"/>
      <c r="H205" s="289"/>
      <c r="I205" s="313"/>
      <c r="J205" s="127" t="str">
        <f>IF(AND('Mapa final'!$AB$73="Muy Baja",'Mapa final'!$AD$73="Leve"),CONCATENATE("R23C",'Mapa final'!$R$73),"")</f>
        <v/>
      </c>
      <c r="K205" s="144" t="str">
        <f>IF(AND('Mapa final'!$AB$74="Muy Baja",'Mapa final'!$AD$74="Leve"),CONCATENATE("R23C",'Mapa final'!$R$74),"")</f>
        <v/>
      </c>
      <c r="L205" s="128" t="str">
        <f>IF(AND('Mapa final'!$AB$75="Muy Baja",'Mapa final'!$AD$75="Leve"),CONCATENATE("R23C",'Mapa final'!$R$75),"")</f>
        <v/>
      </c>
      <c r="M205" s="127" t="str">
        <f>IF(AND('Mapa final'!$AB$73="Muy Baja",'Mapa final'!$AD$73="Menor"),CONCATENATE("R23C",'Mapa final'!$R$73),"")</f>
        <v/>
      </c>
      <c r="N205" s="144" t="str">
        <f>IF(AND('Mapa final'!$AB$74="Muy Baja",'Mapa final'!$AD$74="Menor"),CONCATENATE("R23C",'Mapa final'!$R$74),"")</f>
        <v/>
      </c>
      <c r="O205" s="128" t="str">
        <f>IF(AND('Mapa final'!$AB$75="Muy Baja",'Mapa final'!$AD$75="Menor"),CONCATENATE("R23C",'Mapa final'!$R$75),"")</f>
        <v/>
      </c>
      <c r="P205" s="119" t="str">
        <f>IF(AND('Mapa final'!$AB$73="Muy Baja",'Mapa final'!$AD$73="Moderado"),CONCATENATE("R23C",'Mapa final'!$R$73),"")</f>
        <v/>
      </c>
      <c r="Q205" s="143" t="str">
        <f>IF(AND('Mapa final'!$AB$74="Muy Baja",'Mapa final'!$AD$74="Moderado"),CONCATENATE("R23C",'Mapa final'!$R$74),"")</f>
        <v/>
      </c>
      <c r="R205" s="120" t="str">
        <f>IF(AND('Mapa final'!$AB$75="Muy Baja",'Mapa final'!$AD$75="Moderado"),CONCATENATE("R23C",'Mapa final'!$R$75),"")</f>
        <v/>
      </c>
      <c r="S205" s="148" t="str">
        <f>IF(AND('Mapa final'!$AB$73="Muy Baja",'Mapa final'!$AD$73="Mayor"),CONCATENATE("R23C",'Mapa final'!$R$73),"")</f>
        <v/>
      </c>
      <c r="T205" s="149" t="str">
        <f>IF(AND('Mapa final'!$AB$74="Muy Baja",'Mapa final'!$AD$74="Mayor"),CONCATENATE("R23C",'Mapa final'!$R$74),"")</f>
        <v/>
      </c>
      <c r="U205" s="150" t="str">
        <f>IF(AND('Mapa final'!$AB$75="Muy Baja",'Mapa final'!$AD$75="Mayor"),CONCATENATE("R23C",'Mapa final'!$R$75),"")</f>
        <v/>
      </c>
      <c r="V205" s="114" t="str">
        <f>IF(AND('Mapa final'!$AB$73="Muy Baja",'Mapa final'!$AD$73="Catastrófico"),CONCATENATE("R23C",'Mapa final'!$R$73),"")</f>
        <v/>
      </c>
      <c r="W205" s="142" t="str">
        <f>IF(AND('Mapa final'!$AB$74="Muy Baja",'Mapa final'!$AD$74="Catastrófico"),CONCATENATE("R23C",'Mapa final'!$R$74),"")</f>
        <v/>
      </c>
      <c r="X205" s="115" t="str">
        <f>IF(AND('Mapa final'!$AB$75="Muy Baja",'Mapa final'!$AD$75="Catastrófico"),CONCATENATE("R23C",'Mapa final'!$R$75),"")</f>
        <v/>
      </c>
      <c r="Y205" s="38"/>
      <c r="Z205" s="38"/>
      <c r="AA205" s="38"/>
      <c r="AB205" s="38"/>
      <c r="AC205" s="38"/>
      <c r="AD205" s="38"/>
      <c r="AE205" s="38"/>
      <c r="AF205" s="38"/>
      <c r="AG205" s="38"/>
      <c r="AH205" s="38"/>
      <c r="AI205" s="38"/>
      <c r="AJ205" s="38"/>
      <c r="AK205" s="38"/>
      <c r="AL205" s="38"/>
      <c r="AM205" s="38"/>
      <c r="AN205" s="38"/>
      <c r="AO205" s="38"/>
      <c r="AP205" s="38"/>
      <c r="AQ205" s="38"/>
      <c r="AR205" s="38"/>
      <c r="AS205" s="38"/>
      <c r="AT205" s="38"/>
      <c r="AU205" s="38"/>
      <c r="AV205" s="38"/>
      <c r="AW205" s="38"/>
      <c r="AX205" s="38"/>
      <c r="AY205" s="38"/>
      <c r="AZ205" s="38"/>
      <c r="BA205" s="38"/>
      <c r="BB205" s="38"/>
      <c r="BC205" s="38"/>
      <c r="BD205" s="38"/>
      <c r="BE205" s="38"/>
      <c r="BF205" s="38"/>
      <c r="BG205" s="38"/>
      <c r="BH205" s="38"/>
      <c r="BI205" s="38"/>
      <c r="BJ205" s="38"/>
      <c r="BK205" s="38"/>
      <c r="BL205" s="38"/>
      <c r="BM205" s="38"/>
    </row>
    <row r="206" spans="1:65" ht="15.6" x14ac:dyDescent="0.3">
      <c r="A206" s="38"/>
      <c r="B206" s="306"/>
      <c r="C206" s="307"/>
      <c r="D206" s="308"/>
      <c r="E206" s="288"/>
      <c r="F206" s="289"/>
      <c r="G206" s="289"/>
      <c r="H206" s="289"/>
      <c r="I206" s="313"/>
      <c r="J206" s="127" t="str">
        <f>IF(AND('Mapa final'!$AB$76="Muy Baja",'Mapa final'!$AD$76="Leve"),CONCATENATE("R24C",'Mapa final'!$R$76),"")</f>
        <v/>
      </c>
      <c r="K206" s="144" t="str">
        <f>IF(AND('Mapa final'!$AB$77="Muy Baja",'Mapa final'!$AD$77="Leve"),CONCATENATE("R24C",'Mapa final'!$R$77),"")</f>
        <v/>
      </c>
      <c r="L206" s="128" t="str">
        <f>IF(AND('Mapa final'!$AB$78="Muy Baja",'Mapa final'!$AD$78="Leve"),CONCATENATE("R24C",'Mapa final'!$R$78),"")</f>
        <v/>
      </c>
      <c r="M206" s="127" t="str">
        <f>IF(AND('Mapa final'!$AB$76="Muy Baja",'Mapa final'!$AD$76="Menor"),CONCATENATE("R24C",'Mapa final'!$R$76),"")</f>
        <v/>
      </c>
      <c r="N206" s="144" t="str">
        <f>IF(AND('Mapa final'!$AB$77="Muy Baja",'Mapa final'!$AD$77="Menor"),CONCATENATE("R24C",'Mapa final'!$R$77),"")</f>
        <v/>
      </c>
      <c r="O206" s="128" t="str">
        <f>IF(AND('Mapa final'!$AB$78="Muy Baja",'Mapa final'!$AD$78="Menor"),CONCATENATE("R24C",'Mapa final'!$R$78),"")</f>
        <v/>
      </c>
      <c r="P206" s="119" t="str">
        <f>IF(AND('Mapa final'!$AB$76="Muy Baja",'Mapa final'!$AD$76="Moderado"),CONCATENATE("R24C",'Mapa final'!$R$76),"")</f>
        <v/>
      </c>
      <c r="Q206" s="143" t="str">
        <f>IF(AND('Mapa final'!$AB$77="Muy Baja",'Mapa final'!$AD$77="Moderado"),CONCATENATE("R24C",'Mapa final'!$R$77),"")</f>
        <v/>
      </c>
      <c r="R206" s="120" t="str">
        <f>IF(AND('Mapa final'!$AB$78="Muy Baja",'Mapa final'!$AD$78="Moderado"),CONCATENATE("R24C",'Mapa final'!$R$78),"")</f>
        <v/>
      </c>
      <c r="S206" s="148" t="str">
        <f>IF(AND('Mapa final'!$AB$76="Muy Baja",'Mapa final'!$AD$76="Mayor"),CONCATENATE("R24C",'Mapa final'!$R$76),"")</f>
        <v/>
      </c>
      <c r="T206" s="149" t="str">
        <f>IF(AND('Mapa final'!$AB$77="Muy Baja",'Mapa final'!$AD$77="Mayor"),CONCATENATE("R24C",'Mapa final'!$R$77),"")</f>
        <v/>
      </c>
      <c r="U206" s="150" t="str">
        <f>IF(AND('Mapa final'!$AB$78="Muy Baja",'Mapa final'!$AD$78="Mayor"),CONCATENATE("R24C",'Mapa final'!$R$78),"")</f>
        <v/>
      </c>
      <c r="V206" s="114" t="str">
        <f>IF(AND('Mapa final'!$AB$76="Muy Baja",'Mapa final'!$AD$76="Catastrófico"),CONCATENATE("R24C",'Mapa final'!$R$76),"")</f>
        <v/>
      </c>
      <c r="W206" s="142" t="str">
        <f>IF(AND('Mapa final'!$AB$77="Muy Baja",'Mapa final'!$AD$77="Catastrófico"),CONCATENATE("R24C",'Mapa final'!$R$77),"")</f>
        <v/>
      </c>
      <c r="X206" s="115" t="str">
        <f>IF(AND('Mapa final'!$AB$78="Muy Baja",'Mapa final'!$AD$78="Catastrófico"),CONCATENATE("R24C",'Mapa final'!$R$78),"")</f>
        <v/>
      </c>
      <c r="Y206" s="38"/>
      <c r="Z206" s="38"/>
      <c r="AA206" s="38"/>
      <c r="AB206" s="38"/>
      <c r="AC206" s="38"/>
      <c r="AD206" s="38"/>
      <c r="AE206" s="38"/>
      <c r="AF206" s="38"/>
      <c r="AG206" s="38"/>
      <c r="AH206" s="38"/>
      <c r="AI206" s="38"/>
      <c r="AJ206" s="38"/>
      <c r="AK206" s="38"/>
      <c r="AL206" s="38"/>
      <c r="AM206" s="38"/>
      <c r="AN206" s="38"/>
      <c r="AO206" s="38"/>
      <c r="AP206" s="38"/>
      <c r="AQ206" s="38"/>
      <c r="AR206" s="38"/>
      <c r="AS206" s="38"/>
      <c r="AT206" s="38"/>
      <c r="AU206" s="38"/>
      <c r="AV206" s="38"/>
      <c r="AW206" s="38"/>
      <c r="AX206" s="38"/>
      <c r="AY206" s="38"/>
      <c r="AZ206" s="38"/>
      <c r="BA206" s="38"/>
      <c r="BB206" s="38"/>
      <c r="BC206" s="38"/>
      <c r="BD206" s="38"/>
      <c r="BE206" s="38"/>
      <c r="BF206" s="38"/>
      <c r="BG206" s="38"/>
      <c r="BH206" s="38"/>
      <c r="BI206" s="38"/>
      <c r="BJ206" s="38"/>
      <c r="BK206" s="38"/>
      <c r="BL206" s="38"/>
      <c r="BM206" s="38"/>
    </row>
    <row r="207" spans="1:65" ht="15.6" x14ac:dyDescent="0.3">
      <c r="A207" s="38"/>
      <c r="B207" s="306"/>
      <c r="C207" s="307"/>
      <c r="D207" s="308"/>
      <c r="E207" s="288"/>
      <c r="F207" s="289"/>
      <c r="G207" s="289"/>
      <c r="H207" s="289"/>
      <c r="I207" s="313"/>
      <c r="J207" s="127" t="str">
        <f>IF(AND('Mapa final'!$AB$79="Muy Baja",'Mapa final'!$AD$79="Leve"),CONCATENATE("R25C",'Mapa final'!$R$79),"")</f>
        <v/>
      </c>
      <c r="K207" s="144" t="str">
        <f>IF(AND('Mapa final'!$AB$80="Muy Baja",'Mapa final'!$AD$80="Leve"),CONCATENATE("R25C",'Mapa final'!$R$80),"")</f>
        <v/>
      </c>
      <c r="L207" s="128" t="str">
        <f>IF(AND('Mapa final'!$AB$81="Muy Baja",'Mapa final'!$AD$81="Leve"),CONCATENATE("R25C",'Mapa final'!$R$81),"")</f>
        <v/>
      </c>
      <c r="M207" s="127" t="str">
        <f>IF(AND('Mapa final'!$AB$79="Muy Baja",'Mapa final'!$AD$79="Menor"),CONCATENATE("R25C",'Mapa final'!$R$79),"")</f>
        <v/>
      </c>
      <c r="N207" s="144" t="str">
        <f>IF(AND('Mapa final'!$AB$80="Muy Baja",'Mapa final'!$AD$80="Menor"),CONCATENATE("R25C",'Mapa final'!$R$80),"")</f>
        <v/>
      </c>
      <c r="O207" s="128" t="str">
        <f>IF(AND('Mapa final'!$AB$81="Muy Baja",'Mapa final'!$AD$81="Menor"),CONCATENATE("R25C",'Mapa final'!$R$81),"")</f>
        <v/>
      </c>
      <c r="P207" s="119" t="str">
        <f>IF(AND('Mapa final'!$AB$79="Muy Baja",'Mapa final'!$AD$79="Moderado"),CONCATENATE("R25C",'Mapa final'!$R$79),"")</f>
        <v/>
      </c>
      <c r="Q207" s="143" t="str">
        <f>IF(AND('Mapa final'!$AB$80="Muy Baja",'Mapa final'!$AD$80="Moderado"),CONCATENATE("R25C",'Mapa final'!$R$80),"")</f>
        <v/>
      </c>
      <c r="R207" s="120" t="str">
        <f>IF(AND('Mapa final'!$AB$81="Muy Baja",'Mapa final'!$AD$81="Moderado"),CONCATENATE("R25C",'Mapa final'!$R$81),"")</f>
        <v/>
      </c>
      <c r="S207" s="148" t="str">
        <f>IF(AND('Mapa final'!$AB$79="Muy Baja",'Mapa final'!$AD$79="Mayor"),CONCATENATE("R25C",'Mapa final'!$R$79),"")</f>
        <v/>
      </c>
      <c r="T207" s="149" t="str">
        <f>IF(AND('Mapa final'!$AB$80="Muy Baja",'Mapa final'!$AD$80="Mayor"),CONCATENATE("R25C",'Mapa final'!$R$80),"")</f>
        <v/>
      </c>
      <c r="U207" s="150" t="str">
        <f>IF(AND('Mapa final'!$AB$81="Muy Baja",'Mapa final'!$AD$81="Mayor"),CONCATENATE("R25C",'Mapa final'!$R$81),"")</f>
        <v/>
      </c>
      <c r="V207" s="114" t="str">
        <f>IF(AND('Mapa final'!$AB$79="Muy Baja",'Mapa final'!$AD$79="Catastrófico"),CONCATENATE("R25C",'Mapa final'!$R$79),"")</f>
        <v/>
      </c>
      <c r="W207" s="142" t="str">
        <f>IF(AND('Mapa final'!$AB$80="Muy Baja",'Mapa final'!$AD$80="Catastrófico"),CONCATENATE("R25C",'Mapa final'!$R$80),"")</f>
        <v/>
      </c>
      <c r="X207" s="115" t="str">
        <f>IF(AND('Mapa final'!$AB$81="Muy Baja",'Mapa final'!$AD$81="Catastrófico"),CONCATENATE("R25C",'Mapa final'!$R$81),"")</f>
        <v/>
      </c>
      <c r="Y207" s="38"/>
      <c r="Z207" s="38"/>
      <c r="AA207" s="38"/>
      <c r="AB207" s="38"/>
      <c r="AC207" s="38"/>
      <c r="AD207" s="38"/>
      <c r="AE207" s="38"/>
      <c r="AF207" s="38"/>
      <c r="AG207" s="38"/>
      <c r="AH207" s="38"/>
      <c r="AI207" s="38"/>
      <c r="AJ207" s="38"/>
      <c r="AK207" s="38"/>
      <c r="AL207" s="38"/>
      <c r="AM207" s="38"/>
      <c r="AN207" s="38"/>
      <c r="AO207" s="38"/>
      <c r="AP207" s="38"/>
      <c r="AQ207" s="38"/>
      <c r="AR207" s="38"/>
      <c r="AS207" s="38"/>
      <c r="AT207" s="38"/>
      <c r="AU207" s="38"/>
      <c r="AV207" s="38"/>
      <c r="AW207" s="38"/>
      <c r="AX207" s="38"/>
      <c r="AY207" s="38"/>
      <c r="AZ207" s="38"/>
      <c r="BA207" s="38"/>
      <c r="BB207" s="38"/>
      <c r="BC207" s="38"/>
      <c r="BD207" s="38"/>
      <c r="BE207" s="38"/>
      <c r="BF207" s="38"/>
      <c r="BG207" s="38"/>
      <c r="BH207" s="38"/>
      <c r="BI207" s="38"/>
      <c r="BJ207" s="38"/>
      <c r="BK207" s="38"/>
      <c r="BL207" s="38"/>
      <c r="BM207" s="38"/>
    </row>
    <row r="208" spans="1:65" ht="15.6" x14ac:dyDescent="0.3">
      <c r="A208" s="38"/>
      <c r="B208" s="306"/>
      <c r="C208" s="307"/>
      <c r="D208" s="308"/>
      <c r="E208" s="288"/>
      <c r="F208" s="289"/>
      <c r="G208" s="289"/>
      <c r="H208" s="289"/>
      <c r="I208" s="313"/>
      <c r="J208" s="127" t="str">
        <f>IF(AND('Mapa final'!$AB$82="Muy Baja",'Mapa final'!$AD$82="Leve"),CONCATENATE("R26C",'Mapa final'!$R$82),"")</f>
        <v>R26C1</v>
      </c>
      <c r="K208" s="144" t="str">
        <f>IF(AND('Mapa final'!$AB$83="Muy Baja",'Mapa final'!$AD$83="Leve"),CONCATENATE("R26C",'Mapa final'!$R$83),"")</f>
        <v/>
      </c>
      <c r="L208" s="128" t="str">
        <f>IF(AND('Mapa final'!$AB$84="Muy Baja",'Mapa final'!$AD$84="Leve"),CONCATENATE("R26C",'Mapa final'!$R$84),"")</f>
        <v/>
      </c>
      <c r="M208" s="127" t="str">
        <f>IF(AND('Mapa final'!$AB$82="Muy Baja",'Mapa final'!$AD$82="Menor"),CONCATENATE("R26C",'Mapa final'!$R$82),"")</f>
        <v/>
      </c>
      <c r="N208" s="144" t="str">
        <f>IF(AND('Mapa final'!$AB$83="Muy Baja",'Mapa final'!$AD$83="Menor"),CONCATENATE("R26C",'Mapa final'!$R$83),"")</f>
        <v/>
      </c>
      <c r="O208" s="128" t="str">
        <f>IF(AND('Mapa final'!$AB$84="Muy Baja",'Mapa final'!$AD$84="Menor"),CONCATENATE("R26C",'Mapa final'!$R$84),"")</f>
        <v/>
      </c>
      <c r="P208" s="119" t="str">
        <f>IF(AND('Mapa final'!$AB$82="Muy Baja",'Mapa final'!$AD$82="Moderado"),CONCATENATE("R26C",'Mapa final'!$R$82),"")</f>
        <v/>
      </c>
      <c r="Q208" s="143" t="str">
        <f>IF(AND('Mapa final'!$AB$83="Muy Baja",'Mapa final'!$AD$83="Moderado"),CONCATENATE("R26C",'Mapa final'!$R$83),"")</f>
        <v/>
      </c>
      <c r="R208" s="120" t="str">
        <f>IF(AND('Mapa final'!$AB$84="Muy Baja",'Mapa final'!$AD$84="Moderado"),CONCATENATE("R26C",'Mapa final'!$R$84),"")</f>
        <v/>
      </c>
      <c r="S208" s="148" t="str">
        <f>IF(AND('Mapa final'!$AB$82="Muy Baja",'Mapa final'!$AD$82="Mayor"),CONCATENATE("R26C",'Mapa final'!$R$82),"")</f>
        <v/>
      </c>
      <c r="T208" s="149" t="str">
        <f>IF(AND('Mapa final'!$AB$83="Muy Baja",'Mapa final'!$AD$83="Mayor"),CONCATENATE("R26C",'Mapa final'!$R$83),"")</f>
        <v/>
      </c>
      <c r="U208" s="150" t="str">
        <f>IF(AND('Mapa final'!$AB$84="Muy Baja",'Mapa final'!$AD$84="Mayor"),CONCATENATE("R26C",'Mapa final'!$R$84),"")</f>
        <v/>
      </c>
      <c r="V208" s="114" t="str">
        <f>IF(AND('Mapa final'!$AB$82="Muy Baja",'Mapa final'!$AD$82="Catastrófico"),CONCATENATE("R26C",'Mapa final'!$R$82),"")</f>
        <v/>
      </c>
      <c r="W208" s="142" t="str">
        <f>IF(AND('Mapa final'!$AB$83="Muy Baja",'Mapa final'!$AD$83="Catastrófico"),CONCATENATE("R26C",'Mapa final'!$R$83),"")</f>
        <v/>
      </c>
      <c r="X208" s="115" t="str">
        <f>IF(AND('Mapa final'!$AB$84="Muy Baja",'Mapa final'!$AD$84="Catastrófico"),CONCATENATE("R26C",'Mapa final'!$R$84),"")</f>
        <v/>
      </c>
      <c r="Y208" s="38"/>
      <c r="Z208" s="38"/>
      <c r="AA208" s="38"/>
      <c r="AB208" s="38"/>
      <c r="AC208" s="38"/>
      <c r="AD208" s="38"/>
      <c r="AE208" s="38"/>
      <c r="AF208" s="38"/>
      <c r="AG208" s="38"/>
      <c r="AH208" s="38"/>
      <c r="AI208" s="38"/>
      <c r="AJ208" s="38"/>
      <c r="AK208" s="38"/>
      <c r="AL208" s="38"/>
      <c r="AM208" s="38"/>
      <c r="AN208" s="38"/>
      <c r="AO208" s="38"/>
      <c r="AP208" s="38"/>
      <c r="AQ208" s="38"/>
      <c r="AR208" s="38"/>
      <c r="AS208" s="38"/>
      <c r="AT208" s="38"/>
      <c r="AU208" s="38"/>
      <c r="AV208" s="38"/>
      <c r="AW208" s="38"/>
      <c r="AX208" s="38"/>
      <c r="AY208" s="38"/>
      <c r="AZ208" s="38"/>
      <c r="BA208" s="38"/>
      <c r="BB208" s="38"/>
      <c r="BC208" s="38"/>
      <c r="BD208" s="38"/>
      <c r="BE208" s="38"/>
      <c r="BF208" s="38"/>
      <c r="BG208" s="38"/>
      <c r="BH208" s="38"/>
      <c r="BI208" s="38"/>
      <c r="BJ208" s="38"/>
      <c r="BK208" s="38"/>
      <c r="BL208" s="38"/>
      <c r="BM208" s="38"/>
    </row>
    <row r="209" spans="1:65" ht="15.6" x14ac:dyDescent="0.3">
      <c r="A209" s="38"/>
      <c r="B209" s="306"/>
      <c r="C209" s="307"/>
      <c r="D209" s="308"/>
      <c r="E209" s="288"/>
      <c r="F209" s="289"/>
      <c r="G209" s="289"/>
      <c r="H209" s="289"/>
      <c r="I209" s="313"/>
      <c r="J209" s="127" t="str">
        <f>IF(AND('Mapa final'!$AB$85="Muy Baja",'Mapa final'!$AD$85="Leve"),CONCATENATE("R27C",'Mapa final'!$R$85),"")</f>
        <v/>
      </c>
      <c r="K209" s="144" t="str">
        <f>IF(AND('Mapa final'!$AB$86="Muy Baja",'Mapa final'!$AD$86="Leve"),CONCATENATE("R27C",'Mapa final'!$R$86),"")</f>
        <v/>
      </c>
      <c r="L209" s="128" t="str">
        <f>IF(AND('Mapa final'!$AB$87="Muy Baja",'Mapa final'!$AD$87="Leve"),CONCATENATE("R27C",'Mapa final'!$R$87),"")</f>
        <v/>
      </c>
      <c r="M209" s="127" t="str">
        <f>IF(AND('Mapa final'!$AB$85="Muy Baja",'Mapa final'!$AD$85="Menor"),CONCATENATE("R27C",'Mapa final'!$R$85),"")</f>
        <v/>
      </c>
      <c r="N209" s="144" t="str">
        <f>IF(AND('Mapa final'!$AB$86="Muy Baja",'Mapa final'!$AD$86="Menor"),CONCATENATE("R27C",'Mapa final'!$R$86),"")</f>
        <v/>
      </c>
      <c r="O209" s="128" t="str">
        <f>IF(AND('Mapa final'!$AB$87="Muy Baja",'Mapa final'!$AD$87="Menor"),CONCATENATE("R27C",'Mapa final'!$R$87),"")</f>
        <v/>
      </c>
      <c r="P209" s="119" t="str">
        <f>IF(AND('Mapa final'!$AB$85="Muy Baja",'Mapa final'!$AD$85="Moderado"),CONCATENATE("R27C",'Mapa final'!$R$85),"")</f>
        <v/>
      </c>
      <c r="Q209" s="143" t="str">
        <f>IF(AND('Mapa final'!$AB$86="Muy Baja",'Mapa final'!$AD$86="Moderado"),CONCATENATE("R27C",'Mapa final'!$R$86),"")</f>
        <v/>
      </c>
      <c r="R209" s="120" t="str">
        <f>IF(AND('Mapa final'!$AB$87="Muy Baja",'Mapa final'!$AD$87="Moderado"),CONCATENATE("R27C",'Mapa final'!$R$87),"")</f>
        <v/>
      </c>
      <c r="S209" s="148" t="str">
        <f>IF(AND('Mapa final'!$AB$85="Muy Baja",'Mapa final'!$AD$85="Mayor"),CONCATENATE("R27C",'Mapa final'!$R$85),"")</f>
        <v/>
      </c>
      <c r="T209" s="149" t="str">
        <f>IF(AND('Mapa final'!$AB$86="Muy Baja",'Mapa final'!$AD$86="Mayor"),CONCATENATE("R27C",'Mapa final'!$R$86),"")</f>
        <v/>
      </c>
      <c r="U209" s="150" t="str">
        <f>IF(AND('Mapa final'!$AB$87="Muy Baja",'Mapa final'!$AD$87="Mayor"),CONCATENATE("R27C",'Mapa final'!$R$87),"")</f>
        <v/>
      </c>
      <c r="V209" s="114" t="str">
        <f>IF(AND('Mapa final'!$AB$85="Muy Baja",'Mapa final'!$AD$85="Catastrófico"),CONCATENATE("R27C",'Mapa final'!$R$85),"")</f>
        <v/>
      </c>
      <c r="W209" s="142" t="str">
        <f>IF(AND('Mapa final'!$AB$86="Muy Baja",'Mapa final'!$AD$86="Catastrófico"),CONCATENATE("R27C",'Mapa final'!$R$86),"")</f>
        <v/>
      </c>
      <c r="X209" s="115" t="str">
        <f>IF(AND('Mapa final'!$AB$87="Muy Baja",'Mapa final'!$AD$87="Catastrófico"),CONCATENATE("R27C",'Mapa final'!$R$87),"")</f>
        <v/>
      </c>
      <c r="Y209" s="38"/>
      <c r="Z209" s="38"/>
      <c r="AA209" s="38"/>
      <c r="AB209" s="38"/>
      <c r="AC209" s="38"/>
      <c r="AD209" s="38"/>
      <c r="AE209" s="38"/>
      <c r="AF209" s="38"/>
      <c r="AG209" s="38"/>
      <c r="AH209" s="38"/>
      <c r="AI209" s="38"/>
      <c r="AJ209" s="38"/>
      <c r="AK209" s="38"/>
      <c r="AL209" s="38"/>
      <c r="AM209" s="38"/>
      <c r="AN209" s="38"/>
      <c r="AO209" s="38"/>
      <c r="AP209" s="38"/>
      <c r="AQ209" s="38"/>
      <c r="AR209" s="38"/>
      <c r="AS209" s="38"/>
      <c r="AT209" s="38"/>
      <c r="AU209" s="38"/>
      <c r="AV209" s="38"/>
      <c r="AW209" s="38"/>
      <c r="AX209" s="38"/>
      <c r="AY209" s="38"/>
      <c r="AZ209" s="38"/>
      <c r="BA209" s="38"/>
      <c r="BB209" s="38"/>
      <c r="BC209" s="38"/>
      <c r="BD209" s="38"/>
      <c r="BE209" s="38"/>
      <c r="BF209" s="38"/>
      <c r="BG209" s="38"/>
      <c r="BH209" s="38"/>
      <c r="BI209" s="38"/>
      <c r="BJ209" s="38"/>
      <c r="BK209" s="38"/>
      <c r="BL209" s="38"/>
      <c r="BM209" s="38"/>
    </row>
    <row r="210" spans="1:65" ht="15" customHeight="1" x14ac:dyDescent="0.3">
      <c r="A210" s="38"/>
      <c r="B210" s="306"/>
      <c r="C210" s="307"/>
      <c r="D210" s="308"/>
      <c r="E210" s="288"/>
      <c r="F210" s="289"/>
      <c r="G210" s="289"/>
      <c r="H210" s="289"/>
      <c r="I210" s="313"/>
      <c r="J210" s="127" t="str">
        <f>IF(AND('Mapa final'!$AB$88="Muy Baja",'Mapa final'!$AD$88="Leve"),CONCATENATE("R28C",'Mapa final'!$R$88),"")</f>
        <v/>
      </c>
      <c r="K210" s="144" t="str">
        <f>IF(AND('Mapa final'!$AB$89="Muy Baja",'Mapa final'!$AD$89="Leve"),CONCATENATE("R28C",'Mapa final'!$R$89),"")</f>
        <v/>
      </c>
      <c r="L210" s="128" t="str">
        <f>IF(AND('Mapa final'!$AB$90="Muy Baja",'Mapa final'!$AD$90="Leve"),CONCATENATE("R28C",'Mapa final'!$R$90),"")</f>
        <v/>
      </c>
      <c r="M210" s="127" t="str">
        <f>IF(AND('Mapa final'!$AB$88="Muy Baja",'Mapa final'!$AD$88="Menor"),CONCATENATE("R28C",'Mapa final'!$R$88),"")</f>
        <v/>
      </c>
      <c r="N210" s="144" t="str">
        <f>IF(AND('Mapa final'!$AB$89="Muy Baja",'Mapa final'!$AD$89="Menor"),CONCATENATE("R28C",'Mapa final'!$R$89),"")</f>
        <v/>
      </c>
      <c r="O210" s="128" t="str">
        <f>IF(AND('Mapa final'!$AB$90="Muy Baja",'Mapa final'!$AD$90="Menor"),CONCATENATE("R28C",'Mapa final'!$R$90),"")</f>
        <v/>
      </c>
      <c r="P210" s="119" t="str">
        <f>IF(AND('Mapa final'!$AB$88="Muy Baja",'Mapa final'!$AD$88="Moderado"),CONCATENATE("R28C",'Mapa final'!$R$88),"")</f>
        <v/>
      </c>
      <c r="Q210" s="143" t="str">
        <f>IF(AND('Mapa final'!$AB$89="Muy Baja",'Mapa final'!$AD$89="Moderado"),CONCATENATE("R28C",'Mapa final'!$R$89),"")</f>
        <v/>
      </c>
      <c r="R210" s="120" t="str">
        <f>IF(AND('Mapa final'!$AB$90="Muy Baja",'Mapa final'!$AD$90="Moderado"),CONCATENATE("R28C",'Mapa final'!$R$90),"")</f>
        <v/>
      </c>
      <c r="S210" s="148" t="str">
        <f>IF(AND('Mapa final'!$AB$88="Muy Baja",'Mapa final'!$AD$88="Mayor"),CONCATENATE("R28C",'Mapa final'!$R$88),"")</f>
        <v/>
      </c>
      <c r="T210" s="149" t="str">
        <f>IF(AND('Mapa final'!$AB$89="Muy Baja",'Mapa final'!$AD$89="Mayor"),CONCATENATE("R28C",'Mapa final'!$R$89),"")</f>
        <v/>
      </c>
      <c r="U210" s="150" t="str">
        <f>IF(AND('Mapa final'!$AB$90="Muy Baja",'Mapa final'!$AD$90="Mayor"),CONCATENATE("R28C",'Mapa final'!$R$90),"")</f>
        <v/>
      </c>
      <c r="V210" s="114" t="str">
        <f>IF(AND('Mapa final'!$AB$88="Muy Baja",'Mapa final'!$AD$88="Catastrófico"),CONCATENATE("R28C",'Mapa final'!$R$88),"")</f>
        <v/>
      </c>
      <c r="W210" s="142" t="str">
        <f>IF(AND('Mapa final'!$AB$89="Muy Baja",'Mapa final'!$AD$89="Catastrófico"),CONCATENATE("R28C",'Mapa final'!$R$89),"")</f>
        <v/>
      </c>
      <c r="X210" s="115" t="str">
        <f>IF(AND('Mapa final'!$AB$90="Muy Baja",'Mapa final'!$AD$90="Catastrófico"),CONCATENATE("R28C",'Mapa final'!$R$90),"")</f>
        <v/>
      </c>
      <c r="Y210" s="38"/>
      <c r="Z210" s="38"/>
      <c r="AA210" s="38"/>
      <c r="AB210" s="38"/>
      <c r="AC210" s="38"/>
      <c r="AD210" s="38"/>
      <c r="AE210" s="38"/>
      <c r="AF210" s="38"/>
      <c r="AG210" s="38"/>
      <c r="AH210" s="38"/>
      <c r="AI210" s="38"/>
      <c r="AJ210" s="38"/>
      <c r="AK210" s="38"/>
      <c r="AL210" s="38"/>
      <c r="AM210" s="38"/>
      <c r="AN210" s="38"/>
      <c r="AO210" s="38"/>
      <c r="AP210" s="38"/>
      <c r="AQ210" s="38"/>
      <c r="AR210" s="38"/>
      <c r="AS210" s="38"/>
      <c r="AT210" s="38"/>
      <c r="AU210" s="38"/>
      <c r="AV210" s="38"/>
      <c r="AW210" s="38"/>
      <c r="AX210" s="38"/>
      <c r="AY210" s="38"/>
      <c r="AZ210" s="38"/>
      <c r="BA210" s="38"/>
      <c r="BB210" s="38"/>
      <c r="BC210" s="38"/>
      <c r="BD210" s="38"/>
      <c r="BE210" s="38"/>
      <c r="BF210" s="38"/>
      <c r="BG210" s="38"/>
      <c r="BH210" s="38"/>
      <c r="BI210" s="38"/>
      <c r="BJ210" s="38"/>
      <c r="BK210" s="38"/>
      <c r="BL210" s="38"/>
      <c r="BM210" s="38"/>
    </row>
    <row r="211" spans="1:65" ht="15" customHeight="1" x14ac:dyDescent="0.3">
      <c r="A211" s="38"/>
      <c r="B211" s="306"/>
      <c r="C211" s="307"/>
      <c r="D211" s="308"/>
      <c r="E211" s="290"/>
      <c r="F211" s="289"/>
      <c r="G211" s="289"/>
      <c r="H211" s="289"/>
      <c r="I211" s="313"/>
      <c r="J211" s="127" t="str">
        <f>IF(AND('Mapa final'!$AB$91="Muy Baja",'Mapa final'!$AD$91="Leve"),CONCATENATE("R29C",'Mapa final'!$R$91),"")</f>
        <v>R29C1</v>
      </c>
      <c r="K211" s="144" t="str">
        <f>IF(AND('Mapa final'!$AB$92="Muy Baja",'Mapa final'!$AD$92="Leve"),CONCATENATE("R29C",'Mapa final'!$R$92),"")</f>
        <v/>
      </c>
      <c r="L211" s="128" t="str">
        <f>IF(AND('Mapa final'!$AB$93="Muy Baja",'Mapa final'!$AD$93="Leve"),CONCATENATE("R29C",'Mapa final'!$R$93),"")</f>
        <v/>
      </c>
      <c r="M211" s="127" t="str">
        <f>IF(AND('Mapa final'!$AB$91="Muy Baja",'Mapa final'!$AD$91="Menor"),CONCATENATE("R29C",'Mapa final'!$R$91),"")</f>
        <v/>
      </c>
      <c r="N211" s="144" t="str">
        <f>IF(AND('Mapa final'!$AB$92="Muy Baja",'Mapa final'!$AD$92="Menor"),CONCATENATE("R29C",'Mapa final'!$R$92),"")</f>
        <v/>
      </c>
      <c r="O211" s="128" t="str">
        <f>IF(AND('Mapa final'!$AB$93="Muy Baja",'Mapa final'!$AD$93="Menor"),CONCATENATE("R29C",'Mapa final'!$R$93),"")</f>
        <v/>
      </c>
      <c r="P211" s="119" t="str">
        <f>IF(AND('Mapa final'!$AB$91="Muy Baja",'Mapa final'!$AD$91="Moderado"),CONCATENATE("R29C",'Mapa final'!$R$91),"")</f>
        <v/>
      </c>
      <c r="Q211" s="143" t="str">
        <f>IF(AND('Mapa final'!$AB$92="Muy Baja",'Mapa final'!$AD$92="Moderado"),CONCATENATE("R29C",'Mapa final'!$R$92),"")</f>
        <v/>
      </c>
      <c r="R211" s="120" t="str">
        <f>IF(AND('Mapa final'!$AB$93="Muy Baja",'Mapa final'!$AD$93="Moderado"),CONCATENATE("R29C",'Mapa final'!$R$93),"")</f>
        <v/>
      </c>
      <c r="S211" s="148" t="str">
        <f>IF(AND('Mapa final'!$AB$91="Muy Baja",'Mapa final'!$AD$91="Mayor"),CONCATENATE("R29C",'Mapa final'!$R$91),"")</f>
        <v/>
      </c>
      <c r="T211" s="149" t="str">
        <f>IF(AND('Mapa final'!$AB$92="Muy Baja",'Mapa final'!$AD$92="Mayor"),CONCATENATE("R29C",'Mapa final'!$R$92),"")</f>
        <v/>
      </c>
      <c r="U211" s="150" t="str">
        <f>IF(AND('Mapa final'!$AB$93="Muy Baja",'Mapa final'!$AD$93="Mayor"),CONCATENATE("R29C",'Mapa final'!$R$93),"")</f>
        <v/>
      </c>
      <c r="V211" s="114" t="str">
        <f>IF(AND('Mapa final'!$AB$91="Muy Baja",'Mapa final'!$AD$91="Catastrófico"),CONCATENATE("R29C",'Mapa final'!$R$91),"")</f>
        <v/>
      </c>
      <c r="W211" s="142" t="str">
        <f>IF(AND('Mapa final'!$AB$92="Muy Baja",'Mapa final'!$AD$92="Catastrófico"),CONCATENATE("R29C",'Mapa final'!$R$92),"")</f>
        <v/>
      </c>
      <c r="X211" s="115" t="str">
        <f>IF(AND('Mapa final'!$AB$93="Muy Baja",'Mapa final'!$AD$93="Catastrófico"),CONCATENATE("R29C",'Mapa final'!$R$93),"")</f>
        <v/>
      </c>
      <c r="Y211" s="38"/>
      <c r="Z211" s="38"/>
      <c r="AA211" s="38"/>
      <c r="AB211" s="38"/>
      <c r="AC211" s="38"/>
      <c r="AD211" s="38"/>
      <c r="AE211" s="38"/>
      <c r="AF211" s="38"/>
      <c r="AG211" s="38"/>
      <c r="AH211" s="38"/>
      <c r="AI211" s="38"/>
      <c r="AJ211" s="38"/>
      <c r="AK211" s="38"/>
      <c r="AL211" s="38"/>
      <c r="AM211" s="38"/>
      <c r="AN211" s="38"/>
      <c r="AO211" s="38"/>
      <c r="AP211" s="38"/>
      <c r="AQ211" s="38"/>
      <c r="AR211" s="38"/>
      <c r="AS211" s="38"/>
      <c r="AT211" s="38"/>
      <c r="AU211" s="38"/>
      <c r="AV211" s="38"/>
      <c r="AW211" s="38"/>
      <c r="AX211" s="38"/>
      <c r="AY211" s="38"/>
      <c r="AZ211" s="38"/>
      <c r="BA211" s="38"/>
      <c r="BB211" s="38"/>
      <c r="BC211" s="38"/>
      <c r="BD211" s="38"/>
      <c r="BE211" s="38"/>
      <c r="BF211" s="38"/>
      <c r="BG211" s="38"/>
      <c r="BH211" s="38"/>
      <c r="BI211" s="38"/>
      <c r="BJ211" s="38"/>
      <c r="BK211" s="38"/>
      <c r="BL211" s="38"/>
      <c r="BM211" s="38"/>
    </row>
    <row r="212" spans="1:65" ht="15" customHeight="1" x14ac:dyDescent="0.3">
      <c r="A212" s="38"/>
      <c r="B212" s="306"/>
      <c r="C212" s="307"/>
      <c r="D212" s="308"/>
      <c r="E212" s="290"/>
      <c r="F212" s="289"/>
      <c r="G212" s="289"/>
      <c r="H212" s="289"/>
      <c r="I212" s="313"/>
      <c r="J212" s="127" t="str">
        <f>IF(AND('Mapa final'!$AB$94="Muy Baja",'Mapa final'!$AD$94="Leve"),CONCATENATE("R30C",'Mapa final'!$R$94),"")</f>
        <v>R30C1</v>
      </c>
      <c r="K212" s="144" t="str">
        <f>IF(AND('Mapa final'!$AB$95="Muy Baja",'Mapa final'!$AD$95="Leve"),CONCATENATE("R30C",'Mapa final'!$R$95),"")</f>
        <v/>
      </c>
      <c r="L212" s="128" t="str">
        <f>IF(AND('Mapa final'!$AB$96="Muy Baja",'Mapa final'!$AD$96="Leve"),CONCATENATE("R30C",'Mapa final'!$R$96),"")</f>
        <v/>
      </c>
      <c r="M212" s="127" t="str">
        <f>IF(AND('Mapa final'!$AB$94="Muy Baja",'Mapa final'!$AD$94="Menor"),CONCATENATE("R30C",'Mapa final'!$R$94),"")</f>
        <v/>
      </c>
      <c r="N212" s="144" t="str">
        <f>IF(AND('Mapa final'!$AB$95="Muy Baja",'Mapa final'!$AD$95="Menor"),CONCATENATE("R30C",'Mapa final'!$R$95),"")</f>
        <v/>
      </c>
      <c r="O212" s="128" t="str">
        <f>IF(AND('Mapa final'!$AB$96="Muy Baja",'Mapa final'!$AD$96="Menor"),CONCATENATE("R30C",'Mapa final'!$R$96),"")</f>
        <v/>
      </c>
      <c r="P212" s="119" t="str">
        <f>IF(AND('Mapa final'!$AB$94="Muy Baja",'Mapa final'!$AD$94="Moderado"),CONCATENATE("R30C",'Mapa final'!$R$94),"")</f>
        <v/>
      </c>
      <c r="Q212" s="143" t="str">
        <f>IF(AND('Mapa final'!$AB$95="Muy Baja",'Mapa final'!$AD$95="Moderado"),CONCATENATE("R30C",'Mapa final'!$R$95),"")</f>
        <v/>
      </c>
      <c r="R212" s="120" t="str">
        <f>IF(AND('Mapa final'!$AB$96="Muy Baja",'Mapa final'!$AD$96="Moderado"),CONCATENATE("R30C",'Mapa final'!$R$96),"")</f>
        <v/>
      </c>
      <c r="S212" s="148" t="str">
        <f>IF(AND('Mapa final'!$AB$94="Muy Baja",'Mapa final'!$AD$94="Mayor"),CONCATENATE("R30C",'Mapa final'!$R$94),"")</f>
        <v/>
      </c>
      <c r="T212" s="149" t="str">
        <f>IF(AND('Mapa final'!$AB$95="Muy Baja",'Mapa final'!$AD$95="Mayor"),CONCATENATE("R30C",'Mapa final'!$R$95),"")</f>
        <v/>
      </c>
      <c r="U212" s="150" t="str">
        <f>IF(AND('Mapa final'!$AB$96="Muy Baja",'Mapa final'!$AD$96="Mayor"),CONCATENATE("R30C",'Mapa final'!$R$96),"")</f>
        <v/>
      </c>
      <c r="V212" s="114" t="str">
        <f>IF(AND('Mapa final'!$AB$94="Muy Baja",'Mapa final'!$AD$94="Catastrófico"),CONCATENATE("R30C",'Mapa final'!$R$94),"")</f>
        <v/>
      </c>
      <c r="W212" s="142" t="str">
        <f>IF(AND('Mapa final'!$AB$95="Muy Baja",'Mapa final'!$AD$95="Catastrófico"),CONCATENATE("R30C",'Mapa final'!$R$95),"")</f>
        <v/>
      </c>
      <c r="X212" s="115" t="str">
        <f>IF(AND('Mapa final'!$AB$96="Muy Baja",'Mapa final'!$AD$96="Catastrófico"),CONCATENATE("R30C",'Mapa final'!$R$96),"")</f>
        <v/>
      </c>
      <c r="Y212" s="38"/>
      <c r="Z212" s="38"/>
      <c r="AA212" s="38"/>
      <c r="AB212" s="38"/>
      <c r="AC212" s="38"/>
      <c r="AD212" s="38"/>
      <c r="AE212" s="38"/>
      <c r="AF212" s="38"/>
      <c r="AG212" s="38"/>
      <c r="AH212" s="38"/>
      <c r="AI212" s="38"/>
      <c r="AJ212" s="38"/>
      <c r="AK212" s="38"/>
      <c r="AL212" s="38"/>
      <c r="AM212" s="38"/>
      <c r="AN212" s="38"/>
      <c r="AO212" s="38"/>
      <c r="AP212" s="38"/>
      <c r="AQ212" s="38"/>
      <c r="AR212" s="38"/>
      <c r="AS212" s="38"/>
      <c r="AT212" s="38"/>
      <c r="AU212" s="38"/>
      <c r="AV212" s="38"/>
      <c r="AW212" s="38"/>
      <c r="AX212" s="38"/>
      <c r="AY212" s="38"/>
      <c r="AZ212" s="38"/>
      <c r="BA212" s="38"/>
      <c r="BB212" s="38"/>
      <c r="BC212" s="38"/>
      <c r="BD212" s="38"/>
      <c r="BE212" s="38"/>
      <c r="BF212" s="38"/>
      <c r="BG212" s="38"/>
      <c r="BH212" s="38"/>
      <c r="BI212" s="38"/>
      <c r="BJ212" s="38"/>
      <c r="BK212" s="38"/>
      <c r="BL212" s="38"/>
      <c r="BM212" s="38"/>
    </row>
    <row r="213" spans="1:65" ht="15" customHeight="1" x14ac:dyDescent="0.3">
      <c r="A213" s="38"/>
      <c r="B213" s="306"/>
      <c r="C213" s="307"/>
      <c r="D213" s="308"/>
      <c r="E213" s="290"/>
      <c r="F213" s="289"/>
      <c r="G213" s="289"/>
      <c r="H213" s="289"/>
      <c r="I213" s="313"/>
      <c r="J213" s="127" t="str">
        <f>IF(AND('Mapa final'!$AB$97="Muy Baja",'Mapa final'!$AD$97="Leve"),CONCATENATE("R31C",'Mapa final'!$R$97),"")</f>
        <v/>
      </c>
      <c r="K213" s="144" t="str">
        <f>IF(AND('Mapa final'!$AB$98="Muy Baja",'Mapa final'!$AD$98="Leve"),CONCATENATE("R31C",'Mapa final'!$R$98),"")</f>
        <v/>
      </c>
      <c r="L213" s="128" t="str">
        <f>IF(AND('Mapa final'!$AB$99="Muy Baja",'Mapa final'!$AD$99="Leve"),CONCATENATE("R31C",'Mapa final'!$R$99),"")</f>
        <v/>
      </c>
      <c r="M213" s="127" t="str">
        <f>IF(AND('Mapa final'!$AB$97="Muy Baja",'Mapa final'!$AD$97="Menor"),CONCATENATE("R31C",'Mapa final'!$R$97),"")</f>
        <v/>
      </c>
      <c r="N213" s="144" t="str">
        <f>IF(AND('Mapa final'!$AB$98="Muy Baja",'Mapa final'!$AD$98="Menor"),CONCATENATE("R31C",'Mapa final'!$R$98),"")</f>
        <v/>
      </c>
      <c r="O213" s="128" t="str">
        <f>IF(AND('Mapa final'!$AB$99="Muy Baja",'Mapa final'!$AD$99="Menor"),CONCATENATE("R31C",'Mapa final'!$R$99),"")</f>
        <v/>
      </c>
      <c r="P213" s="119" t="str">
        <f>IF(AND('Mapa final'!$AB$97="Muy Baja",'Mapa final'!$AD$97="Moderado"),CONCATENATE("R31C",'Mapa final'!$R$97),"")</f>
        <v/>
      </c>
      <c r="Q213" s="143" t="str">
        <f>IF(AND('Mapa final'!$AB$98="Muy Baja",'Mapa final'!$AD$98="Moderado"),CONCATENATE("R31C",'Mapa final'!$R$98),"")</f>
        <v/>
      </c>
      <c r="R213" s="120" t="str">
        <f>IF(AND('Mapa final'!$AB$99="Muy Baja",'Mapa final'!$AD$99="Moderado"),CONCATENATE("R31C",'Mapa final'!$R$99),"")</f>
        <v/>
      </c>
      <c r="S213" s="148" t="str">
        <f>IF(AND('Mapa final'!$AB$97="Muy Baja",'Mapa final'!$AD$97="Mayor"),CONCATENATE("R31C",'Mapa final'!$R$97),"")</f>
        <v/>
      </c>
      <c r="T213" s="149" t="str">
        <f>IF(AND('Mapa final'!$AB$98="Muy Baja",'Mapa final'!$AD$98="Mayor"),CONCATENATE("R31C",'Mapa final'!$R$98),"")</f>
        <v/>
      </c>
      <c r="U213" s="150" t="str">
        <f>IF(AND('Mapa final'!$AB$99="Muy Baja",'Mapa final'!$AD$99="Mayor"),CONCATENATE("R31C",'Mapa final'!$R$99),"")</f>
        <v/>
      </c>
      <c r="V213" s="114" t="str">
        <f>IF(AND('Mapa final'!$AB$97="Muy Baja",'Mapa final'!$AD$97="Catastrófico"),CONCATENATE("R31C",'Mapa final'!$R$97),"")</f>
        <v/>
      </c>
      <c r="W213" s="142" t="str">
        <f>IF(AND('Mapa final'!$AB$98="Muy Baja",'Mapa final'!$AD$98="Catastrófico"),CONCATENATE("R31C",'Mapa final'!$R$98),"")</f>
        <v/>
      </c>
      <c r="X213" s="115" t="str">
        <f>IF(AND('Mapa final'!$AB$99="Muy Baja",'Mapa final'!$AD$99="Catastrófico"),CONCATENATE("R31C",'Mapa final'!$R$99),"")</f>
        <v/>
      </c>
      <c r="Y213" s="38"/>
      <c r="Z213" s="38"/>
      <c r="AA213" s="38"/>
      <c r="AB213" s="38"/>
      <c r="AC213" s="38"/>
      <c r="AD213" s="38"/>
      <c r="AE213" s="38"/>
      <c r="AF213" s="38"/>
      <c r="AG213" s="38"/>
      <c r="AH213" s="38"/>
      <c r="AI213" s="38"/>
      <c r="AJ213" s="38"/>
      <c r="AK213" s="38"/>
      <c r="AL213" s="38"/>
      <c r="AM213" s="38"/>
      <c r="AN213" s="38"/>
      <c r="AO213" s="38"/>
      <c r="AP213" s="38"/>
      <c r="AQ213" s="38"/>
      <c r="AR213" s="38"/>
      <c r="AS213" s="38"/>
      <c r="AT213" s="38"/>
      <c r="AU213" s="38"/>
      <c r="AV213" s="38"/>
      <c r="AW213" s="38"/>
      <c r="AX213" s="38"/>
      <c r="AY213" s="38"/>
      <c r="AZ213" s="38"/>
      <c r="BA213" s="38"/>
      <c r="BB213" s="38"/>
      <c r="BC213" s="38"/>
      <c r="BD213" s="38"/>
      <c r="BE213" s="38"/>
      <c r="BF213" s="38"/>
      <c r="BG213" s="38"/>
      <c r="BH213" s="38"/>
      <c r="BI213" s="38"/>
      <c r="BJ213" s="38"/>
      <c r="BK213" s="38"/>
      <c r="BL213" s="38"/>
      <c r="BM213" s="38"/>
    </row>
    <row r="214" spans="1:65" ht="15" customHeight="1" x14ac:dyDescent="0.3">
      <c r="A214" s="38"/>
      <c r="B214" s="306"/>
      <c r="C214" s="307"/>
      <c r="D214" s="308"/>
      <c r="E214" s="290"/>
      <c r="F214" s="289"/>
      <c r="G214" s="289"/>
      <c r="H214" s="289"/>
      <c r="I214" s="313"/>
      <c r="J214" s="127" t="str">
        <f>IF(AND('Mapa final'!$AB$100="Muy Baja",'Mapa final'!$AD$100="Leve"),CONCATENATE("R32C",'Mapa final'!$R$100),"")</f>
        <v/>
      </c>
      <c r="K214" s="144" t="str">
        <f>IF(AND('Mapa final'!$AB$101="Muy Baja",'Mapa final'!$AD$101="Leve"),CONCATENATE("R32C",'Mapa final'!$R$101),"")</f>
        <v/>
      </c>
      <c r="L214" s="128" t="str">
        <f>IF(AND('Mapa final'!$AB$102="Muy Baja",'Mapa final'!$AD$102="Leve"),CONCATENATE("R32C",'Mapa final'!$R$102),"")</f>
        <v/>
      </c>
      <c r="M214" s="127" t="str">
        <f>IF(AND('Mapa final'!$AB$100="Muy Baja",'Mapa final'!$AD$100="Menor"),CONCATENATE("R32C",'Mapa final'!$R$100),"")</f>
        <v/>
      </c>
      <c r="N214" s="144" t="str">
        <f>IF(AND('Mapa final'!$AB$101="Muy Baja",'Mapa final'!$AD$101="Menor"),CONCATENATE("R32C",'Mapa final'!$R$101),"")</f>
        <v/>
      </c>
      <c r="O214" s="128" t="str">
        <f>IF(AND('Mapa final'!$AB$102="Muy Baja",'Mapa final'!$AD$102="Menor"),CONCATENATE("R32C",'Mapa final'!$R$102),"")</f>
        <v/>
      </c>
      <c r="P214" s="119" t="str">
        <f>IF(AND('Mapa final'!$AB$100="Muy Baja",'Mapa final'!$AD$100="Moderado"),CONCATENATE("R32C",'Mapa final'!$R$100),"")</f>
        <v/>
      </c>
      <c r="Q214" s="143" t="str">
        <f>IF(AND('Mapa final'!$AB$101="Muy Baja",'Mapa final'!$AD$101="Moderado"),CONCATENATE("R32C",'Mapa final'!$R$101),"")</f>
        <v/>
      </c>
      <c r="R214" s="120" t="str">
        <f>IF(AND('Mapa final'!$AB$102="Muy Baja",'Mapa final'!$AD$102="Moderado"),CONCATENATE("R32C",'Mapa final'!$R$102),"")</f>
        <v/>
      </c>
      <c r="S214" s="148" t="str">
        <f>IF(AND('Mapa final'!$AB$100="Muy Baja",'Mapa final'!$AD$100="Mayor"),CONCATENATE("R32C",'Mapa final'!$R$100),"")</f>
        <v/>
      </c>
      <c r="T214" s="149" t="str">
        <f>IF(AND('Mapa final'!$AB$101="Muy Baja",'Mapa final'!$AD$101="Mayor"),CONCATENATE("R32C",'Mapa final'!$R$101),"")</f>
        <v/>
      </c>
      <c r="U214" s="150" t="str">
        <f>IF(AND('Mapa final'!$AB$102="Muy Baja",'Mapa final'!$AD$102="Mayor"),CONCATENATE("R32C",'Mapa final'!$R$102),"")</f>
        <v/>
      </c>
      <c r="V214" s="114" t="str">
        <f>IF(AND('Mapa final'!$AB$100="Muy Baja",'Mapa final'!$AD$100="Catastrófico"),CONCATENATE("R32C",'Mapa final'!$R$100),"")</f>
        <v/>
      </c>
      <c r="W214" s="142" t="str">
        <f>IF(AND('Mapa final'!$AB$101="Muy Baja",'Mapa final'!$AD$101="Catastrófico"),CONCATENATE("R32C",'Mapa final'!$R$101),"")</f>
        <v/>
      </c>
      <c r="X214" s="115" t="str">
        <f>IF(AND('Mapa final'!$AB$102="Muy Baja",'Mapa final'!$AD$102="Catastrófico"),CONCATENATE("R32C",'Mapa final'!$R$102),"")</f>
        <v/>
      </c>
      <c r="Y214" s="38"/>
      <c r="Z214" s="38"/>
      <c r="AA214" s="38"/>
      <c r="AB214" s="38"/>
      <c r="AC214" s="38"/>
      <c r="AD214" s="38"/>
      <c r="AE214" s="38"/>
      <c r="AF214" s="38"/>
      <c r="AG214" s="38"/>
      <c r="AH214" s="38"/>
      <c r="AI214" s="38"/>
      <c r="AJ214" s="38"/>
      <c r="AK214" s="38"/>
      <c r="AL214" s="38"/>
      <c r="AM214" s="38"/>
      <c r="AN214" s="38"/>
      <c r="AO214" s="38"/>
      <c r="AP214" s="38"/>
      <c r="AQ214" s="38"/>
      <c r="AR214" s="38"/>
      <c r="AS214" s="38"/>
      <c r="AT214" s="38"/>
      <c r="AU214" s="38"/>
      <c r="AV214" s="38"/>
      <c r="AW214" s="38"/>
      <c r="AX214" s="38"/>
      <c r="AY214" s="38"/>
      <c r="AZ214" s="38"/>
      <c r="BA214" s="38"/>
      <c r="BB214" s="38"/>
      <c r="BC214" s="38"/>
      <c r="BD214" s="38"/>
      <c r="BE214" s="38"/>
      <c r="BF214" s="38"/>
      <c r="BG214" s="38"/>
      <c r="BH214" s="38"/>
      <c r="BI214" s="38"/>
      <c r="BJ214" s="38"/>
      <c r="BK214" s="38"/>
      <c r="BL214" s="38"/>
      <c r="BM214" s="38"/>
    </row>
    <row r="215" spans="1:65" ht="15" customHeight="1" x14ac:dyDescent="0.3">
      <c r="A215" s="38"/>
      <c r="B215" s="306"/>
      <c r="C215" s="307"/>
      <c r="D215" s="308"/>
      <c r="E215" s="290"/>
      <c r="F215" s="289"/>
      <c r="G215" s="289"/>
      <c r="H215" s="289"/>
      <c r="I215" s="313"/>
      <c r="J215" s="127" t="str">
        <f>IF(AND('Mapa final'!$AB$103="Muy Baja",'Mapa final'!$AD$103="Leve"),CONCATENATE("R33C",'Mapa final'!$R$103),"")</f>
        <v/>
      </c>
      <c r="K215" s="144" t="str">
        <f>IF(AND('Mapa final'!$AB$104="Muy Baja",'Mapa final'!$AD$104="Leve"),CONCATENATE("R33C",'Mapa final'!$R$104),"")</f>
        <v>R33C2</v>
      </c>
      <c r="L215" s="128" t="str">
        <f>IF(AND('Mapa final'!$AB$105="Muy Baja",'Mapa final'!$AD$105="Leve"),CONCATENATE("R33C",'Mapa final'!$R$105),"")</f>
        <v>R33C3</v>
      </c>
      <c r="M215" s="127" t="str">
        <f>IF(AND('Mapa final'!$AB$103="Muy Baja",'Mapa final'!$AD$103="Menor"),CONCATENATE("R33C",'Mapa final'!$R$103),"")</f>
        <v/>
      </c>
      <c r="N215" s="144" t="str">
        <f>IF(AND('Mapa final'!$AB$104="Muy Baja",'Mapa final'!$AD$104="Menor"),CONCATENATE("R33C",'Mapa final'!$R$104),"")</f>
        <v/>
      </c>
      <c r="O215" s="128" t="str">
        <f>IF(AND('Mapa final'!$AB$105="Muy Baja",'Mapa final'!$AD$105="Menor"),CONCATENATE("R33C",'Mapa final'!$R$105),"")</f>
        <v/>
      </c>
      <c r="P215" s="119" t="str">
        <f>IF(AND('Mapa final'!$AB$103="Muy Baja",'Mapa final'!$AD$103="Moderado"),CONCATENATE("R33C",'Mapa final'!$R$103),"")</f>
        <v/>
      </c>
      <c r="Q215" s="143" t="str">
        <f>IF(AND('Mapa final'!$AB$104="Muy Baja",'Mapa final'!$AD$104="Moderado"),CONCATENATE("R33C",'Mapa final'!$R$104),"")</f>
        <v/>
      </c>
      <c r="R215" s="120" t="str">
        <f>IF(AND('Mapa final'!$AB$105="Muy Baja",'Mapa final'!$AD$105="Moderado"),CONCATENATE("R33C",'Mapa final'!$R$105),"")</f>
        <v/>
      </c>
      <c r="S215" s="148" t="str">
        <f>IF(AND('Mapa final'!$AB$103="Muy Baja",'Mapa final'!$AD$103="Mayor"),CONCATENATE("R33C",'Mapa final'!$R$103),"")</f>
        <v/>
      </c>
      <c r="T215" s="149" t="str">
        <f>IF(AND('Mapa final'!$AB$104="Muy Baja",'Mapa final'!$AD$104="Mayor"),CONCATENATE("R33C",'Mapa final'!$R$104),"")</f>
        <v/>
      </c>
      <c r="U215" s="150" t="str">
        <f>IF(AND('Mapa final'!$AB$105="Muy Baja",'Mapa final'!$AD$105="Mayor"),CONCATENATE("R33C",'Mapa final'!$R$105),"")</f>
        <v/>
      </c>
      <c r="V215" s="114" t="str">
        <f>IF(AND('Mapa final'!$AB$103="Muy Baja",'Mapa final'!$AD$103="Catastrófico"),CONCATENATE("R33C",'Mapa final'!$R$103),"")</f>
        <v/>
      </c>
      <c r="W215" s="142" t="str">
        <f>IF(AND('Mapa final'!$AB$104="Muy Baja",'Mapa final'!$AD$104="Catastrófico"),CONCATENATE("R33C",'Mapa final'!$R$104),"")</f>
        <v/>
      </c>
      <c r="X215" s="115" t="str">
        <f>IF(AND('Mapa final'!$AB$105="Muy Baja",'Mapa final'!$AD$105="Catastrófico"),CONCATENATE("R33C",'Mapa final'!$R$105),"")</f>
        <v/>
      </c>
      <c r="Y215" s="38"/>
      <c r="Z215" s="38"/>
      <c r="AA215" s="38"/>
      <c r="AB215" s="38"/>
      <c r="AC215" s="38"/>
      <c r="AD215" s="38"/>
      <c r="AE215" s="38"/>
      <c r="AF215" s="38"/>
      <c r="AG215" s="38"/>
      <c r="AH215" s="38"/>
      <c r="AI215" s="38"/>
      <c r="AJ215" s="38"/>
      <c r="AK215" s="38"/>
      <c r="AL215" s="38"/>
      <c r="AM215" s="38"/>
      <c r="AN215" s="38"/>
      <c r="AO215" s="38"/>
      <c r="AP215" s="38"/>
      <c r="AQ215" s="38"/>
      <c r="AR215" s="38"/>
      <c r="AS215" s="38"/>
      <c r="AT215" s="38"/>
      <c r="AU215" s="38"/>
      <c r="AV215" s="38"/>
      <c r="AW215" s="38"/>
      <c r="AX215" s="38"/>
      <c r="AY215" s="38"/>
      <c r="AZ215" s="38"/>
      <c r="BA215" s="38"/>
      <c r="BB215" s="38"/>
      <c r="BC215" s="38"/>
      <c r="BD215" s="38"/>
      <c r="BE215" s="38"/>
      <c r="BF215" s="38"/>
      <c r="BG215" s="38"/>
      <c r="BH215" s="38"/>
      <c r="BI215" s="38"/>
      <c r="BJ215" s="38"/>
      <c r="BK215" s="38"/>
      <c r="BL215" s="38"/>
      <c r="BM215" s="38"/>
    </row>
    <row r="216" spans="1:65" ht="15" customHeight="1" x14ac:dyDescent="0.3">
      <c r="A216" s="38"/>
      <c r="B216" s="306"/>
      <c r="C216" s="307"/>
      <c r="D216" s="308"/>
      <c r="E216" s="290"/>
      <c r="F216" s="289"/>
      <c r="G216" s="289"/>
      <c r="H216" s="289"/>
      <c r="I216" s="313"/>
      <c r="J216" s="127" t="str">
        <f>IF(AND('Mapa final'!$AB$106="Muy Baja",'Mapa final'!$AD$106="Leve"),CONCATENATE("R34C",'Mapa final'!$R$106),"")</f>
        <v/>
      </c>
      <c r="K216" s="144" t="str">
        <f>IF(AND('Mapa final'!$AB$107="Muy Baja",'Mapa final'!$AD$107="Leve"),CONCATENATE("R34C",'Mapa final'!$R$107),"")</f>
        <v/>
      </c>
      <c r="L216" s="128" t="str">
        <f>IF(AND('Mapa final'!$AB$108="Muy Baja",'Mapa final'!$AD$108="Leve"),CONCATENATE("R34C",'Mapa final'!$R$108),"")</f>
        <v/>
      </c>
      <c r="M216" s="127" t="str">
        <f>IF(AND('Mapa final'!$AB$106="Muy Baja",'Mapa final'!$AD$106="Menor"),CONCATENATE("R34C",'Mapa final'!$R$106),"")</f>
        <v/>
      </c>
      <c r="N216" s="144" t="str">
        <f>IF(AND('Mapa final'!$AB$107="Muy Baja",'Mapa final'!$AD$107="Menor"),CONCATENATE("R34C",'Mapa final'!$R$107),"")</f>
        <v/>
      </c>
      <c r="O216" s="128" t="str">
        <f>IF(AND('Mapa final'!$AB$108="Muy Baja",'Mapa final'!$AD$108="Menor"),CONCATENATE("R34C",'Mapa final'!$R$108),"")</f>
        <v/>
      </c>
      <c r="P216" s="119" t="str">
        <f>IF(AND('Mapa final'!$AB$106="Muy Baja",'Mapa final'!$AD$106="Moderado"),CONCATENATE("R34C",'Mapa final'!$R$106),"")</f>
        <v/>
      </c>
      <c r="Q216" s="143" t="str">
        <f>IF(AND('Mapa final'!$AB$107="Muy Baja",'Mapa final'!$AD$107="Moderado"),CONCATENATE("R34C",'Mapa final'!$R$107),"")</f>
        <v/>
      </c>
      <c r="R216" s="120" t="str">
        <f>IF(AND('Mapa final'!$AB$108="Muy Baja",'Mapa final'!$AD$108="Moderado"),CONCATENATE("R34C",'Mapa final'!$R$108),"")</f>
        <v/>
      </c>
      <c r="S216" s="148" t="str">
        <f>IF(AND('Mapa final'!$AB$106="Muy Baja",'Mapa final'!$AD$106="Mayor"),CONCATENATE("R34C",'Mapa final'!$R$106),"")</f>
        <v/>
      </c>
      <c r="T216" s="149" t="str">
        <f>IF(AND('Mapa final'!$AB$107="Muy Baja",'Mapa final'!$AD$107="Mayor"),CONCATENATE("R34C",'Mapa final'!$R$107),"")</f>
        <v/>
      </c>
      <c r="U216" s="150" t="str">
        <f>IF(AND('Mapa final'!$AB$108="Muy Baja",'Mapa final'!$AD$108="Mayor"),CONCATENATE("R34C",'Mapa final'!$R$108),"")</f>
        <v/>
      </c>
      <c r="V216" s="114" t="str">
        <f>IF(AND('Mapa final'!$AB$106="Muy Baja",'Mapa final'!$AD$106="Catastrófico"),CONCATENATE("R34C",'Mapa final'!$R$106),"")</f>
        <v/>
      </c>
      <c r="W216" s="142" t="str">
        <f>IF(AND('Mapa final'!$AB$107="Muy Baja",'Mapa final'!$AD$107="Catastrófico"),CONCATENATE("R34C",'Mapa final'!$R$107),"")</f>
        <v/>
      </c>
      <c r="X216" s="115" t="str">
        <f>IF(AND('Mapa final'!$AB$108="Muy Baja",'Mapa final'!$AD$108="Catastrófico"),CONCATENATE("R34C",'Mapa final'!$R$108),"")</f>
        <v/>
      </c>
      <c r="Y216" s="38"/>
      <c r="Z216" s="38"/>
      <c r="AA216" s="38"/>
      <c r="AB216" s="38"/>
      <c r="AC216" s="38"/>
      <c r="AD216" s="38"/>
      <c r="AE216" s="38"/>
      <c r="AF216" s="38"/>
      <c r="AG216" s="38"/>
      <c r="AH216" s="38"/>
      <c r="AI216" s="38"/>
      <c r="AJ216" s="38"/>
      <c r="AK216" s="38"/>
      <c r="AL216" s="38"/>
      <c r="AM216" s="38"/>
      <c r="AN216" s="38"/>
      <c r="AO216" s="38"/>
      <c r="AP216" s="38"/>
      <c r="AQ216" s="38"/>
      <c r="AR216" s="38"/>
      <c r="AS216" s="38"/>
      <c r="AT216" s="38"/>
      <c r="AU216" s="38"/>
      <c r="AV216" s="38"/>
      <c r="AW216" s="38"/>
      <c r="AX216" s="38"/>
      <c r="AY216" s="38"/>
      <c r="AZ216" s="38"/>
      <c r="BA216" s="38"/>
      <c r="BB216" s="38"/>
      <c r="BC216" s="38"/>
      <c r="BD216" s="38"/>
      <c r="BE216" s="38"/>
      <c r="BF216" s="38"/>
      <c r="BG216" s="38"/>
      <c r="BH216" s="38"/>
      <c r="BI216" s="38"/>
      <c r="BJ216" s="38"/>
      <c r="BK216" s="38"/>
      <c r="BL216" s="38"/>
      <c r="BM216" s="38"/>
    </row>
    <row r="217" spans="1:65" ht="15" customHeight="1" x14ac:dyDescent="0.3">
      <c r="A217" s="38"/>
      <c r="B217" s="306"/>
      <c r="C217" s="307"/>
      <c r="D217" s="308"/>
      <c r="E217" s="290"/>
      <c r="F217" s="289"/>
      <c r="G217" s="289"/>
      <c r="H217" s="289"/>
      <c r="I217" s="313"/>
      <c r="J217" s="127" t="str">
        <f>IF(AND('Mapa final'!$AB$109="Muy Baja",'Mapa final'!$AD$109="Leve"),CONCATENATE("R35C",'Mapa final'!$R$109),"")</f>
        <v/>
      </c>
      <c r="K217" s="144" t="str">
        <f>IF(AND('Mapa final'!$AB$110="Muy Baja",'Mapa final'!$AD$110="Leve"),CONCATENATE("R35C",'Mapa final'!$R$110),"")</f>
        <v/>
      </c>
      <c r="L217" s="128" t="str">
        <f>IF(AND('Mapa final'!$AB$111="Muy Baja",'Mapa final'!$AD$111="Leve"),CONCATENATE("R35C",'Mapa final'!$R$111),"")</f>
        <v/>
      </c>
      <c r="M217" s="127" t="str">
        <f>IF(AND('Mapa final'!$AB$109="Muy Baja",'Mapa final'!$AD$109="Menor"),CONCATENATE("R35C",'Mapa final'!$R$109),"")</f>
        <v/>
      </c>
      <c r="N217" s="144" t="str">
        <f>IF(AND('Mapa final'!$AB$110="Muy Baja",'Mapa final'!$AD$110="Menor"),CONCATENATE("R35C",'Mapa final'!$R$110),"")</f>
        <v/>
      </c>
      <c r="O217" s="128" t="str">
        <f>IF(AND('Mapa final'!$AB$111="Muy Baja",'Mapa final'!$AD$111="Menor"),CONCATENATE("R35C",'Mapa final'!$R$111),"")</f>
        <v/>
      </c>
      <c r="P217" s="119" t="str">
        <f>IF(AND('Mapa final'!$AB$109="Muy Baja",'Mapa final'!$AD$109="Moderado"),CONCATENATE("R35C",'Mapa final'!$R$109),"")</f>
        <v/>
      </c>
      <c r="Q217" s="143" t="str">
        <f>IF(AND('Mapa final'!$AB$110="Muy Baja",'Mapa final'!$AD$110="Moderado"),CONCATENATE("R35C",'Mapa final'!$R$110),"")</f>
        <v/>
      </c>
      <c r="R217" s="120" t="str">
        <f>IF(AND('Mapa final'!$AB$111="Muy Baja",'Mapa final'!$AD$111="Moderado"),CONCATENATE("R35C",'Mapa final'!$R$111),"")</f>
        <v/>
      </c>
      <c r="S217" s="148" t="str">
        <f>IF(AND('Mapa final'!$AB$109="Muy Baja",'Mapa final'!$AD$109="Mayor"),CONCATENATE("R35C",'Mapa final'!$R$109),"")</f>
        <v/>
      </c>
      <c r="T217" s="149" t="str">
        <f>IF(AND('Mapa final'!$AB$110="Muy Baja",'Mapa final'!$AD$110="Mayor"),CONCATENATE("R35C",'Mapa final'!$R$110),"")</f>
        <v/>
      </c>
      <c r="U217" s="150" t="str">
        <f>IF(AND('Mapa final'!$AB$111="Muy Baja",'Mapa final'!$AD$111="Mayor"),CONCATENATE("R35C",'Mapa final'!$R$111),"")</f>
        <v/>
      </c>
      <c r="V217" s="114" t="str">
        <f>IF(AND('Mapa final'!$AB$109="Muy Baja",'Mapa final'!$AD$109="Catastrófico"),CONCATENATE("R35C",'Mapa final'!$R$109),"")</f>
        <v/>
      </c>
      <c r="W217" s="142" t="str">
        <f>IF(AND('Mapa final'!$AB$110="Muy Baja",'Mapa final'!$AD$110="Catastrófico"),CONCATENATE("R35C",'Mapa final'!$R$110),"")</f>
        <v/>
      </c>
      <c r="X217" s="115" t="str">
        <f>IF(AND('Mapa final'!$AB$111="Muy Baja",'Mapa final'!$AD$111="Catastrófico"),CONCATENATE("R35C",'Mapa final'!$R$111),"")</f>
        <v/>
      </c>
      <c r="Y217" s="38"/>
      <c r="Z217" s="38"/>
      <c r="AA217" s="38"/>
      <c r="AB217" s="38"/>
      <c r="AC217" s="38"/>
      <c r="AD217" s="38"/>
      <c r="AE217" s="38"/>
      <c r="AF217" s="38"/>
      <c r="AG217" s="38"/>
      <c r="AH217" s="38"/>
      <c r="AI217" s="38"/>
      <c r="AJ217" s="38"/>
      <c r="AK217" s="38"/>
      <c r="AL217" s="38"/>
      <c r="AM217" s="38"/>
      <c r="AN217" s="38"/>
      <c r="AO217" s="38"/>
      <c r="AP217" s="38"/>
      <c r="AQ217" s="38"/>
      <c r="AR217" s="38"/>
      <c r="AS217" s="38"/>
      <c r="AT217" s="38"/>
      <c r="AU217" s="38"/>
      <c r="AV217" s="38"/>
      <c r="AW217" s="38"/>
      <c r="AX217" s="38"/>
      <c r="AY217" s="38"/>
      <c r="AZ217" s="38"/>
      <c r="BA217" s="38"/>
      <c r="BB217" s="38"/>
      <c r="BC217" s="38"/>
      <c r="BD217" s="38"/>
      <c r="BE217" s="38"/>
      <c r="BF217" s="38"/>
      <c r="BG217" s="38"/>
      <c r="BH217" s="38"/>
      <c r="BI217" s="38"/>
      <c r="BJ217" s="38"/>
      <c r="BK217" s="38"/>
      <c r="BL217" s="38"/>
      <c r="BM217" s="38"/>
    </row>
    <row r="218" spans="1:65" ht="15" customHeight="1" x14ac:dyDescent="0.3">
      <c r="A218" s="38"/>
      <c r="B218" s="306"/>
      <c r="C218" s="307"/>
      <c r="D218" s="308"/>
      <c r="E218" s="290"/>
      <c r="F218" s="289"/>
      <c r="G218" s="289"/>
      <c r="H218" s="289"/>
      <c r="I218" s="313"/>
      <c r="J218" s="127" t="str">
        <f>IF(AND('Mapa final'!$AB$112="Muy Baja",'Mapa final'!$AD$112="Leve"),CONCATENATE("R36C",'Mapa final'!$R$112),"")</f>
        <v/>
      </c>
      <c r="K218" s="144" t="str">
        <f>IF(AND('Mapa final'!$AB$113="Muy Baja",'Mapa final'!$AD$113="Leve"),CONCATENATE("R36C",'Mapa final'!$R$113),"")</f>
        <v/>
      </c>
      <c r="L218" s="128" t="str">
        <f>IF(AND('Mapa final'!$AB$114="Muy Baja",'Mapa final'!$AD$114="Leve"),CONCATENATE("R36C",'Mapa final'!$R$114),"")</f>
        <v/>
      </c>
      <c r="M218" s="127" t="str">
        <f>IF(AND('Mapa final'!$AB$112="Muy Baja",'Mapa final'!$AD$112="Menor"),CONCATENATE("R36C",'Mapa final'!$R$112),"")</f>
        <v/>
      </c>
      <c r="N218" s="144" t="str">
        <f>IF(AND('Mapa final'!$AB$113="Muy Baja",'Mapa final'!$AD$113="Menor"),CONCATENATE("R36C",'Mapa final'!$R$113),"")</f>
        <v/>
      </c>
      <c r="O218" s="128" t="str">
        <f>IF(AND('Mapa final'!$AB$114="Muy Baja",'Mapa final'!$AD$114="Menor"),CONCATENATE("R36C",'Mapa final'!$R$114),"")</f>
        <v/>
      </c>
      <c r="P218" s="119" t="str">
        <f>IF(AND('Mapa final'!$AB$112="Muy Baja",'Mapa final'!$AD$112="Moderado"),CONCATENATE("R36C",'Mapa final'!$R$112),"")</f>
        <v/>
      </c>
      <c r="Q218" s="143" t="str">
        <f>IF(AND('Mapa final'!$AB$113="Muy Baja",'Mapa final'!$AD$113="Moderado"),CONCATENATE("R36C",'Mapa final'!$R$113),"")</f>
        <v/>
      </c>
      <c r="R218" s="120" t="str">
        <f>IF(AND('Mapa final'!$AB$114="Muy Baja",'Mapa final'!$AD$114="Moderado"),CONCATENATE("R36C",'Mapa final'!$R$114),"")</f>
        <v/>
      </c>
      <c r="S218" s="148" t="str">
        <f>IF(AND('Mapa final'!$AB$112="Muy Baja",'Mapa final'!$AD$112="Mayor"),CONCATENATE("R36C",'Mapa final'!$R$112),"")</f>
        <v/>
      </c>
      <c r="T218" s="149" t="str">
        <f>IF(AND('Mapa final'!$AB$113="Muy Baja",'Mapa final'!$AD$113="Mayor"),CONCATENATE("R36C",'Mapa final'!$R$113),"")</f>
        <v/>
      </c>
      <c r="U218" s="150" t="str">
        <f>IF(AND('Mapa final'!$AB$114="Muy Baja",'Mapa final'!$AD$114="Mayor"),CONCATENATE("R36C",'Mapa final'!$R$114),"")</f>
        <v/>
      </c>
      <c r="V218" s="114" t="str">
        <f>IF(AND('Mapa final'!$AB$112="Muy Baja",'Mapa final'!$AD$112="Catastrófico"),CONCATENATE("R36C",'Mapa final'!$R$112),"")</f>
        <v/>
      </c>
      <c r="W218" s="142" t="str">
        <f>IF(AND('Mapa final'!$AB$113="Muy Baja",'Mapa final'!$AD$113="Catastrófico"),CONCATENATE("R36C",'Mapa final'!$R$113),"")</f>
        <v/>
      </c>
      <c r="X218" s="115" t="str">
        <f>IF(AND('Mapa final'!$AB$114="Muy Baja",'Mapa final'!$AD$114="Catastrófico"),CONCATENATE("R36C",'Mapa final'!$R$114),"")</f>
        <v/>
      </c>
      <c r="Y218" s="38"/>
      <c r="Z218" s="38"/>
      <c r="AA218" s="38"/>
      <c r="AB218" s="38"/>
      <c r="AC218" s="38"/>
      <c r="AD218" s="38"/>
      <c r="AE218" s="38"/>
      <c r="AF218" s="38"/>
      <c r="AG218" s="38"/>
      <c r="AH218" s="38"/>
      <c r="AI218" s="38"/>
      <c r="AJ218" s="38"/>
      <c r="AK218" s="38"/>
      <c r="AL218" s="38"/>
      <c r="AM218" s="38"/>
      <c r="AN218" s="38"/>
      <c r="AO218" s="38"/>
      <c r="AP218" s="38"/>
      <c r="AQ218" s="38"/>
      <c r="AR218" s="38"/>
      <c r="AS218" s="38"/>
      <c r="AT218" s="38"/>
      <c r="AU218" s="38"/>
      <c r="AV218" s="38"/>
      <c r="AW218" s="38"/>
      <c r="AX218" s="38"/>
      <c r="AY218" s="38"/>
      <c r="AZ218" s="38"/>
      <c r="BA218" s="38"/>
      <c r="BB218" s="38"/>
      <c r="BC218" s="38"/>
      <c r="BD218" s="38"/>
      <c r="BE218" s="38"/>
      <c r="BF218" s="38"/>
      <c r="BG218" s="38"/>
      <c r="BH218" s="38"/>
      <c r="BI218" s="38"/>
      <c r="BJ218" s="38"/>
      <c r="BK218" s="38"/>
      <c r="BL218" s="38"/>
      <c r="BM218" s="38"/>
    </row>
    <row r="219" spans="1:65" ht="15" customHeight="1" x14ac:dyDescent="0.3">
      <c r="A219" s="38"/>
      <c r="B219" s="306"/>
      <c r="C219" s="307"/>
      <c r="D219" s="308"/>
      <c r="E219" s="290"/>
      <c r="F219" s="289"/>
      <c r="G219" s="289"/>
      <c r="H219" s="289"/>
      <c r="I219" s="313"/>
      <c r="J219" s="127" t="str">
        <f>IF(AND('Mapa final'!$AB$115="Muy Baja",'Mapa final'!$AD$115="Leve"),CONCATENATE("R37C",'Mapa final'!$R$115),"")</f>
        <v/>
      </c>
      <c r="K219" s="144" t="str">
        <f>IF(AND('Mapa final'!$AB$116="Muy Baja",'Mapa final'!$AD$116="Leve"),CONCATENATE("R37C",'Mapa final'!$R$116),"")</f>
        <v>R37C2</v>
      </c>
      <c r="L219" s="128" t="str">
        <f>IF(AND('Mapa final'!$AB$117="Muy Baja",'Mapa final'!$AD$117="Leve"),CONCATENATE("R37C",'Mapa final'!$R$117),"")</f>
        <v/>
      </c>
      <c r="M219" s="127" t="str">
        <f>IF(AND('Mapa final'!$AB$115="Muy Baja",'Mapa final'!$AD$115="Menor"),CONCATENATE("R37C",'Mapa final'!$R$115),"")</f>
        <v/>
      </c>
      <c r="N219" s="144" t="str">
        <f>IF(AND('Mapa final'!$AB$116="Muy Baja",'Mapa final'!$AD$116="Menor"),CONCATENATE("R37C",'Mapa final'!$R$116),"")</f>
        <v/>
      </c>
      <c r="O219" s="128" t="str">
        <f>IF(AND('Mapa final'!$AB$117="Muy Baja",'Mapa final'!$AD$117="Menor"),CONCATENATE("R37C",'Mapa final'!$R$117),"")</f>
        <v/>
      </c>
      <c r="P219" s="119" t="str">
        <f>IF(AND('Mapa final'!$AB$115="Muy Baja",'Mapa final'!$AD$115="Moderado"),CONCATENATE("R37C",'Mapa final'!$R$115),"")</f>
        <v/>
      </c>
      <c r="Q219" s="143" t="str">
        <f>IF(AND('Mapa final'!$AB$116="Muy Baja",'Mapa final'!$AD$116="Moderado"),CONCATENATE("R37C",'Mapa final'!$R$116),"")</f>
        <v/>
      </c>
      <c r="R219" s="120" t="str">
        <f>IF(AND('Mapa final'!$AB$117="Muy Baja",'Mapa final'!$AD$117="Moderado"),CONCATENATE("R37C",'Mapa final'!$R$117),"")</f>
        <v/>
      </c>
      <c r="S219" s="148" t="str">
        <f>IF(AND('Mapa final'!$AB$115="Muy Baja",'Mapa final'!$AD$115="Mayor"),CONCATENATE("R37C",'Mapa final'!$R$115),"")</f>
        <v/>
      </c>
      <c r="T219" s="149" t="str">
        <f>IF(AND('Mapa final'!$AB$116="Muy Baja",'Mapa final'!$AD$116="Mayor"),CONCATENATE("R37C",'Mapa final'!$R$116),"")</f>
        <v/>
      </c>
      <c r="U219" s="150" t="str">
        <f>IF(AND('Mapa final'!$AB$117="Muy Baja",'Mapa final'!$AD$117="Mayor"),CONCATENATE("R37C",'Mapa final'!$R$117),"")</f>
        <v/>
      </c>
      <c r="V219" s="114" t="str">
        <f>IF(AND('Mapa final'!$AB$115="Muy Baja",'Mapa final'!$AD$115="Catastrófico"),CONCATENATE("R37C",'Mapa final'!$R$115),"")</f>
        <v/>
      </c>
      <c r="W219" s="142" t="str">
        <f>IF(AND('Mapa final'!$AB$116="Muy Baja",'Mapa final'!$AD$116="Catastrófico"),CONCATENATE("R37C",'Mapa final'!$R$116),"")</f>
        <v/>
      </c>
      <c r="X219" s="115" t="str">
        <f>IF(AND('Mapa final'!$AB$117="Muy Baja",'Mapa final'!$AD$117="Catastrófico"),CONCATENATE("R37C",'Mapa final'!$R$117),"")</f>
        <v/>
      </c>
      <c r="Y219" s="38"/>
      <c r="Z219" s="38"/>
      <c r="AA219" s="38"/>
      <c r="AB219" s="38"/>
      <c r="AC219" s="38"/>
      <c r="AD219" s="38"/>
      <c r="AE219" s="38"/>
      <c r="AF219" s="38"/>
      <c r="AG219" s="38"/>
      <c r="AH219" s="38"/>
      <c r="AI219" s="38"/>
      <c r="AJ219" s="38"/>
      <c r="AK219" s="38"/>
      <c r="AL219" s="38"/>
      <c r="AM219" s="38"/>
      <c r="AN219" s="38"/>
      <c r="AO219" s="38"/>
      <c r="AP219" s="38"/>
      <c r="AQ219" s="38"/>
      <c r="AR219" s="38"/>
      <c r="AS219" s="38"/>
      <c r="AT219" s="38"/>
      <c r="AU219" s="38"/>
      <c r="AV219" s="38"/>
      <c r="AW219" s="38"/>
      <c r="AX219" s="38"/>
      <c r="AY219" s="38"/>
      <c r="AZ219" s="38"/>
      <c r="BA219" s="38"/>
      <c r="BB219" s="38"/>
      <c r="BC219" s="38"/>
      <c r="BD219" s="38"/>
      <c r="BE219" s="38"/>
      <c r="BF219" s="38"/>
      <c r="BG219" s="38"/>
      <c r="BH219" s="38"/>
      <c r="BI219" s="38"/>
      <c r="BJ219" s="38"/>
      <c r="BK219" s="38"/>
      <c r="BL219" s="38"/>
      <c r="BM219" s="38"/>
    </row>
    <row r="220" spans="1:65" ht="15" customHeight="1" x14ac:dyDescent="0.3">
      <c r="A220" s="38"/>
      <c r="B220" s="306"/>
      <c r="C220" s="307"/>
      <c r="D220" s="308"/>
      <c r="E220" s="290"/>
      <c r="F220" s="289"/>
      <c r="G220" s="289"/>
      <c r="H220" s="289"/>
      <c r="I220" s="313"/>
      <c r="J220" s="127" t="str">
        <f>IF(AND('Mapa final'!$AB$118="Muy Baja",'Mapa final'!$AD$118="Leve"),CONCATENATE("R38C",'Mapa final'!$R$118),"")</f>
        <v/>
      </c>
      <c r="K220" s="144" t="str">
        <f>IF(AND('Mapa final'!$AB$119="Muy Baja",'Mapa final'!$AD$119="Leve"),CONCATENATE("R38C",'Mapa final'!$R$119),"")</f>
        <v/>
      </c>
      <c r="L220" s="128" t="str">
        <f>IF(AND('Mapa final'!$AB$120="Muy Baja",'Mapa final'!$AD$120="Leve"),CONCATENATE("R38C",'Mapa final'!$R$120),"")</f>
        <v/>
      </c>
      <c r="M220" s="127" t="str">
        <f>IF(AND('Mapa final'!$AB$118="Muy Baja",'Mapa final'!$AD$118="Menor"),CONCATENATE("R38C",'Mapa final'!$R$118),"")</f>
        <v/>
      </c>
      <c r="N220" s="144" t="str">
        <f>IF(AND('Mapa final'!$AB$119="Muy Baja",'Mapa final'!$AD$119="Menor"),CONCATENATE("R38C",'Mapa final'!$R$119),"")</f>
        <v/>
      </c>
      <c r="O220" s="128" t="str">
        <f>IF(AND('Mapa final'!$AB$120="Muy Baja",'Mapa final'!$AD$120="Menor"),CONCATENATE("R38C",'Mapa final'!$R$120),"")</f>
        <v/>
      </c>
      <c r="P220" s="119" t="str">
        <f>IF(AND('Mapa final'!$AB$118="Muy Baja",'Mapa final'!$AD$118="Moderado"),CONCATENATE("R38C",'Mapa final'!$R$118),"")</f>
        <v/>
      </c>
      <c r="Q220" s="143" t="str">
        <f>IF(AND('Mapa final'!$AB$119="Muy Baja",'Mapa final'!$AD$119="Moderado"),CONCATENATE("R38C",'Mapa final'!$R$119),"")</f>
        <v/>
      </c>
      <c r="R220" s="120" t="str">
        <f>IF(AND('Mapa final'!$AB$120="Muy Baja",'Mapa final'!$AD$120="Moderado"),CONCATENATE("R38C",'Mapa final'!$R$120),"")</f>
        <v/>
      </c>
      <c r="S220" s="148" t="str">
        <f>IF(AND('Mapa final'!$AB$118="Muy Baja",'Mapa final'!$AD$118="Mayor"),CONCATENATE("R38C",'Mapa final'!$R$118),"")</f>
        <v/>
      </c>
      <c r="T220" s="149" t="str">
        <f>IF(AND('Mapa final'!$AB$119="Muy Baja",'Mapa final'!$AD$119="Mayor"),CONCATENATE("R38C",'Mapa final'!$R$119),"")</f>
        <v/>
      </c>
      <c r="U220" s="150" t="str">
        <f>IF(AND('Mapa final'!$AB$120="Muy Baja",'Mapa final'!$AD$120="Mayor"),CONCATENATE("R38C",'Mapa final'!$R$120),"")</f>
        <v/>
      </c>
      <c r="V220" s="114" t="str">
        <f>IF(AND('Mapa final'!$AB$118="Muy Baja",'Mapa final'!$AD$118="Catastrófico"),CONCATENATE("R38C",'Mapa final'!$R$118),"")</f>
        <v/>
      </c>
      <c r="W220" s="142" t="str">
        <f>IF(AND('Mapa final'!$AB$119="Muy Baja",'Mapa final'!$AD$119="Catastrófico"),CONCATENATE("R38C",'Mapa final'!$R$119),"")</f>
        <v/>
      </c>
      <c r="X220" s="115" t="str">
        <f>IF(AND('Mapa final'!$AB$120="Muy Baja",'Mapa final'!$AD$120="Catastrófico"),CONCATENATE("R38C",'Mapa final'!$R$120),"")</f>
        <v/>
      </c>
      <c r="Y220" s="38"/>
      <c r="Z220" s="38"/>
      <c r="AA220" s="38"/>
      <c r="AB220" s="38"/>
      <c r="AC220" s="38"/>
      <c r="AD220" s="38"/>
      <c r="AE220" s="38"/>
      <c r="AF220" s="38"/>
      <c r="AG220" s="38"/>
      <c r="AH220" s="38"/>
      <c r="AI220" s="38"/>
      <c r="AJ220" s="38"/>
      <c r="AK220" s="38"/>
      <c r="AL220" s="38"/>
      <c r="AM220" s="38"/>
      <c r="AN220" s="38"/>
      <c r="AO220" s="38"/>
      <c r="AP220" s="38"/>
      <c r="AQ220" s="38"/>
      <c r="AR220" s="38"/>
      <c r="AS220" s="38"/>
      <c r="AT220" s="38"/>
      <c r="AU220" s="38"/>
      <c r="AV220" s="38"/>
      <c r="AW220" s="38"/>
      <c r="AX220" s="38"/>
      <c r="AY220" s="38"/>
      <c r="AZ220" s="38"/>
      <c r="BA220" s="38"/>
      <c r="BB220" s="38"/>
      <c r="BC220" s="38"/>
      <c r="BD220" s="38"/>
      <c r="BE220" s="38"/>
      <c r="BF220" s="38"/>
      <c r="BG220" s="38"/>
      <c r="BH220" s="38"/>
      <c r="BI220" s="38"/>
      <c r="BJ220" s="38"/>
      <c r="BK220" s="38"/>
      <c r="BL220" s="38"/>
      <c r="BM220" s="38"/>
    </row>
    <row r="221" spans="1:65" ht="15" customHeight="1" x14ac:dyDescent="0.3">
      <c r="A221" s="38"/>
      <c r="B221" s="306"/>
      <c r="C221" s="307"/>
      <c r="D221" s="308"/>
      <c r="E221" s="290"/>
      <c r="F221" s="289"/>
      <c r="G221" s="289"/>
      <c r="H221" s="289"/>
      <c r="I221" s="313"/>
      <c r="J221" s="127" t="str">
        <f>IF(AND('Mapa final'!$AB$121="Muy Baja",'Mapa final'!$AD$121="Leve"),CONCATENATE("R39C",'Mapa final'!$R$121),"")</f>
        <v/>
      </c>
      <c r="K221" s="144" t="str">
        <f>IF(AND('Mapa final'!$AB$122="Muy Baja",'Mapa final'!$AD$122="Leve"),CONCATENATE("R39C",'Mapa final'!$R$122),"")</f>
        <v/>
      </c>
      <c r="L221" s="128" t="str">
        <f>IF(AND('Mapa final'!$AB$123="Muy Baja",'Mapa final'!$AD$123="Leve"),CONCATENATE("R39C",'Mapa final'!$R$123),"")</f>
        <v/>
      </c>
      <c r="M221" s="127" t="str">
        <f>IF(AND('Mapa final'!$AB$121="Muy Baja",'Mapa final'!$AD$121="Menor"),CONCATENATE("R39C",'Mapa final'!$R$121),"")</f>
        <v/>
      </c>
      <c r="N221" s="144" t="str">
        <f>IF(AND('Mapa final'!$AB$122="Muy Baja",'Mapa final'!$AD$122="Menor"),CONCATENATE("R39C",'Mapa final'!$R$122),"")</f>
        <v/>
      </c>
      <c r="O221" s="128" t="str">
        <f>IF(AND('Mapa final'!$AB$123="Muy Baja",'Mapa final'!$AD$123="Menor"),CONCATENATE("R39C",'Mapa final'!$R$123),"")</f>
        <v/>
      </c>
      <c r="P221" s="119" t="str">
        <f>IF(AND('Mapa final'!$AB$121="Muy Baja",'Mapa final'!$AD$121="Moderado"),CONCATENATE("R39C",'Mapa final'!$R$121),"")</f>
        <v/>
      </c>
      <c r="Q221" s="143" t="str">
        <f>IF(AND('Mapa final'!$AB$122="Muy Baja",'Mapa final'!$AD$122="Moderado"),CONCATENATE("R39C",'Mapa final'!$R$122),"")</f>
        <v/>
      </c>
      <c r="R221" s="120" t="str">
        <f>IF(AND('Mapa final'!$AB$123="Muy Baja",'Mapa final'!$AD$123="Moderado"),CONCATENATE("R39C",'Mapa final'!$R$123),"")</f>
        <v/>
      </c>
      <c r="S221" s="148" t="str">
        <f>IF(AND('Mapa final'!$AB$121="Muy Baja",'Mapa final'!$AD$121="Mayor"),CONCATENATE("R39C",'Mapa final'!$R$121),"")</f>
        <v/>
      </c>
      <c r="T221" s="149" t="str">
        <f>IF(AND('Mapa final'!$AB$122="Muy Baja",'Mapa final'!$AD$122="Mayor"),CONCATENATE("R39C",'Mapa final'!$R$122),"")</f>
        <v/>
      </c>
      <c r="U221" s="150" t="str">
        <f>IF(AND('Mapa final'!$AB$123="Muy Baja",'Mapa final'!$AD$123="Mayor"),CONCATENATE("R39C",'Mapa final'!$R$123),"")</f>
        <v/>
      </c>
      <c r="V221" s="114" t="str">
        <f>IF(AND('Mapa final'!$AB$121="Muy Baja",'Mapa final'!$AD$121="Catastrófico"),CONCATENATE("R39C",'Mapa final'!$R$121),"")</f>
        <v/>
      </c>
      <c r="W221" s="142" t="str">
        <f>IF(AND('Mapa final'!$AB$122="Muy Baja",'Mapa final'!$AD$122="Catastrófico"),CONCATENATE("R39C",'Mapa final'!$R$122),"")</f>
        <v/>
      </c>
      <c r="X221" s="115" t="str">
        <f>IF(AND('Mapa final'!$AB$123="Muy Baja",'Mapa final'!$AD$123="Catastrófico"),CONCATENATE("R39C",'Mapa final'!$R$123),"")</f>
        <v/>
      </c>
      <c r="Y221" s="38"/>
      <c r="Z221" s="38"/>
      <c r="AA221" s="38"/>
      <c r="AB221" s="38"/>
      <c r="AC221" s="38"/>
      <c r="AD221" s="38"/>
      <c r="AE221" s="38"/>
      <c r="AF221" s="38"/>
      <c r="AG221" s="38"/>
      <c r="AH221" s="38"/>
      <c r="AI221" s="38"/>
      <c r="AJ221" s="38"/>
      <c r="AK221" s="38"/>
      <c r="AL221" s="38"/>
      <c r="AM221" s="38"/>
      <c r="AN221" s="38"/>
      <c r="AO221" s="38"/>
      <c r="AP221" s="38"/>
      <c r="AQ221" s="38"/>
      <c r="AR221" s="38"/>
      <c r="AS221" s="38"/>
      <c r="AT221" s="38"/>
      <c r="AU221" s="38"/>
      <c r="AV221" s="38"/>
      <c r="AW221" s="38"/>
      <c r="AX221" s="38"/>
      <c r="AY221" s="38"/>
      <c r="AZ221" s="38"/>
      <c r="BA221" s="38"/>
      <c r="BB221" s="38"/>
      <c r="BC221" s="38"/>
      <c r="BD221" s="38"/>
      <c r="BE221" s="38"/>
      <c r="BF221" s="38"/>
      <c r="BG221" s="38"/>
      <c r="BH221" s="38"/>
      <c r="BI221" s="38"/>
      <c r="BJ221" s="38"/>
      <c r="BK221" s="38"/>
      <c r="BL221" s="38"/>
      <c r="BM221" s="38"/>
    </row>
    <row r="222" spans="1:65" ht="15" customHeight="1" x14ac:dyDescent="0.3">
      <c r="A222" s="38"/>
      <c r="B222" s="306"/>
      <c r="C222" s="307"/>
      <c r="D222" s="308"/>
      <c r="E222" s="290"/>
      <c r="F222" s="289"/>
      <c r="G222" s="289"/>
      <c r="H222" s="289"/>
      <c r="I222" s="313"/>
      <c r="J222" s="127" t="str">
        <f>IF(AND('Mapa final'!$AB$124="Muy Baja",'Mapa final'!$AD$124="Leve"),CONCATENATE("R40C",'Mapa final'!$R$124),"")</f>
        <v/>
      </c>
      <c r="K222" s="144" t="str">
        <f>IF(AND('Mapa final'!$AB$125="Muy Baja",'Mapa final'!$AD$125="Leve"),CONCATENATE("R40C",'Mapa final'!$R$125),"")</f>
        <v/>
      </c>
      <c r="L222" s="128" t="str">
        <f>IF(AND('Mapa final'!$AB$126="Muy Baja",'Mapa final'!$AD$126="Leve"),CONCATENATE("R40C",'Mapa final'!$R$126),"")</f>
        <v/>
      </c>
      <c r="M222" s="127" t="str">
        <f>IF(AND('Mapa final'!$AB$124="Muy Baja",'Mapa final'!$AD$124="Menor"),CONCATENATE("R40C",'Mapa final'!$R$124),"")</f>
        <v/>
      </c>
      <c r="N222" s="144" t="str">
        <f>IF(AND('Mapa final'!$AB$125="Muy Baja",'Mapa final'!$AD$125="Menor"),CONCATENATE("R40C",'Mapa final'!$R$125),"")</f>
        <v/>
      </c>
      <c r="O222" s="128" t="str">
        <f>IF(AND('Mapa final'!$AB$126="Muy Baja",'Mapa final'!$AD$126="Menor"),CONCATENATE("R40C",'Mapa final'!$R$126),"")</f>
        <v/>
      </c>
      <c r="P222" s="119" t="str">
        <f>IF(AND('Mapa final'!$AB$124="Muy Baja",'Mapa final'!$AD$124="Moderado"),CONCATENATE("R40C",'Mapa final'!$R$124),"")</f>
        <v/>
      </c>
      <c r="Q222" s="143" t="str">
        <f>IF(AND('Mapa final'!$AB$125="Muy Baja",'Mapa final'!$AD$125="Moderado"),CONCATENATE("R40C",'Mapa final'!$R$125),"")</f>
        <v/>
      </c>
      <c r="R222" s="120" t="str">
        <f>IF(AND('Mapa final'!$AB$126="Muy Baja",'Mapa final'!$AD$126="Moderado"),CONCATENATE("R40C",'Mapa final'!$R$126),"")</f>
        <v/>
      </c>
      <c r="S222" s="148" t="str">
        <f>IF(AND('Mapa final'!$AB$124="Muy Baja",'Mapa final'!$AD$124="Mayor"),CONCATENATE("R40C",'Mapa final'!$R$124),"")</f>
        <v/>
      </c>
      <c r="T222" s="149" t="str">
        <f>IF(AND('Mapa final'!$AB$125="Muy Baja",'Mapa final'!$AD$125="Mayor"),CONCATENATE("R40C",'Mapa final'!$R$125),"")</f>
        <v/>
      </c>
      <c r="U222" s="150" t="str">
        <f>IF(AND('Mapa final'!$AB$126="Muy Baja",'Mapa final'!$AD$126="Mayor"),CONCATENATE("R40C",'Mapa final'!$R$126),"")</f>
        <v/>
      </c>
      <c r="V222" s="114" t="str">
        <f>IF(AND('Mapa final'!$AB$124="Muy Baja",'Mapa final'!$AD$124="Catastrófico"),CONCATENATE("R40C",'Mapa final'!$R$124),"")</f>
        <v/>
      </c>
      <c r="W222" s="142" t="str">
        <f>IF(AND('Mapa final'!$AB$125="Muy Baja",'Mapa final'!$AD$125="Catastrófico"),CONCATENATE("R40C",'Mapa final'!$R$125),"")</f>
        <v/>
      </c>
      <c r="X222" s="115" t="str">
        <f>IF(AND('Mapa final'!$AB$126="Muy Baja",'Mapa final'!$AD$126="Catastrófico"),CONCATENATE("R40C",'Mapa final'!$R$126),"")</f>
        <v/>
      </c>
      <c r="Y222" s="38"/>
      <c r="Z222" s="38"/>
      <c r="AA222" s="38"/>
      <c r="AB222" s="38"/>
      <c r="AC222" s="38"/>
      <c r="AD222" s="38"/>
      <c r="AE222" s="38"/>
      <c r="AF222" s="38"/>
      <c r="AG222" s="38"/>
      <c r="AH222" s="38"/>
      <c r="AI222" s="38"/>
      <c r="AJ222" s="38"/>
      <c r="AK222" s="38"/>
      <c r="AL222" s="38"/>
      <c r="AM222" s="38"/>
      <c r="AN222" s="38"/>
      <c r="AO222" s="38"/>
      <c r="AP222" s="38"/>
      <c r="AQ222" s="38"/>
      <c r="AR222" s="38"/>
      <c r="AS222" s="38"/>
      <c r="AT222" s="38"/>
      <c r="AU222" s="38"/>
      <c r="AV222" s="38"/>
      <c r="AW222" s="38"/>
      <c r="AX222" s="38"/>
      <c r="AY222" s="38"/>
      <c r="AZ222" s="38"/>
      <c r="BA222" s="38"/>
      <c r="BB222" s="38"/>
      <c r="BC222" s="38"/>
      <c r="BD222" s="38"/>
      <c r="BE222" s="38"/>
      <c r="BF222" s="38"/>
      <c r="BG222" s="38"/>
      <c r="BH222" s="38"/>
      <c r="BI222" s="38"/>
      <c r="BJ222" s="38"/>
      <c r="BK222" s="38"/>
      <c r="BL222" s="38"/>
      <c r="BM222" s="38"/>
    </row>
    <row r="223" spans="1:65" ht="15" customHeight="1" x14ac:dyDescent="0.3">
      <c r="A223" s="38"/>
      <c r="B223" s="306"/>
      <c r="C223" s="307"/>
      <c r="D223" s="308"/>
      <c r="E223" s="290"/>
      <c r="F223" s="289"/>
      <c r="G223" s="289"/>
      <c r="H223" s="289"/>
      <c r="I223" s="313"/>
      <c r="J223" s="127" t="str">
        <f>IF(AND('Mapa final'!$AB$130="Muy Baja",'Mapa final'!$AD$130="Leve"),CONCATENATE("R41C",'Mapa final'!$R$130),"")</f>
        <v/>
      </c>
      <c r="K223" s="144" t="str">
        <f>IF(AND('Mapa final'!$AB$131="Muy Baja",'Mapa final'!$AD$131="Leve"),CONCATENATE("R41C",'Mapa final'!$R$131),"")</f>
        <v/>
      </c>
      <c r="L223" s="128" t="str">
        <f>IF(AND('Mapa final'!$AB$132="Muy Baja",'Mapa final'!$AD$132="Leve"),CONCATENATE("R41C",'Mapa final'!$R$132),"")</f>
        <v/>
      </c>
      <c r="M223" s="127" t="str">
        <f>IF(AND('Mapa final'!$AB$130="Muy Baja",'Mapa final'!$AD$130="Menor"),CONCATENATE("R41C",'Mapa final'!$R$130),"")</f>
        <v/>
      </c>
      <c r="N223" s="144" t="str">
        <f>IF(AND('Mapa final'!$AB$131="Muy Baja",'Mapa final'!$AD$131="Menor"),CONCATENATE("R41C",'Mapa final'!$R$131),"")</f>
        <v/>
      </c>
      <c r="O223" s="128" t="str">
        <f>IF(AND('Mapa final'!$AB$132="Muy Baja",'Mapa final'!$AD$132="Menor"),CONCATENATE("R41C",'Mapa final'!$R$132),"")</f>
        <v/>
      </c>
      <c r="P223" s="119" t="str">
        <f>IF(AND('Mapa final'!$AB$130="Muy Baja",'Mapa final'!$AD$130="Moderado"),CONCATENATE("R41C",'Mapa final'!$R$130),"")</f>
        <v/>
      </c>
      <c r="Q223" s="143" t="str">
        <f>IF(AND('Mapa final'!$AB$131="Muy Baja",'Mapa final'!$AD$131="Moderado"),CONCATENATE("R41C",'Mapa final'!$R$131),"")</f>
        <v/>
      </c>
      <c r="R223" s="120" t="str">
        <f>IF(AND('Mapa final'!$AB$132="Muy Baja",'Mapa final'!$AD$132="Moderado"),CONCATENATE("R41C",'Mapa final'!$R$132),"")</f>
        <v/>
      </c>
      <c r="S223" s="148" t="str">
        <f>IF(AND('Mapa final'!$AB$130="Muy Baja",'Mapa final'!$AD$130="Mayor"),CONCATENATE("R41C",'Mapa final'!$R$130),"")</f>
        <v/>
      </c>
      <c r="T223" s="149" t="str">
        <f>IF(AND('Mapa final'!$AB$131="Muy Baja",'Mapa final'!$AD$131="Mayor"),CONCATENATE("R41C",'Mapa final'!$R$131),"")</f>
        <v/>
      </c>
      <c r="U223" s="150" t="str">
        <f>IF(AND('Mapa final'!$AB$132="Muy Baja",'Mapa final'!$AD$132="Mayor"),CONCATENATE("R41C",'Mapa final'!$R$132),"")</f>
        <v/>
      </c>
      <c r="V223" s="114" t="str">
        <f>IF(AND('Mapa final'!$AB$130="Muy Baja",'Mapa final'!$AD$130="Catastrófico"),CONCATENATE("R41C",'Mapa final'!$R$130),"")</f>
        <v/>
      </c>
      <c r="W223" s="142" t="str">
        <f>IF(AND('Mapa final'!$AB$131="Muy Baja",'Mapa final'!$AD$131="Catastrófico"),CONCATENATE("R41C",'Mapa final'!$R$131),"")</f>
        <v/>
      </c>
      <c r="X223" s="115" t="str">
        <f>IF(AND('Mapa final'!$AB$132="Muy Baja",'Mapa final'!$AD$132="Catastrófico"),CONCATENATE("R41C",'Mapa final'!$R$132),"")</f>
        <v/>
      </c>
      <c r="Y223" s="38"/>
      <c r="Z223" s="38"/>
      <c r="AA223" s="38"/>
      <c r="AB223" s="38"/>
      <c r="AC223" s="38"/>
      <c r="AD223" s="38"/>
      <c r="AE223" s="38"/>
      <c r="AF223" s="38"/>
      <c r="AG223" s="38"/>
      <c r="AH223" s="38"/>
      <c r="AI223" s="38"/>
      <c r="AJ223" s="38"/>
      <c r="AK223" s="38"/>
      <c r="AL223" s="38"/>
      <c r="AM223" s="38"/>
      <c r="AN223" s="38"/>
      <c r="AO223" s="38"/>
      <c r="AP223" s="38"/>
      <c r="AQ223" s="38"/>
      <c r="AR223" s="38"/>
      <c r="AS223" s="38"/>
      <c r="AT223" s="38"/>
      <c r="AU223" s="38"/>
      <c r="AV223" s="38"/>
      <c r="AW223" s="38"/>
      <c r="AX223" s="38"/>
      <c r="AY223" s="38"/>
      <c r="AZ223" s="38"/>
      <c r="BA223" s="38"/>
      <c r="BB223" s="38"/>
      <c r="BC223" s="38"/>
      <c r="BD223" s="38"/>
      <c r="BE223" s="38"/>
      <c r="BF223" s="38"/>
      <c r="BG223" s="38"/>
      <c r="BH223" s="38"/>
      <c r="BI223" s="38"/>
      <c r="BJ223" s="38"/>
      <c r="BK223" s="38"/>
      <c r="BL223" s="38"/>
      <c r="BM223" s="38"/>
    </row>
    <row r="224" spans="1:65" ht="15" customHeight="1" x14ac:dyDescent="0.3">
      <c r="A224" s="38"/>
      <c r="B224" s="306"/>
      <c r="C224" s="307"/>
      <c r="D224" s="308"/>
      <c r="E224" s="290"/>
      <c r="F224" s="289"/>
      <c r="G224" s="289"/>
      <c r="H224" s="289"/>
      <c r="I224" s="313"/>
      <c r="J224" s="127" t="str">
        <f>IF(AND('Mapa final'!$AB$133="Muy Baja",'Mapa final'!$AD$133="Leve"),CONCATENATE("R42C",'Mapa final'!$R$133),"")</f>
        <v/>
      </c>
      <c r="K224" s="144" t="str">
        <f>IF(AND('Mapa final'!$AB$134="Muy Baja",'Mapa final'!$AD$134="Leve"),CONCATENATE("R42C",'Mapa final'!$R$134),"")</f>
        <v/>
      </c>
      <c r="L224" s="128" t="str">
        <f>IF(AND('Mapa final'!$AB$135="Muy Baja",'Mapa final'!$AD$135="Leve"),CONCATENATE("R42C",'Mapa final'!$R$135),"")</f>
        <v/>
      </c>
      <c r="M224" s="127" t="str">
        <f>IF(AND('Mapa final'!$AB$133="Muy Baja",'Mapa final'!$AD$133="Menor"),CONCATENATE("R42C",'Mapa final'!$R$133),"")</f>
        <v/>
      </c>
      <c r="N224" s="144" t="str">
        <f>IF(AND('Mapa final'!$AB$134="Muy Baja",'Mapa final'!$AD$134="Menor"),CONCATENATE("R42C",'Mapa final'!$R$134),"")</f>
        <v/>
      </c>
      <c r="O224" s="128" t="str">
        <f>IF(AND('Mapa final'!$AB$135="Muy Baja",'Mapa final'!$AD$135="Menor"),CONCATENATE("R42C",'Mapa final'!$R$135),"")</f>
        <v/>
      </c>
      <c r="P224" s="119" t="str">
        <f>IF(AND('Mapa final'!$AB$133="Muy Baja",'Mapa final'!$AD$133="Moderado"),CONCATENATE("R42C",'Mapa final'!$R$133),"")</f>
        <v/>
      </c>
      <c r="Q224" s="143" t="str">
        <f>IF(AND('Mapa final'!$AB$134="Muy Baja",'Mapa final'!$AD$134="Moderado"),CONCATENATE("R42C",'Mapa final'!$R$134),"")</f>
        <v/>
      </c>
      <c r="R224" s="120" t="str">
        <f>IF(AND('Mapa final'!$AB$135="Muy Baja",'Mapa final'!$AD$135="Moderado"),CONCATENATE("R42C",'Mapa final'!$R$135),"")</f>
        <v/>
      </c>
      <c r="S224" s="148" t="str">
        <f>IF(AND('Mapa final'!$AB$133="Muy Baja",'Mapa final'!$AD$133="Mayor"),CONCATENATE("R42C",'Mapa final'!$R$133),"")</f>
        <v/>
      </c>
      <c r="T224" s="149" t="str">
        <f>IF(AND('Mapa final'!$AB$134="Muy Baja",'Mapa final'!$AD$134="Mayor"),CONCATENATE("R42C",'Mapa final'!$R$134),"")</f>
        <v/>
      </c>
      <c r="U224" s="150" t="str">
        <f>IF(AND('Mapa final'!$AB$135="Muy Baja",'Mapa final'!$AD$135="Mayor"),CONCATENATE("R42C",'Mapa final'!$R$135),"")</f>
        <v/>
      </c>
      <c r="V224" s="114" t="str">
        <f>IF(AND('Mapa final'!$AB$133="Muy Baja",'Mapa final'!$AD$133="Catastrófico"),CONCATENATE("R42C",'Mapa final'!$R$133),"")</f>
        <v/>
      </c>
      <c r="W224" s="142" t="str">
        <f>IF(AND('Mapa final'!$AB$134="Muy Baja",'Mapa final'!$AD$134="Catastrófico"),CONCATENATE("R42C",'Mapa final'!$R$134),"")</f>
        <v/>
      </c>
      <c r="X224" s="115" t="str">
        <f>IF(AND('Mapa final'!$AB$135="Muy Baja",'Mapa final'!$AD$135="Catastrófico"),CONCATENATE("R42C",'Mapa final'!$R$135),"")</f>
        <v/>
      </c>
      <c r="Y224" s="38"/>
      <c r="Z224" s="38"/>
      <c r="AA224" s="38"/>
      <c r="AB224" s="38"/>
      <c r="AC224" s="38"/>
      <c r="AD224" s="38"/>
      <c r="AE224" s="38"/>
      <c r="AF224" s="38"/>
      <c r="AG224" s="38"/>
      <c r="AH224" s="38"/>
      <c r="AI224" s="38"/>
      <c r="AJ224" s="38"/>
      <c r="AK224" s="38"/>
      <c r="AL224" s="38"/>
      <c r="AM224" s="38"/>
      <c r="AN224" s="38"/>
      <c r="AO224" s="38"/>
      <c r="AP224" s="38"/>
      <c r="AQ224" s="38"/>
      <c r="AR224" s="38"/>
      <c r="AS224" s="38"/>
      <c r="AT224" s="38"/>
      <c r="AU224" s="38"/>
      <c r="AV224" s="38"/>
      <c r="AW224" s="38"/>
      <c r="AX224" s="38"/>
      <c r="AY224" s="38"/>
      <c r="AZ224" s="38"/>
      <c r="BA224" s="38"/>
      <c r="BB224" s="38"/>
      <c r="BC224" s="38"/>
      <c r="BD224" s="38"/>
      <c r="BE224" s="38"/>
      <c r="BF224" s="38"/>
      <c r="BG224" s="38"/>
      <c r="BH224" s="38"/>
      <c r="BI224" s="38"/>
      <c r="BJ224" s="38"/>
      <c r="BK224" s="38"/>
      <c r="BL224" s="38"/>
      <c r="BM224" s="38"/>
    </row>
    <row r="225" spans="1:65" ht="15" customHeight="1" thickBot="1" x14ac:dyDescent="0.35">
      <c r="A225" s="38"/>
      <c r="B225" s="309"/>
      <c r="C225" s="310"/>
      <c r="D225" s="311"/>
      <c r="E225" s="314"/>
      <c r="F225" s="315"/>
      <c r="G225" s="315"/>
      <c r="H225" s="315"/>
      <c r="I225" s="316"/>
      <c r="J225" s="129" t="str">
        <f>IF(AND('Mapa final'!$AB$136="Muy Baja",'Mapa final'!$AD$136="Leve"),CONCATENATE("R43C",'Mapa final'!$R$136),"")</f>
        <v/>
      </c>
      <c r="K225" s="130" t="str">
        <f>IF(AND('Mapa final'!$AB$137="Muy Baja",'Mapa final'!$AD$137="Leve"),CONCATENATE("R43C",'Mapa final'!$R$137),"")</f>
        <v/>
      </c>
      <c r="L225" s="131" t="str">
        <f>IF(AND('Mapa final'!$AB$138="Muy Baja",'Mapa final'!$AD$138="Leve"),CONCATENATE("R43C",'Mapa final'!$R$138),"")</f>
        <v/>
      </c>
      <c r="M225" s="129" t="str">
        <f>IF(AND('Mapa final'!$AB$136="Muy Baja",'Mapa final'!$AD$136="Menor"),CONCATENATE("R43C",'Mapa final'!$R$136),"")</f>
        <v/>
      </c>
      <c r="N225" s="130" t="str">
        <f>IF(AND('Mapa final'!$AB$137="Muy Baja",'Mapa final'!$AD$137="Menor"),CONCATENATE("R43C",'Mapa final'!$R$137),"")</f>
        <v/>
      </c>
      <c r="O225" s="131" t="str">
        <f>IF(AND('Mapa final'!$AB$138="Muy Baja",'Mapa final'!$AD$138="Menor"),CONCATENATE("R43C",'Mapa final'!$R$138),"")</f>
        <v/>
      </c>
      <c r="P225" s="121" t="str">
        <f>IF(AND('Mapa final'!$AB$136="Muy Baja",'Mapa final'!$AD$136="Moderado"),CONCATENATE("R43C",'Mapa final'!$R$136),"")</f>
        <v/>
      </c>
      <c r="Q225" s="122" t="str">
        <f>IF(AND('Mapa final'!$AB$137="Muy Baja",'Mapa final'!$AD$137="Moderado"),CONCATENATE("R43C",'Mapa final'!$R$137),"")</f>
        <v/>
      </c>
      <c r="R225" s="123" t="str">
        <f>IF(AND('Mapa final'!$AB$138="Muy Baja",'Mapa final'!$AD$138="Moderado"),CONCATENATE("R43C",'Mapa final'!$R$138),"")</f>
        <v/>
      </c>
      <c r="S225" s="151" t="str">
        <f>IF(AND('Mapa final'!$AB$136="Muy Baja",'Mapa final'!$AD$136="Mayor"),CONCATENATE("R43C",'Mapa final'!$R$136),"")</f>
        <v/>
      </c>
      <c r="T225" s="152" t="str">
        <f>IF(AND('Mapa final'!$AB$137="Muy Baja",'Mapa final'!$AD$137="Mayor"),CONCATENATE("R43C",'Mapa final'!$R$137),"")</f>
        <v/>
      </c>
      <c r="U225" s="153" t="str">
        <f>IF(AND('Mapa final'!$AB$138="Muy Baja",'Mapa final'!$AD$138="Mayor"),CONCATENATE("R43C",'Mapa final'!$R$138),"")</f>
        <v/>
      </c>
      <c r="V225" s="132" t="str">
        <f>IF(AND('Mapa final'!$AB$136="Muy Baja",'Mapa final'!$AD$136="Catastrófico"),CONCATENATE("R43C",'Mapa final'!$R$136),"")</f>
        <v/>
      </c>
      <c r="W225" s="133" t="str">
        <f>IF(AND('Mapa final'!$AB$137="Muy Baja",'Mapa final'!$AD$137="Catastrófico"),CONCATENATE("R43C",'Mapa final'!$R$137),"")</f>
        <v/>
      </c>
      <c r="X225" s="134" t="str">
        <f>IF(AND('Mapa final'!$AB$138="Muy Baja",'Mapa final'!$AD$138="Catastrófico"),CONCATENATE("R43C",'Mapa final'!$R$138),"")</f>
        <v/>
      </c>
      <c r="Y225" s="38"/>
      <c r="Z225" s="38"/>
      <c r="AA225" s="38"/>
      <c r="AB225" s="38"/>
      <c r="AC225" s="38"/>
      <c r="AD225" s="38"/>
      <c r="AE225" s="38"/>
      <c r="AF225" s="38"/>
      <c r="AG225" s="38"/>
      <c r="AH225" s="38"/>
      <c r="AI225" s="38"/>
      <c r="AJ225" s="38"/>
      <c r="AK225" s="38"/>
      <c r="AL225" s="38"/>
      <c r="AM225" s="38"/>
      <c r="AN225" s="38"/>
      <c r="AO225" s="38"/>
      <c r="AP225" s="38"/>
      <c r="AQ225" s="38"/>
      <c r="AR225" s="38"/>
      <c r="AS225" s="38"/>
      <c r="AT225" s="38"/>
      <c r="AU225" s="38"/>
      <c r="AV225" s="38"/>
      <c r="AW225" s="38"/>
      <c r="AX225" s="38"/>
      <c r="AY225" s="38"/>
      <c r="AZ225" s="38"/>
      <c r="BA225" s="38"/>
      <c r="BB225" s="38"/>
      <c r="BC225" s="38"/>
      <c r="BD225" s="38"/>
      <c r="BE225" s="38"/>
      <c r="BF225" s="38"/>
      <c r="BG225" s="38"/>
      <c r="BH225" s="38"/>
      <c r="BI225" s="38"/>
      <c r="BJ225" s="38"/>
      <c r="BK225" s="38"/>
      <c r="BL225" s="38"/>
      <c r="BM225" s="38"/>
    </row>
    <row r="226" spans="1:65" x14ac:dyDescent="0.3">
      <c r="A226" s="38"/>
      <c r="B226" s="38"/>
      <c r="C226" s="38"/>
      <c r="D226" s="38"/>
      <c r="E226" s="38"/>
      <c r="F226" s="38"/>
      <c r="G226" s="38"/>
      <c r="H226" s="38"/>
      <c r="I226" s="38"/>
      <c r="J226" s="329" t="s">
        <v>103</v>
      </c>
      <c r="K226" s="289"/>
      <c r="L226" s="289"/>
      <c r="M226" s="288" t="s">
        <v>102</v>
      </c>
      <c r="N226" s="289"/>
      <c r="O226" s="289"/>
      <c r="P226" s="288" t="s">
        <v>101</v>
      </c>
      <c r="Q226" s="289"/>
      <c r="R226" s="289"/>
      <c r="S226" s="288" t="s">
        <v>100</v>
      </c>
      <c r="T226" s="334"/>
      <c r="U226" s="289"/>
      <c r="V226" s="288" t="s">
        <v>99</v>
      </c>
      <c r="W226" s="289"/>
      <c r="X226" s="335"/>
      <c r="Y226" s="38"/>
      <c r="Z226" s="38"/>
      <c r="AA226" s="38"/>
      <c r="AB226" s="38"/>
      <c r="AC226" s="38"/>
      <c r="AD226" s="38"/>
      <c r="AE226" s="38"/>
      <c r="AF226" s="38"/>
      <c r="AG226" s="38"/>
      <c r="AH226" s="38"/>
      <c r="AI226" s="38"/>
      <c r="AJ226" s="38"/>
      <c r="AK226" s="38"/>
      <c r="AL226" s="38"/>
      <c r="AM226" s="38"/>
      <c r="AN226" s="38"/>
      <c r="AO226" s="38"/>
      <c r="AP226" s="38"/>
      <c r="AQ226" s="38"/>
      <c r="AR226" s="38"/>
      <c r="AS226" s="38"/>
      <c r="AT226" s="38"/>
      <c r="AU226" s="38"/>
      <c r="AV226" s="38"/>
      <c r="AW226" s="38"/>
      <c r="AX226" s="38"/>
      <c r="AY226" s="38"/>
      <c r="AZ226" s="38"/>
      <c r="BA226" s="38"/>
      <c r="BB226" s="38"/>
      <c r="BC226" s="38"/>
      <c r="BD226" s="38"/>
      <c r="BE226" s="38"/>
      <c r="BF226" s="38"/>
      <c r="BG226" s="38"/>
      <c r="BH226" s="38"/>
      <c r="BI226" s="38"/>
      <c r="BJ226" s="38"/>
      <c r="BK226" s="38"/>
      <c r="BL226" s="38"/>
      <c r="BM226" s="38"/>
    </row>
    <row r="227" spans="1:65" x14ac:dyDescent="0.3">
      <c r="A227" s="38"/>
      <c r="B227" s="38"/>
      <c r="C227" s="38"/>
      <c r="D227" s="38"/>
      <c r="E227" s="38"/>
      <c r="F227" s="38"/>
      <c r="G227" s="38"/>
      <c r="H227" s="38"/>
      <c r="I227" s="38"/>
      <c r="J227" s="330"/>
      <c r="K227" s="289"/>
      <c r="L227" s="289"/>
      <c r="M227" s="290"/>
      <c r="N227" s="289"/>
      <c r="O227" s="289"/>
      <c r="P227" s="290"/>
      <c r="Q227" s="289"/>
      <c r="R227" s="289"/>
      <c r="S227" s="290"/>
      <c r="T227" s="289"/>
      <c r="U227" s="289"/>
      <c r="V227" s="290"/>
      <c r="W227" s="289"/>
      <c r="X227" s="335"/>
      <c r="Y227" s="38"/>
      <c r="Z227" s="38"/>
      <c r="AA227" s="38"/>
      <c r="AB227" s="38"/>
      <c r="AC227" s="38"/>
      <c r="AD227" s="38"/>
      <c r="AE227" s="38"/>
      <c r="AF227" s="38"/>
      <c r="AG227" s="38"/>
      <c r="AH227" s="38"/>
      <c r="AI227" s="38"/>
      <c r="AJ227" s="38"/>
      <c r="AK227" s="38"/>
      <c r="AL227" s="38"/>
      <c r="AM227" s="38"/>
      <c r="AN227" s="38"/>
      <c r="AO227" s="38"/>
      <c r="AP227" s="38"/>
      <c r="AQ227" s="38"/>
      <c r="AR227" s="38"/>
      <c r="AS227" s="38"/>
      <c r="AT227" s="38"/>
      <c r="AU227" s="38"/>
      <c r="AV227" s="38"/>
      <c r="AW227" s="38"/>
      <c r="AX227" s="38"/>
      <c r="AY227" s="38"/>
      <c r="AZ227" s="38"/>
      <c r="BA227" s="38"/>
      <c r="BB227" s="38"/>
      <c r="BC227" s="38"/>
      <c r="BD227" s="38"/>
      <c r="BE227" s="38"/>
      <c r="BF227" s="38"/>
      <c r="BG227" s="38"/>
      <c r="BH227" s="38"/>
      <c r="BI227" s="38"/>
      <c r="BJ227" s="38"/>
      <c r="BK227" s="38"/>
      <c r="BL227" s="38"/>
      <c r="BM227" s="38"/>
    </row>
    <row r="228" spans="1:65" x14ac:dyDescent="0.3">
      <c r="A228" s="38"/>
      <c r="B228" s="38"/>
      <c r="C228" s="38"/>
      <c r="D228" s="38"/>
      <c r="E228" s="38"/>
      <c r="F228" s="38"/>
      <c r="G228" s="38"/>
      <c r="H228" s="38"/>
      <c r="I228" s="38"/>
      <c r="J228" s="330"/>
      <c r="K228" s="289"/>
      <c r="L228" s="289"/>
      <c r="M228" s="290"/>
      <c r="N228" s="289"/>
      <c r="O228" s="289"/>
      <c r="P228" s="290"/>
      <c r="Q228" s="289"/>
      <c r="R228" s="289"/>
      <c r="S228" s="290"/>
      <c r="T228" s="289"/>
      <c r="U228" s="289"/>
      <c r="V228" s="290"/>
      <c r="W228" s="289"/>
      <c r="X228" s="335"/>
      <c r="Y228" s="38"/>
      <c r="Z228" s="38"/>
      <c r="AA228" s="38"/>
      <c r="AB228" s="38"/>
      <c r="AC228" s="38"/>
      <c r="AD228" s="38"/>
      <c r="AE228" s="38"/>
      <c r="AF228" s="38"/>
      <c r="AG228" s="38"/>
      <c r="AH228" s="38"/>
      <c r="AI228" s="38"/>
      <c r="AJ228" s="38"/>
      <c r="AK228" s="38"/>
      <c r="AL228" s="38"/>
      <c r="AM228" s="38"/>
      <c r="AN228" s="38"/>
      <c r="AO228" s="38"/>
      <c r="AP228" s="38"/>
      <c r="AQ228" s="38"/>
      <c r="AR228" s="38"/>
      <c r="AS228" s="38"/>
      <c r="AT228" s="38"/>
      <c r="AU228" s="38"/>
      <c r="AV228" s="38"/>
      <c r="AW228" s="38"/>
      <c r="AX228" s="38"/>
      <c r="AY228" s="38"/>
      <c r="AZ228" s="38"/>
      <c r="BA228" s="38"/>
      <c r="BB228" s="38"/>
      <c r="BC228" s="38"/>
      <c r="BD228" s="38"/>
      <c r="BE228" s="38"/>
      <c r="BF228" s="38"/>
      <c r="BG228" s="38"/>
      <c r="BH228" s="38"/>
      <c r="BI228" s="38"/>
      <c r="BJ228" s="38"/>
      <c r="BK228" s="38"/>
      <c r="BL228" s="38"/>
      <c r="BM228" s="38"/>
    </row>
    <row r="229" spans="1:65" x14ac:dyDescent="0.3">
      <c r="A229" s="38"/>
      <c r="B229" s="38"/>
      <c r="C229" s="38"/>
      <c r="D229" s="38"/>
      <c r="E229" s="38"/>
      <c r="F229" s="38"/>
      <c r="G229" s="38"/>
      <c r="H229" s="38"/>
      <c r="I229" s="38"/>
      <c r="J229" s="330"/>
      <c r="K229" s="289"/>
      <c r="L229" s="289"/>
      <c r="M229" s="290"/>
      <c r="N229" s="289"/>
      <c r="O229" s="289"/>
      <c r="P229" s="290"/>
      <c r="Q229" s="289"/>
      <c r="R229" s="289"/>
      <c r="S229" s="290"/>
      <c r="T229" s="289"/>
      <c r="U229" s="289"/>
      <c r="V229" s="290"/>
      <c r="W229" s="289"/>
      <c r="X229" s="335"/>
      <c r="Y229" s="38"/>
      <c r="Z229" s="38"/>
      <c r="AA229" s="38"/>
      <c r="AB229" s="38"/>
      <c r="AC229" s="38"/>
      <c r="AD229" s="38"/>
      <c r="AE229" s="38"/>
      <c r="AF229" s="38"/>
      <c r="AG229" s="38"/>
      <c r="AH229" s="38"/>
      <c r="AI229" s="38"/>
      <c r="AJ229" s="38"/>
      <c r="AK229" s="38"/>
      <c r="AL229" s="38"/>
      <c r="AM229" s="38"/>
      <c r="AN229" s="38"/>
      <c r="AO229" s="38"/>
      <c r="AP229" s="38"/>
      <c r="AQ229" s="38"/>
      <c r="AR229" s="38"/>
      <c r="AS229" s="38"/>
      <c r="AT229" s="38"/>
      <c r="AU229" s="38"/>
      <c r="AV229" s="38"/>
      <c r="AW229" s="38"/>
      <c r="AX229" s="38"/>
      <c r="AY229" s="38"/>
      <c r="AZ229" s="38"/>
      <c r="BA229" s="38"/>
      <c r="BB229" s="38"/>
      <c r="BC229" s="38"/>
      <c r="BD229" s="38"/>
      <c r="BE229" s="38"/>
      <c r="BF229" s="38"/>
      <c r="BG229" s="38"/>
      <c r="BH229" s="38"/>
      <c r="BI229" s="38"/>
      <c r="BJ229" s="38"/>
      <c r="BK229" s="38"/>
      <c r="BL229" s="38"/>
      <c r="BM229" s="38"/>
    </row>
    <row r="230" spans="1:65" x14ac:dyDescent="0.3">
      <c r="A230" s="38"/>
      <c r="B230" s="38"/>
      <c r="C230" s="38"/>
      <c r="D230" s="38"/>
      <c r="E230" s="38"/>
      <c r="F230" s="38"/>
      <c r="G230" s="38"/>
      <c r="H230" s="38"/>
      <c r="I230" s="38"/>
      <c r="J230" s="330"/>
      <c r="K230" s="289"/>
      <c r="L230" s="289"/>
      <c r="M230" s="290"/>
      <c r="N230" s="289"/>
      <c r="O230" s="289"/>
      <c r="P230" s="290"/>
      <c r="Q230" s="289"/>
      <c r="R230" s="289"/>
      <c r="S230" s="290"/>
      <c r="T230" s="289"/>
      <c r="U230" s="289"/>
      <c r="V230" s="290"/>
      <c r="W230" s="289"/>
      <c r="X230" s="335"/>
      <c r="Y230" s="38"/>
      <c r="Z230" s="38"/>
      <c r="AA230" s="38"/>
      <c r="AB230" s="38"/>
      <c r="AC230" s="38"/>
      <c r="AD230" s="38"/>
      <c r="AE230" s="38"/>
      <c r="AF230" s="38"/>
      <c r="AG230" s="38"/>
      <c r="AH230" s="38"/>
      <c r="AI230" s="38"/>
      <c r="AJ230" s="38"/>
      <c r="AK230" s="38"/>
      <c r="AL230" s="38"/>
      <c r="AM230" s="38"/>
      <c r="AN230" s="38"/>
      <c r="AO230" s="38"/>
      <c r="AP230" s="38"/>
      <c r="AQ230" s="38"/>
      <c r="AR230" s="38"/>
      <c r="AS230" s="38"/>
      <c r="AT230" s="38"/>
      <c r="AU230" s="38"/>
      <c r="AV230" s="38"/>
      <c r="AW230" s="38"/>
      <c r="AX230" s="38"/>
      <c r="AY230" s="38"/>
      <c r="AZ230" s="38"/>
      <c r="BA230" s="38"/>
      <c r="BB230" s="38"/>
      <c r="BC230" s="38"/>
      <c r="BD230" s="38"/>
      <c r="BE230" s="38"/>
      <c r="BF230" s="38"/>
      <c r="BG230" s="38"/>
      <c r="BH230" s="38"/>
      <c r="BI230" s="38"/>
      <c r="BJ230" s="38"/>
      <c r="BK230" s="38"/>
      <c r="BL230" s="38"/>
      <c r="BM230" s="38"/>
    </row>
    <row r="231" spans="1:65" ht="15" thickBot="1" x14ac:dyDescent="0.35">
      <c r="A231" s="38"/>
      <c r="B231" s="38"/>
      <c r="C231" s="38"/>
      <c r="D231" s="38"/>
      <c r="E231" s="38"/>
      <c r="F231" s="38"/>
      <c r="G231" s="38"/>
      <c r="H231" s="38"/>
      <c r="I231" s="38"/>
      <c r="J231" s="331"/>
      <c r="K231" s="332"/>
      <c r="L231" s="332"/>
      <c r="M231" s="333"/>
      <c r="N231" s="332"/>
      <c r="O231" s="332"/>
      <c r="P231" s="333"/>
      <c r="Q231" s="332"/>
      <c r="R231" s="332"/>
      <c r="S231" s="333"/>
      <c r="T231" s="332"/>
      <c r="U231" s="332"/>
      <c r="V231" s="333"/>
      <c r="W231" s="332"/>
      <c r="X231" s="336"/>
      <c r="Y231" s="38"/>
      <c r="Z231" s="38"/>
      <c r="AA231" s="38"/>
      <c r="AB231" s="38"/>
      <c r="AC231" s="38"/>
      <c r="AD231" s="38"/>
      <c r="AE231" s="38"/>
      <c r="AF231" s="38"/>
      <c r="AG231" s="38"/>
      <c r="AH231" s="38"/>
      <c r="AI231" s="38"/>
      <c r="AJ231" s="38"/>
      <c r="AK231" s="38"/>
      <c r="AL231" s="38"/>
      <c r="AM231" s="38"/>
      <c r="AN231" s="38"/>
      <c r="AO231" s="38"/>
      <c r="AP231" s="38"/>
      <c r="AQ231" s="38"/>
      <c r="AR231" s="38"/>
      <c r="AS231" s="38"/>
      <c r="AT231" s="38"/>
      <c r="AU231" s="38"/>
      <c r="AV231" s="38"/>
      <c r="AW231" s="38"/>
      <c r="AX231" s="38"/>
      <c r="AY231" s="38"/>
      <c r="AZ231" s="38"/>
      <c r="BA231" s="38"/>
      <c r="BB231" s="38"/>
      <c r="BC231" s="38"/>
      <c r="BD231" s="38"/>
      <c r="BE231" s="38"/>
      <c r="BF231" s="38"/>
      <c r="BG231" s="38"/>
      <c r="BH231" s="38"/>
      <c r="BI231" s="38"/>
      <c r="BJ231" s="38"/>
      <c r="BK231" s="38"/>
      <c r="BL231" s="38"/>
      <c r="BM231" s="38"/>
    </row>
    <row r="232" spans="1:65" x14ac:dyDescent="0.3">
      <c r="A232" s="38"/>
      <c r="B232" s="38"/>
      <c r="C232" s="38"/>
      <c r="D232" s="38"/>
      <c r="E232" s="38"/>
      <c r="F232" s="38"/>
      <c r="G232" s="38"/>
      <c r="H232" s="38"/>
      <c r="I232" s="38"/>
      <c r="J232" s="38"/>
      <c r="K232" s="38"/>
      <c r="L232" s="38"/>
      <c r="M232" s="38"/>
      <c r="N232" s="38"/>
      <c r="O232" s="38"/>
      <c r="P232" s="38"/>
      <c r="Q232" s="38"/>
      <c r="R232" s="38"/>
      <c r="S232" s="38"/>
      <c r="T232" s="38"/>
      <c r="U232" s="38"/>
      <c r="V232" s="38"/>
      <c r="W232" s="38"/>
      <c r="X232" s="38"/>
      <c r="Y232" s="38"/>
      <c r="Z232" s="38"/>
      <c r="AA232" s="38"/>
      <c r="AB232" s="38"/>
      <c r="AC232" s="38"/>
      <c r="AD232" s="38"/>
      <c r="AE232" s="38"/>
      <c r="AF232" s="38"/>
      <c r="AG232" s="38"/>
      <c r="AH232" s="38"/>
      <c r="AI232" s="38"/>
      <c r="AJ232" s="38"/>
      <c r="AK232" s="38"/>
      <c r="AL232" s="38"/>
      <c r="AM232" s="38"/>
      <c r="AN232" s="38"/>
      <c r="AO232" s="38"/>
      <c r="AP232" s="38"/>
      <c r="AQ232" s="38"/>
      <c r="AR232" s="38"/>
      <c r="AS232" s="38"/>
    </row>
    <row r="233" spans="1:65" ht="15" customHeight="1" x14ac:dyDescent="0.3">
      <c r="A233" s="38"/>
      <c r="B233" s="42"/>
      <c r="C233" s="42"/>
      <c r="D233" s="42"/>
      <c r="E233" s="42"/>
      <c r="F233" s="42"/>
      <c r="G233" s="42"/>
      <c r="H233" s="42"/>
      <c r="I233" s="42"/>
      <c r="J233" s="42"/>
      <c r="K233" s="42"/>
      <c r="L233" s="42"/>
      <c r="M233" s="42"/>
      <c r="N233" s="42"/>
      <c r="O233" s="42"/>
      <c r="P233" s="42"/>
      <c r="Q233" s="42"/>
      <c r="R233" s="42"/>
      <c r="S233" s="42"/>
      <c r="T233" s="42"/>
      <c r="U233" s="42"/>
      <c r="V233" s="42"/>
      <c r="W233" s="42"/>
      <c r="X233" s="42"/>
      <c r="Y233" s="42"/>
      <c r="Z233" s="42"/>
      <c r="AA233" s="42"/>
      <c r="AB233" s="42"/>
      <c r="AC233" s="42"/>
      <c r="AD233" s="42"/>
      <c r="AE233" s="42"/>
      <c r="AF233" s="38"/>
      <c r="AG233" s="38"/>
      <c r="AH233" s="38"/>
      <c r="AI233" s="38"/>
      <c r="AJ233" s="38"/>
      <c r="AK233" s="38"/>
      <c r="AL233" s="38"/>
      <c r="AM233" s="38"/>
      <c r="AN233" s="38"/>
      <c r="AO233" s="38"/>
      <c r="AP233" s="38"/>
      <c r="AQ233" s="38"/>
      <c r="AR233" s="38"/>
      <c r="AS233" s="38"/>
    </row>
    <row r="234" spans="1:65" ht="15" customHeight="1" x14ac:dyDescent="0.3">
      <c r="A234" s="38"/>
      <c r="B234" s="42"/>
      <c r="C234" s="42"/>
      <c r="D234" s="42"/>
      <c r="E234" s="42"/>
      <c r="F234" s="42"/>
      <c r="G234" s="42"/>
      <c r="H234" s="42"/>
      <c r="I234" s="42"/>
      <c r="J234" s="42"/>
      <c r="K234" s="42"/>
      <c r="L234" s="42"/>
      <c r="M234" s="42"/>
      <c r="N234" s="42"/>
      <c r="O234" s="42"/>
      <c r="P234" s="42"/>
      <c r="Q234" s="42"/>
      <c r="R234" s="42"/>
      <c r="S234" s="42"/>
      <c r="T234" s="42"/>
      <c r="U234" s="42"/>
      <c r="V234" s="42"/>
      <c r="W234" s="42"/>
      <c r="X234" s="42"/>
      <c r="Y234" s="42"/>
      <c r="Z234" s="42"/>
      <c r="AA234" s="42"/>
      <c r="AB234" s="42"/>
      <c r="AC234" s="42"/>
      <c r="AD234" s="42"/>
      <c r="AE234" s="42"/>
      <c r="AF234" s="38"/>
      <c r="AG234" s="38"/>
      <c r="AH234" s="38"/>
      <c r="AI234" s="38"/>
      <c r="AJ234" s="38"/>
      <c r="AK234" s="38"/>
      <c r="AL234" s="38"/>
      <c r="AM234" s="38"/>
      <c r="AN234" s="38"/>
      <c r="AO234" s="38"/>
      <c r="AP234" s="38"/>
      <c r="AQ234" s="38"/>
      <c r="AR234" s="38"/>
      <c r="AS234" s="38"/>
    </row>
    <row r="235" spans="1:65" x14ac:dyDescent="0.3">
      <c r="A235" s="38"/>
      <c r="B235" s="38"/>
      <c r="C235" s="38"/>
      <c r="D235" s="38"/>
      <c r="E235" s="38"/>
      <c r="F235" s="38"/>
      <c r="G235" s="38"/>
      <c r="H235" s="38"/>
      <c r="I235" s="38"/>
      <c r="J235" s="38"/>
      <c r="K235" s="38"/>
      <c r="L235" s="38"/>
      <c r="M235" s="38"/>
      <c r="N235" s="38"/>
      <c r="O235" s="38"/>
      <c r="P235" s="38"/>
      <c r="Q235" s="38"/>
      <c r="R235" s="38"/>
      <c r="S235" s="38"/>
      <c r="T235" s="38"/>
      <c r="U235" s="38"/>
      <c r="V235" s="38"/>
      <c r="W235" s="38"/>
      <c r="X235" s="38"/>
      <c r="Y235" s="38"/>
      <c r="Z235" s="38"/>
      <c r="AA235" s="38"/>
      <c r="AB235" s="38"/>
      <c r="AC235" s="38"/>
      <c r="AD235" s="38"/>
      <c r="AE235" s="38"/>
      <c r="AF235" s="38"/>
      <c r="AG235" s="38"/>
      <c r="AH235" s="38"/>
      <c r="AI235" s="38"/>
      <c r="AJ235" s="38"/>
      <c r="AK235" s="38"/>
      <c r="AL235" s="38"/>
      <c r="AM235" s="38"/>
      <c r="AN235" s="38"/>
      <c r="AO235" s="38"/>
      <c r="AP235" s="38"/>
      <c r="AQ235" s="38"/>
      <c r="AR235" s="38"/>
      <c r="AS235" s="38"/>
    </row>
    <row r="236" spans="1:65" x14ac:dyDescent="0.3">
      <c r="A236" s="38"/>
      <c r="B236" s="38"/>
      <c r="C236" s="38"/>
      <c r="D236" s="38"/>
      <c r="E236" s="38"/>
      <c r="F236" s="38"/>
      <c r="G236" s="38"/>
      <c r="H236" s="38"/>
      <c r="I236" s="38"/>
      <c r="J236" s="38"/>
      <c r="K236" s="38"/>
      <c r="L236" s="38"/>
      <c r="M236" s="38"/>
      <c r="N236" s="38"/>
      <c r="O236" s="38"/>
      <c r="P236" s="38"/>
      <c r="Q236" s="38"/>
      <c r="R236" s="38"/>
      <c r="S236" s="38"/>
      <c r="T236" s="38"/>
      <c r="U236" s="38"/>
      <c r="V236" s="38"/>
      <c r="W236" s="38"/>
      <c r="X236" s="38"/>
      <c r="Y236" s="38"/>
      <c r="Z236" s="38"/>
      <c r="AA236" s="38"/>
      <c r="AB236" s="38"/>
      <c r="AC236" s="38"/>
      <c r="AD236" s="38"/>
      <c r="AE236" s="38"/>
      <c r="AF236" s="38"/>
      <c r="AG236" s="38"/>
      <c r="AH236" s="38"/>
      <c r="AI236" s="38"/>
      <c r="AJ236" s="38"/>
      <c r="AK236" s="38"/>
      <c r="AL236" s="38"/>
      <c r="AM236" s="38"/>
      <c r="AN236" s="38"/>
      <c r="AO236" s="38"/>
      <c r="AP236" s="38"/>
      <c r="AQ236" s="38"/>
      <c r="AR236" s="38"/>
      <c r="AS236" s="38"/>
    </row>
    <row r="237" spans="1:65" x14ac:dyDescent="0.3">
      <c r="A237" s="38"/>
      <c r="B237" s="38"/>
      <c r="C237" s="38"/>
      <c r="D237" s="38"/>
      <c r="E237" s="38"/>
      <c r="F237" s="38"/>
      <c r="G237" s="38"/>
      <c r="H237" s="38"/>
      <c r="I237" s="38"/>
      <c r="J237" s="38"/>
      <c r="K237" s="38"/>
      <c r="L237" s="38"/>
      <c r="M237" s="38"/>
      <c r="N237" s="38"/>
      <c r="O237" s="38"/>
      <c r="P237" s="38"/>
      <c r="Q237" s="38"/>
      <c r="R237" s="38"/>
      <c r="S237" s="38"/>
      <c r="T237" s="38"/>
      <c r="U237" s="38"/>
      <c r="V237" s="38"/>
      <c r="W237" s="38"/>
      <c r="X237" s="38"/>
      <c r="Y237" s="38"/>
      <c r="Z237" s="38"/>
      <c r="AA237" s="38"/>
      <c r="AB237" s="38"/>
      <c r="AC237" s="38"/>
      <c r="AD237" s="38"/>
      <c r="AE237" s="38"/>
      <c r="AF237" s="38"/>
      <c r="AG237" s="38"/>
      <c r="AH237" s="38"/>
      <c r="AI237" s="38"/>
      <c r="AJ237" s="38"/>
      <c r="AK237" s="38"/>
      <c r="AL237" s="38"/>
      <c r="AM237" s="38"/>
      <c r="AN237" s="38"/>
      <c r="AO237" s="38"/>
      <c r="AP237" s="38"/>
      <c r="AQ237" s="38"/>
      <c r="AR237" s="38"/>
      <c r="AS237" s="38"/>
    </row>
    <row r="238" spans="1:65" x14ac:dyDescent="0.3">
      <c r="A238" s="38"/>
      <c r="B238" s="38"/>
      <c r="C238" s="38"/>
      <c r="D238" s="38"/>
      <c r="E238" s="38"/>
      <c r="F238" s="38"/>
      <c r="G238" s="38"/>
      <c r="H238" s="38"/>
      <c r="I238" s="38"/>
      <c r="J238" s="38"/>
      <c r="K238" s="38"/>
      <c r="L238" s="38"/>
      <c r="M238" s="38"/>
      <c r="N238" s="38"/>
      <c r="O238" s="38"/>
      <c r="P238" s="38"/>
      <c r="Q238" s="38"/>
      <c r="R238" s="38"/>
      <c r="S238" s="38"/>
      <c r="T238" s="38"/>
      <c r="U238" s="38"/>
      <c r="V238" s="38"/>
      <c r="W238" s="38"/>
      <c r="X238" s="38"/>
      <c r="Y238" s="38"/>
      <c r="Z238" s="38"/>
      <c r="AA238" s="38"/>
      <c r="AB238" s="38"/>
      <c r="AC238" s="38"/>
      <c r="AD238" s="38"/>
      <c r="AE238" s="38"/>
      <c r="AF238" s="38"/>
      <c r="AG238" s="38"/>
      <c r="AH238" s="38"/>
      <c r="AI238" s="38"/>
      <c r="AJ238" s="38"/>
      <c r="AK238" s="38"/>
      <c r="AL238" s="38"/>
      <c r="AM238" s="38"/>
      <c r="AN238" s="38"/>
      <c r="AO238" s="38"/>
      <c r="AP238" s="38"/>
      <c r="AQ238" s="38"/>
      <c r="AR238" s="38"/>
      <c r="AS238" s="38"/>
    </row>
    <row r="239" spans="1:65" x14ac:dyDescent="0.3">
      <c r="A239" s="38"/>
      <c r="B239" s="38"/>
      <c r="C239" s="38"/>
      <c r="D239" s="38"/>
      <c r="E239" s="38"/>
      <c r="F239" s="38"/>
      <c r="G239" s="38"/>
      <c r="H239" s="38"/>
      <c r="I239" s="38"/>
      <c r="J239" s="38"/>
      <c r="K239" s="38"/>
      <c r="L239" s="38"/>
      <c r="M239" s="38"/>
      <c r="N239" s="38"/>
      <c r="O239" s="38"/>
      <c r="P239" s="38"/>
      <c r="Q239" s="38"/>
      <c r="R239" s="38"/>
      <c r="S239" s="38"/>
      <c r="T239" s="38"/>
      <c r="U239" s="38"/>
      <c r="V239" s="38"/>
      <c r="W239" s="38"/>
      <c r="X239" s="38"/>
      <c r="Y239" s="38"/>
      <c r="Z239" s="38"/>
      <c r="AA239" s="38"/>
      <c r="AB239" s="38"/>
      <c r="AC239" s="38"/>
      <c r="AD239" s="38"/>
      <c r="AE239" s="38"/>
      <c r="AF239" s="38"/>
      <c r="AG239" s="38"/>
      <c r="AH239" s="38"/>
      <c r="AI239" s="38"/>
      <c r="AJ239" s="38"/>
      <c r="AK239" s="38"/>
      <c r="AL239" s="38"/>
      <c r="AM239" s="38"/>
      <c r="AN239" s="38"/>
      <c r="AO239" s="38"/>
      <c r="AP239" s="38"/>
      <c r="AQ239" s="38"/>
      <c r="AR239" s="38"/>
      <c r="AS239" s="38"/>
    </row>
    <row r="240" spans="1:65" x14ac:dyDescent="0.3">
      <c r="A240" s="38"/>
      <c r="B240" s="38"/>
      <c r="C240" s="38"/>
      <c r="D240" s="38"/>
      <c r="E240" s="38"/>
      <c r="F240" s="38"/>
      <c r="G240" s="38"/>
      <c r="H240" s="38"/>
      <c r="I240" s="38"/>
      <c r="J240" s="38"/>
      <c r="K240" s="38"/>
      <c r="L240" s="38"/>
      <c r="M240" s="38"/>
      <c r="N240" s="38"/>
      <c r="O240" s="38"/>
      <c r="P240" s="38"/>
      <c r="Q240" s="38"/>
      <c r="R240" s="38"/>
      <c r="S240" s="38"/>
      <c r="T240" s="38"/>
      <c r="U240" s="38"/>
      <c r="V240" s="38"/>
      <c r="W240" s="38"/>
      <c r="X240" s="38"/>
      <c r="Y240" s="38"/>
      <c r="Z240" s="38"/>
      <c r="AA240" s="38"/>
      <c r="AB240" s="38"/>
      <c r="AC240" s="38"/>
      <c r="AD240" s="38"/>
      <c r="AE240" s="38"/>
      <c r="AF240" s="38"/>
      <c r="AG240" s="38"/>
      <c r="AH240" s="38"/>
      <c r="AI240" s="38"/>
      <c r="AJ240" s="38"/>
      <c r="AK240" s="38"/>
      <c r="AL240" s="38"/>
      <c r="AM240" s="38"/>
      <c r="AN240" s="38"/>
      <c r="AO240" s="38"/>
      <c r="AP240" s="38"/>
      <c r="AQ240" s="38"/>
      <c r="AR240" s="38"/>
      <c r="AS240" s="38"/>
    </row>
    <row r="241" spans="1:45" x14ac:dyDescent="0.3">
      <c r="A241" s="38"/>
      <c r="B241" s="38"/>
      <c r="C241" s="38"/>
      <c r="D241" s="38"/>
      <c r="E241" s="38"/>
      <c r="F241" s="38"/>
      <c r="G241" s="38"/>
      <c r="H241" s="38"/>
      <c r="I241" s="38"/>
      <c r="J241" s="38"/>
      <c r="K241" s="38"/>
      <c r="L241" s="38"/>
      <c r="M241" s="38"/>
      <c r="N241" s="38"/>
      <c r="O241" s="38"/>
      <c r="P241" s="38"/>
      <c r="Q241" s="38"/>
      <c r="R241" s="38"/>
      <c r="S241" s="38"/>
      <c r="T241" s="38"/>
      <c r="U241" s="38"/>
      <c r="V241" s="38"/>
      <c r="W241" s="38"/>
      <c r="X241" s="38"/>
      <c r="Y241" s="38"/>
      <c r="Z241" s="38"/>
      <c r="AA241" s="38"/>
      <c r="AB241" s="38"/>
      <c r="AC241" s="38"/>
      <c r="AD241" s="38"/>
      <c r="AE241" s="38"/>
      <c r="AF241" s="38"/>
      <c r="AG241" s="38"/>
      <c r="AH241" s="38"/>
      <c r="AI241" s="38"/>
      <c r="AJ241" s="38"/>
      <c r="AK241" s="38"/>
      <c r="AL241" s="38"/>
      <c r="AM241" s="38"/>
      <c r="AN241" s="38"/>
      <c r="AO241" s="38"/>
      <c r="AP241" s="38"/>
      <c r="AQ241" s="38"/>
      <c r="AR241" s="38"/>
      <c r="AS241" s="38"/>
    </row>
    <row r="242" spans="1:45" x14ac:dyDescent="0.3">
      <c r="A242" s="38"/>
      <c r="B242" s="38"/>
      <c r="C242" s="38"/>
      <c r="D242" s="38"/>
      <c r="E242" s="38"/>
      <c r="F242" s="38"/>
      <c r="G242" s="38"/>
      <c r="H242" s="38"/>
      <c r="I242" s="38"/>
      <c r="J242" s="38"/>
      <c r="K242" s="38"/>
      <c r="L242" s="38"/>
      <c r="M242" s="38"/>
      <c r="N242" s="38"/>
      <c r="O242" s="38"/>
      <c r="P242" s="38"/>
      <c r="Q242" s="38"/>
      <c r="R242" s="38"/>
      <c r="S242" s="38"/>
      <c r="T242" s="38"/>
      <c r="U242" s="38"/>
      <c r="V242" s="38"/>
      <c r="W242" s="38"/>
      <c r="X242" s="38"/>
      <c r="Y242" s="38"/>
      <c r="Z242" s="38"/>
      <c r="AA242" s="38"/>
      <c r="AB242" s="38"/>
      <c r="AC242" s="38"/>
      <c r="AD242" s="38"/>
      <c r="AE242" s="38"/>
      <c r="AF242" s="38"/>
      <c r="AG242" s="38"/>
      <c r="AH242" s="38"/>
      <c r="AI242" s="38"/>
      <c r="AJ242" s="38"/>
      <c r="AK242" s="38"/>
      <c r="AL242" s="38"/>
      <c r="AM242" s="38"/>
      <c r="AN242" s="38"/>
      <c r="AO242" s="38"/>
      <c r="AP242" s="38"/>
      <c r="AQ242" s="38"/>
      <c r="AR242" s="38"/>
      <c r="AS242" s="38"/>
    </row>
    <row r="243" spans="1:45" x14ac:dyDescent="0.3">
      <c r="A243" s="38"/>
      <c r="B243" s="38"/>
      <c r="C243" s="38"/>
      <c r="D243" s="38"/>
      <c r="E243" s="38"/>
      <c r="F243" s="38"/>
      <c r="G243" s="38"/>
      <c r="H243" s="38"/>
      <c r="I243" s="38"/>
      <c r="J243" s="38"/>
      <c r="K243" s="38"/>
      <c r="L243" s="38"/>
      <c r="M243" s="38"/>
      <c r="N243" s="38"/>
      <c r="O243" s="38"/>
      <c r="P243" s="38"/>
      <c r="Q243" s="38"/>
      <c r="R243" s="38"/>
      <c r="S243" s="38"/>
      <c r="T243" s="38"/>
      <c r="U243" s="38"/>
      <c r="V243" s="38"/>
      <c r="W243" s="38"/>
      <c r="X243" s="38"/>
      <c r="Y243" s="38"/>
      <c r="Z243" s="38"/>
      <c r="AA243" s="38"/>
      <c r="AB243" s="38"/>
      <c r="AC243" s="38"/>
      <c r="AD243" s="38"/>
      <c r="AE243" s="38"/>
      <c r="AF243" s="38"/>
      <c r="AG243" s="38"/>
      <c r="AH243" s="38"/>
      <c r="AI243" s="38"/>
      <c r="AJ243" s="38"/>
      <c r="AK243" s="38"/>
      <c r="AL243" s="38"/>
      <c r="AM243" s="38"/>
      <c r="AN243" s="38"/>
      <c r="AO243" s="38"/>
      <c r="AP243" s="38"/>
      <c r="AQ243" s="38"/>
      <c r="AR243" s="38"/>
      <c r="AS243" s="38"/>
    </row>
    <row r="244" spans="1:45" x14ac:dyDescent="0.3">
      <c r="A244" s="38"/>
      <c r="B244" s="38"/>
      <c r="C244" s="38"/>
      <c r="D244" s="38"/>
      <c r="E244" s="38"/>
      <c r="F244" s="38"/>
      <c r="G244" s="38"/>
      <c r="H244" s="38"/>
      <c r="I244" s="38"/>
      <c r="J244" s="38"/>
      <c r="K244" s="38"/>
      <c r="L244" s="38"/>
      <c r="M244" s="38"/>
      <c r="N244" s="38"/>
      <c r="O244" s="38"/>
      <c r="P244" s="38"/>
      <c r="Q244" s="38"/>
      <c r="R244" s="38"/>
      <c r="S244" s="38"/>
      <c r="T244" s="38"/>
      <c r="U244" s="38"/>
      <c r="V244" s="38"/>
      <c r="W244" s="38"/>
      <c r="X244" s="38"/>
      <c r="Y244" s="38"/>
      <c r="Z244" s="38"/>
      <c r="AA244" s="38"/>
      <c r="AB244" s="38"/>
      <c r="AC244" s="38"/>
      <c r="AD244" s="38"/>
      <c r="AE244" s="38"/>
      <c r="AF244" s="38"/>
      <c r="AG244" s="38"/>
      <c r="AH244" s="38"/>
      <c r="AI244" s="38"/>
      <c r="AJ244" s="38"/>
      <c r="AK244" s="38"/>
      <c r="AL244" s="38"/>
      <c r="AM244" s="38"/>
      <c r="AN244" s="38"/>
      <c r="AO244" s="38"/>
      <c r="AP244" s="38"/>
      <c r="AQ244" s="38"/>
      <c r="AR244" s="38"/>
      <c r="AS244" s="38"/>
    </row>
    <row r="245" spans="1:45" x14ac:dyDescent="0.3">
      <c r="A245" s="38"/>
      <c r="B245" s="38"/>
      <c r="C245" s="38"/>
      <c r="D245" s="38"/>
      <c r="E245" s="38"/>
      <c r="F245" s="38"/>
      <c r="G245" s="38"/>
      <c r="H245" s="38"/>
      <c r="I245" s="38"/>
      <c r="J245" s="38"/>
      <c r="K245" s="38"/>
      <c r="L245" s="38"/>
      <c r="M245" s="38"/>
      <c r="N245" s="38"/>
      <c r="O245" s="38"/>
      <c r="P245" s="38"/>
      <c r="Q245" s="38"/>
      <c r="R245" s="38"/>
      <c r="S245" s="38"/>
      <c r="T245" s="38"/>
      <c r="U245" s="38"/>
      <c r="V245" s="38"/>
      <c r="W245" s="38"/>
      <c r="X245" s="38"/>
      <c r="Y245" s="38"/>
      <c r="Z245" s="38"/>
      <c r="AA245" s="38"/>
      <c r="AB245" s="38"/>
      <c r="AC245" s="38"/>
      <c r="AD245" s="38"/>
      <c r="AE245" s="38"/>
      <c r="AF245" s="38"/>
      <c r="AG245" s="38"/>
      <c r="AH245" s="38"/>
      <c r="AI245" s="38"/>
      <c r="AJ245" s="38"/>
      <c r="AK245" s="38"/>
      <c r="AL245" s="38"/>
      <c r="AM245" s="38"/>
      <c r="AN245" s="38"/>
      <c r="AO245" s="38"/>
      <c r="AP245" s="38"/>
      <c r="AQ245" s="38"/>
      <c r="AR245" s="38"/>
      <c r="AS245" s="38"/>
    </row>
    <row r="246" spans="1:45" x14ac:dyDescent="0.3">
      <c r="A246" s="38"/>
      <c r="B246" s="38"/>
      <c r="C246" s="38"/>
      <c r="D246" s="38"/>
      <c r="E246" s="38"/>
      <c r="F246" s="38"/>
      <c r="G246" s="38"/>
      <c r="H246" s="38"/>
      <c r="I246" s="38"/>
      <c r="J246" s="38"/>
      <c r="K246" s="38"/>
      <c r="L246" s="38"/>
      <c r="M246" s="38"/>
      <c r="N246" s="38"/>
      <c r="O246" s="38"/>
      <c r="P246" s="38"/>
      <c r="Q246" s="38"/>
      <c r="R246" s="38"/>
      <c r="S246" s="38"/>
      <c r="T246" s="38"/>
      <c r="U246" s="38"/>
      <c r="V246" s="38"/>
      <c r="W246" s="38"/>
      <c r="X246" s="38"/>
      <c r="Y246" s="38"/>
      <c r="Z246" s="38"/>
      <c r="AA246" s="38"/>
      <c r="AB246" s="38"/>
      <c r="AC246" s="38"/>
      <c r="AD246" s="38"/>
      <c r="AE246" s="38"/>
      <c r="AF246" s="38"/>
      <c r="AG246" s="38"/>
      <c r="AH246" s="38"/>
      <c r="AI246" s="38"/>
      <c r="AJ246" s="38"/>
      <c r="AK246" s="38"/>
      <c r="AL246" s="38"/>
      <c r="AM246" s="38"/>
      <c r="AN246" s="38"/>
      <c r="AO246" s="38"/>
      <c r="AP246" s="38"/>
      <c r="AQ246" s="38"/>
      <c r="AR246" s="38"/>
      <c r="AS246" s="38"/>
    </row>
    <row r="247" spans="1:45" x14ac:dyDescent="0.3">
      <c r="A247" s="38"/>
      <c r="B247" s="38"/>
      <c r="C247" s="38"/>
      <c r="D247" s="38"/>
      <c r="E247" s="38"/>
      <c r="F247" s="38"/>
      <c r="G247" s="38"/>
      <c r="H247" s="38"/>
      <c r="I247" s="38"/>
      <c r="J247" s="38"/>
      <c r="K247" s="38"/>
      <c r="L247" s="38"/>
      <c r="M247" s="38"/>
      <c r="N247" s="38"/>
      <c r="O247" s="38"/>
      <c r="P247" s="38"/>
      <c r="Q247" s="38"/>
      <c r="R247" s="38"/>
      <c r="S247" s="38"/>
      <c r="T247" s="38"/>
      <c r="U247" s="38"/>
      <c r="V247" s="38"/>
      <c r="W247" s="38"/>
      <c r="X247" s="38"/>
      <c r="Y247" s="38"/>
      <c r="Z247" s="38"/>
      <c r="AA247" s="38"/>
      <c r="AB247" s="38"/>
      <c r="AC247" s="38"/>
      <c r="AD247" s="38"/>
      <c r="AE247" s="38"/>
      <c r="AF247" s="38"/>
      <c r="AG247" s="38"/>
      <c r="AH247" s="38"/>
      <c r="AI247" s="38"/>
      <c r="AJ247" s="38"/>
      <c r="AK247" s="38"/>
      <c r="AL247" s="38"/>
      <c r="AM247" s="38"/>
      <c r="AN247" s="38"/>
      <c r="AO247" s="38"/>
      <c r="AP247" s="38"/>
      <c r="AQ247" s="38"/>
      <c r="AR247" s="38"/>
      <c r="AS247" s="38"/>
    </row>
    <row r="248" spans="1:45" x14ac:dyDescent="0.3">
      <c r="A248" s="38"/>
      <c r="B248" s="38"/>
      <c r="C248" s="38"/>
      <c r="D248" s="38"/>
      <c r="E248" s="38"/>
      <c r="F248" s="38"/>
      <c r="G248" s="38"/>
      <c r="H248" s="38"/>
      <c r="I248" s="38"/>
      <c r="J248" s="38"/>
      <c r="K248" s="38"/>
      <c r="L248" s="38"/>
      <c r="M248" s="38"/>
      <c r="N248" s="38"/>
      <c r="O248" s="38"/>
      <c r="P248" s="38"/>
      <c r="Q248" s="38"/>
      <c r="R248" s="38"/>
      <c r="S248" s="38"/>
      <c r="T248" s="38"/>
      <c r="U248" s="38"/>
      <c r="V248" s="38"/>
      <c r="W248" s="38"/>
      <c r="X248" s="38"/>
      <c r="Y248" s="38"/>
      <c r="Z248" s="38"/>
      <c r="AA248" s="38"/>
      <c r="AB248" s="38"/>
      <c r="AC248" s="38"/>
      <c r="AD248" s="38"/>
      <c r="AE248" s="38"/>
      <c r="AF248" s="38"/>
      <c r="AG248" s="38"/>
      <c r="AH248" s="38"/>
      <c r="AI248" s="38"/>
      <c r="AJ248" s="38"/>
      <c r="AK248" s="38"/>
      <c r="AL248" s="38"/>
      <c r="AM248" s="38"/>
      <c r="AN248" s="38"/>
      <c r="AO248" s="38"/>
      <c r="AP248" s="38"/>
      <c r="AQ248" s="38"/>
      <c r="AR248" s="38"/>
      <c r="AS248" s="38"/>
    </row>
    <row r="249" spans="1:45" x14ac:dyDescent="0.3">
      <c r="A249" s="38"/>
      <c r="B249" s="38"/>
      <c r="C249" s="38"/>
      <c r="D249" s="38"/>
      <c r="E249" s="38"/>
      <c r="F249" s="38"/>
      <c r="G249" s="38"/>
      <c r="H249" s="38"/>
      <c r="I249" s="38"/>
      <c r="J249" s="38"/>
      <c r="K249" s="38"/>
      <c r="L249" s="38"/>
      <c r="M249" s="38"/>
      <c r="N249" s="38"/>
      <c r="O249" s="38"/>
      <c r="P249" s="38"/>
      <c r="Q249" s="38"/>
      <c r="R249" s="38"/>
      <c r="S249" s="38"/>
      <c r="T249" s="38"/>
      <c r="U249" s="38"/>
      <c r="V249" s="38"/>
      <c r="W249" s="38"/>
      <c r="X249" s="38"/>
      <c r="Y249" s="38"/>
      <c r="Z249" s="38"/>
      <c r="AA249" s="38"/>
      <c r="AB249" s="38"/>
      <c r="AC249" s="38"/>
      <c r="AD249" s="38"/>
      <c r="AE249" s="38"/>
      <c r="AF249" s="38"/>
      <c r="AG249" s="38"/>
      <c r="AH249" s="38"/>
      <c r="AI249" s="38"/>
      <c r="AJ249" s="38"/>
      <c r="AK249" s="38"/>
      <c r="AL249" s="38"/>
      <c r="AM249" s="38"/>
      <c r="AN249" s="38"/>
      <c r="AO249" s="38"/>
      <c r="AP249" s="38"/>
      <c r="AQ249" s="38"/>
      <c r="AR249" s="38"/>
      <c r="AS249" s="38"/>
    </row>
    <row r="250" spans="1:45" x14ac:dyDescent="0.3">
      <c r="A250" s="38"/>
      <c r="B250" s="38"/>
      <c r="C250" s="38"/>
      <c r="D250" s="38"/>
      <c r="E250" s="38"/>
      <c r="F250" s="38"/>
      <c r="G250" s="38"/>
      <c r="H250" s="38"/>
      <c r="I250" s="38"/>
      <c r="J250" s="38"/>
      <c r="K250" s="38"/>
      <c r="L250" s="38"/>
      <c r="M250" s="38"/>
      <c r="N250" s="38"/>
      <c r="O250" s="38"/>
      <c r="P250" s="38"/>
      <c r="Q250" s="38"/>
      <c r="R250" s="38"/>
      <c r="S250" s="38"/>
      <c r="T250" s="38"/>
      <c r="U250" s="38"/>
      <c r="V250" s="38"/>
      <c r="W250" s="38"/>
      <c r="X250" s="38"/>
      <c r="Y250" s="38"/>
      <c r="Z250" s="38"/>
      <c r="AA250" s="38"/>
      <c r="AB250" s="38"/>
      <c r="AC250" s="38"/>
      <c r="AD250" s="38"/>
      <c r="AE250" s="38"/>
      <c r="AF250" s="38"/>
      <c r="AG250" s="38"/>
      <c r="AH250" s="38"/>
      <c r="AI250" s="38"/>
      <c r="AJ250" s="38"/>
      <c r="AK250" s="38"/>
      <c r="AL250" s="38"/>
      <c r="AM250" s="38"/>
      <c r="AN250" s="38"/>
      <c r="AO250" s="38"/>
      <c r="AP250" s="38"/>
      <c r="AQ250" s="38"/>
      <c r="AR250" s="38"/>
      <c r="AS250" s="38"/>
    </row>
    <row r="251" spans="1:45" x14ac:dyDescent="0.3">
      <c r="A251" s="38"/>
      <c r="B251" s="38"/>
      <c r="C251" s="38"/>
      <c r="D251" s="38"/>
      <c r="E251" s="38"/>
      <c r="F251" s="38"/>
      <c r="G251" s="38"/>
      <c r="H251" s="38"/>
      <c r="I251" s="38"/>
      <c r="J251" s="38"/>
      <c r="K251" s="38"/>
      <c r="L251" s="38"/>
      <c r="M251" s="38"/>
      <c r="N251" s="38"/>
      <c r="O251" s="38"/>
      <c r="P251" s="38"/>
      <c r="Q251" s="38"/>
      <c r="R251" s="38"/>
      <c r="S251" s="38"/>
      <c r="T251" s="38"/>
      <c r="U251" s="38"/>
      <c r="V251" s="38"/>
      <c r="W251" s="38"/>
      <c r="X251" s="38"/>
      <c r="Y251" s="38"/>
      <c r="Z251" s="38"/>
      <c r="AA251" s="38"/>
      <c r="AB251" s="38"/>
      <c r="AC251" s="38"/>
      <c r="AD251" s="38"/>
      <c r="AE251" s="38"/>
      <c r="AF251" s="38"/>
      <c r="AG251" s="38"/>
      <c r="AH251" s="38"/>
      <c r="AI251" s="38"/>
      <c r="AJ251" s="38"/>
      <c r="AK251" s="38"/>
      <c r="AL251" s="38"/>
      <c r="AM251" s="38"/>
      <c r="AN251" s="38"/>
      <c r="AO251" s="38"/>
      <c r="AP251" s="38"/>
      <c r="AQ251" s="38"/>
      <c r="AR251" s="38"/>
      <c r="AS251" s="38"/>
    </row>
    <row r="252" spans="1:45" x14ac:dyDescent="0.3">
      <c r="A252" s="38"/>
      <c r="B252" s="38"/>
      <c r="C252" s="38"/>
      <c r="D252" s="38"/>
      <c r="E252" s="38"/>
      <c r="F252" s="38"/>
      <c r="G252" s="38"/>
      <c r="H252" s="38"/>
      <c r="I252" s="38"/>
      <c r="J252" s="38"/>
      <c r="K252" s="38"/>
      <c r="L252" s="38"/>
      <c r="M252" s="38"/>
      <c r="N252" s="38"/>
      <c r="O252" s="38"/>
      <c r="P252" s="38"/>
      <c r="Q252" s="38"/>
      <c r="R252" s="38"/>
      <c r="S252" s="38"/>
      <c r="T252" s="38"/>
      <c r="U252" s="38"/>
      <c r="V252" s="38"/>
      <c r="W252" s="38"/>
      <c r="X252" s="38"/>
      <c r="Y252" s="38"/>
      <c r="Z252" s="38"/>
      <c r="AA252" s="38"/>
      <c r="AB252" s="38"/>
      <c r="AC252" s="38"/>
      <c r="AD252" s="38"/>
      <c r="AE252" s="38"/>
      <c r="AF252" s="38"/>
      <c r="AG252" s="38"/>
      <c r="AH252" s="38"/>
      <c r="AI252" s="38"/>
      <c r="AJ252" s="38"/>
      <c r="AK252" s="38"/>
      <c r="AL252" s="38"/>
      <c r="AM252" s="38"/>
      <c r="AN252" s="38"/>
      <c r="AO252" s="38"/>
      <c r="AP252" s="38"/>
      <c r="AQ252" s="38"/>
      <c r="AR252" s="38"/>
      <c r="AS252" s="38"/>
    </row>
    <row r="253" spans="1:45" x14ac:dyDescent="0.3">
      <c r="A253" s="38"/>
      <c r="B253" s="38"/>
      <c r="C253" s="38"/>
      <c r="D253" s="38"/>
      <c r="E253" s="38"/>
      <c r="F253" s="38"/>
      <c r="G253" s="38"/>
      <c r="H253" s="38"/>
      <c r="I253" s="38"/>
      <c r="J253" s="38"/>
      <c r="K253" s="38"/>
      <c r="L253" s="38"/>
      <c r="M253" s="38"/>
      <c r="N253" s="38"/>
      <c r="O253" s="38"/>
      <c r="P253" s="38"/>
      <c r="Q253" s="38"/>
      <c r="R253" s="38"/>
      <c r="S253" s="38"/>
      <c r="T253" s="38"/>
      <c r="U253" s="38"/>
      <c r="V253" s="38"/>
      <c r="W253" s="38"/>
      <c r="X253" s="38"/>
      <c r="Y253" s="38"/>
      <c r="Z253" s="38"/>
      <c r="AA253" s="38"/>
      <c r="AB253" s="38"/>
      <c r="AC253" s="38"/>
      <c r="AD253" s="38"/>
      <c r="AE253" s="38"/>
      <c r="AF253" s="38"/>
      <c r="AG253" s="38"/>
      <c r="AH253" s="38"/>
      <c r="AI253" s="38"/>
      <c r="AJ253" s="38"/>
      <c r="AK253" s="38"/>
      <c r="AL253" s="38"/>
      <c r="AM253" s="38"/>
      <c r="AN253" s="38"/>
      <c r="AO253" s="38"/>
      <c r="AP253" s="38"/>
      <c r="AQ253" s="38"/>
      <c r="AR253" s="38"/>
      <c r="AS253" s="38"/>
    </row>
    <row r="254" spans="1:45" x14ac:dyDescent="0.3">
      <c r="A254" s="38"/>
      <c r="B254" s="38"/>
      <c r="C254" s="38"/>
      <c r="D254" s="38"/>
      <c r="E254" s="38"/>
      <c r="F254" s="38"/>
      <c r="G254" s="38"/>
      <c r="H254" s="38"/>
      <c r="I254" s="38"/>
      <c r="J254" s="38"/>
      <c r="K254" s="38"/>
      <c r="L254" s="38"/>
      <c r="M254" s="38"/>
      <c r="N254" s="38"/>
      <c r="O254" s="38"/>
      <c r="P254" s="38"/>
      <c r="Q254" s="38"/>
      <c r="R254" s="38"/>
      <c r="S254" s="38"/>
      <c r="T254" s="38"/>
      <c r="U254" s="38"/>
      <c r="V254" s="38"/>
      <c r="W254" s="38"/>
      <c r="X254" s="38"/>
      <c r="Y254" s="38"/>
      <c r="Z254" s="38"/>
      <c r="AA254" s="38"/>
      <c r="AB254" s="38"/>
      <c r="AC254" s="38"/>
      <c r="AD254" s="38"/>
      <c r="AE254" s="38"/>
      <c r="AF254" s="38"/>
      <c r="AG254" s="38"/>
      <c r="AH254" s="38"/>
      <c r="AI254" s="38"/>
      <c r="AJ254" s="38"/>
      <c r="AK254" s="38"/>
      <c r="AL254" s="38"/>
      <c r="AM254" s="38"/>
      <c r="AN254" s="38"/>
      <c r="AO254" s="38"/>
      <c r="AP254" s="38"/>
      <c r="AQ254" s="38"/>
      <c r="AR254" s="38"/>
      <c r="AS254" s="38"/>
    </row>
    <row r="255" spans="1:45" x14ac:dyDescent="0.3">
      <c r="A255" s="38"/>
      <c r="B255" s="38"/>
      <c r="C255" s="38"/>
      <c r="D255" s="38"/>
      <c r="E255" s="38"/>
      <c r="F255" s="38"/>
      <c r="G255" s="38"/>
      <c r="H255" s="38"/>
      <c r="I255" s="38"/>
      <c r="J255" s="38"/>
      <c r="K255" s="38"/>
      <c r="L255" s="38"/>
      <c r="M255" s="38"/>
      <c r="N255" s="38"/>
      <c r="O255" s="38"/>
      <c r="P255" s="38"/>
      <c r="Q255" s="38"/>
      <c r="R255" s="38"/>
      <c r="S255" s="38"/>
      <c r="T255" s="38"/>
      <c r="U255" s="38"/>
      <c r="V255" s="38"/>
      <c r="W255" s="38"/>
      <c r="X255" s="38"/>
      <c r="Y255" s="38"/>
      <c r="Z255" s="38"/>
      <c r="AA255" s="38"/>
      <c r="AB255" s="38"/>
      <c r="AC255" s="38"/>
      <c r="AD255" s="38"/>
      <c r="AE255" s="38"/>
      <c r="AF255" s="38"/>
      <c r="AG255" s="38"/>
      <c r="AH255" s="38"/>
      <c r="AI255" s="38"/>
      <c r="AJ255" s="38"/>
      <c r="AK255" s="38"/>
      <c r="AL255" s="38"/>
      <c r="AM255" s="38"/>
      <c r="AN255" s="38"/>
      <c r="AO255" s="38"/>
      <c r="AP255" s="38"/>
      <c r="AQ255" s="38"/>
      <c r="AR255" s="38"/>
      <c r="AS255" s="38"/>
    </row>
    <row r="256" spans="1:45" x14ac:dyDescent="0.3">
      <c r="A256" s="38"/>
      <c r="B256" s="38"/>
      <c r="C256" s="38"/>
      <c r="D256" s="38"/>
      <c r="E256" s="38"/>
      <c r="F256" s="38"/>
      <c r="G256" s="38"/>
      <c r="H256" s="38"/>
      <c r="I256" s="38"/>
      <c r="J256" s="38"/>
      <c r="K256" s="38"/>
      <c r="L256" s="38"/>
      <c r="M256" s="38"/>
      <c r="N256" s="38"/>
      <c r="O256" s="38"/>
      <c r="P256" s="38"/>
      <c r="Q256" s="38"/>
      <c r="R256" s="38"/>
      <c r="S256" s="38"/>
      <c r="T256" s="38"/>
      <c r="U256" s="38"/>
      <c r="V256" s="38"/>
      <c r="W256" s="38"/>
      <c r="X256" s="38"/>
      <c r="Y256" s="38"/>
      <c r="Z256" s="38"/>
      <c r="AA256" s="38"/>
      <c r="AB256" s="38"/>
      <c r="AC256" s="38"/>
      <c r="AD256" s="38"/>
      <c r="AE256" s="38"/>
      <c r="AF256" s="38"/>
      <c r="AG256" s="38"/>
      <c r="AH256" s="38"/>
      <c r="AI256" s="38"/>
      <c r="AJ256" s="38"/>
      <c r="AK256" s="38"/>
      <c r="AL256" s="38"/>
      <c r="AM256" s="38"/>
      <c r="AN256" s="38"/>
      <c r="AO256" s="38"/>
      <c r="AP256" s="38"/>
      <c r="AQ256" s="38"/>
      <c r="AR256" s="38"/>
      <c r="AS256" s="38"/>
    </row>
    <row r="257" spans="1:45" x14ac:dyDescent="0.3">
      <c r="A257" s="38"/>
      <c r="B257" s="38"/>
      <c r="C257" s="38"/>
      <c r="D257" s="38"/>
      <c r="E257" s="38"/>
      <c r="F257" s="38"/>
      <c r="G257" s="38"/>
      <c r="H257" s="38"/>
      <c r="I257" s="38"/>
      <c r="J257" s="38"/>
      <c r="K257" s="38"/>
      <c r="L257" s="38"/>
      <c r="M257" s="38"/>
      <c r="N257" s="38"/>
      <c r="O257" s="38"/>
      <c r="P257" s="38"/>
      <c r="Q257" s="38"/>
      <c r="R257" s="38"/>
      <c r="S257" s="38"/>
      <c r="T257" s="38"/>
      <c r="U257" s="38"/>
      <c r="V257" s="38"/>
      <c r="W257" s="38"/>
      <c r="X257" s="38"/>
      <c r="Y257" s="38"/>
      <c r="Z257" s="38"/>
      <c r="AA257" s="38"/>
      <c r="AB257" s="38"/>
      <c r="AC257" s="38"/>
      <c r="AD257" s="38"/>
      <c r="AE257" s="38"/>
      <c r="AF257" s="38"/>
      <c r="AG257" s="38"/>
      <c r="AH257" s="38"/>
      <c r="AI257" s="38"/>
      <c r="AJ257" s="38"/>
      <c r="AK257" s="38"/>
      <c r="AL257" s="38"/>
      <c r="AM257" s="38"/>
      <c r="AN257" s="38"/>
      <c r="AO257" s="38"/>
      <c r="AP257" s="38"/>
      <c r="AQ257" s="38"/>
      <c r="AR257" s="38"/>
      <c r="AS257" s="38"/>
    </row>
    <row r="258" spans="1:45" x14ac:dyDescent="0.3">
      <c r="A258" s="38"/>
      <c r="B258" s="38"/>
      <c r="C258" s="38"/>
      <c r="D258" s="38"/>
      <c r="E258" s="38"/>
      <c r="F258" s="38"/>
      <c r="G258" s="38"/>
      <c r="H258" s="38"/>
      <c r="I258" s="38"/>
      <c r="J258" s="38"/>
      <c r="K258" s="38"/>
      <c r="L258" s="38"/>
      <c r="M258" s="38"/>
      <c r="N258" s="38"/>
      <c r="O258" s="38"/>
      <c r="P258" s="38"/>
      <c r="Q258" s="38"/>
      <c r="R258" s="38"/>
      <c r="S258" s="38"/>
      <c r="T258" s="38"/>
      <c r="U258" s="38"/>
      <c r="V258" s="38"/>
      <c r="W258" s="38"/>
      <c r="X258" s="38"/>
      <c r="Y258" s="38"/>
      <c r="Z258" s="38"/>
      <c r="AA258" s="38"/>
      <c r="AB258" s="38"/>
      <c r="AC258" s="38"/>
      <c r="AD258" s="38"/>
      <c r="AE258" s="38"/>
      <c r="AF258" s="38"/>
      <c r="AG258" s="38"/>
      <c r="AH258" s="38"/>
      <c r="AI258" s="38"/>
      <c r="AJ258" s="38"/>
      <c r="AK258" s="38"/>
      <c r="AL258" s="38"/>
      <c r="AM258" s="38"/>
      <c r="AN258" s="38"/>
      <c r="AO258" s="38"/>
      <c r="AP258" s="38"/>
      <c r="AQ258" s="38"/>
      <c r="AR258" s="38"/>
      <c r="AS258" s="38"/>
    </row>
    <row r="259" spans="1:45" x14ac:dyDescent="0.3">
      <c r="A259" s="38"/>
      <c r="B259" s="38"/>
      <c r="C259" s="38"/>
      <c r="D259" s="38"/>
      <c r="E259" s="38"/>
      <c r="F259" s="38"/>
      <c r="G259" s="38"/>
      <c r="H259" s="38"/>
      <c r="I259" s="38"/>
      <c r="J259" s="38"/>
      <c r="K259" s="38"/>
      <c r="L259" s="38"/>
      <c r="M259" s="38"/>
      <c r="N259" s="38"/>
      <c r="O259" s="38"/>
      <c r="P259" s="38"/>
      <c r="Q259" s="38"/>
      <c r="R259" s="38"/>
      <c r="S259" s="38"/>
      <c r="T259" s="38"/>
      <c r="U259" s="38"/>
      <c r="V259" s="38"/>
      <c r="W259" s="38"/>
      <c r="X259" s="38"/>
      <c r="Y259" s="38"/>
      <c r="Z259" s="38"/>
      <c r="AA259" s="38"/>
      <c r="AB259" s="38"/>
      <c r="AC259" s="38"/>
      <c r="AD259" s="38"/>
      <c r="AE259" s="38"/>
      <c r="AF259" s="38"/>
      <c r="AG259" s="38"/>
      <c r="AH259" s="38"/>
      <c r="AI259" s="38"/>
      <c r="AJ259" s="38"/>
      <c r="AK259" s="38"/>
      <c r="AL259" s="38"/>
      <c r="AM259" s="38"/>
      <c r="AN259" s="38"/>
      <c r="AO259" s="38"/>
      <c r="AP259" s="38"/>
      <c r="AQ259" s="38"/>
      <c r="AR259" s="38"/>
      <c r="AS259" s="38"/>
    </row>
    <row r="260" spans="1:45" x14ac:dyDescent="0.3">
      <c r="A260" s="38"/>
      <c r="B260" s="38"/>
      <c r="C260" s="38"/>
      <c r="D260" s="38"/>
      <c r="E260" s="38"/>
      <c r="F260" s="38"/>
      <c r="G260" s="38"/>
      <c r="H260" s="38"/>
      <c r="I260" s="38"/>
      <c r="J260" s="38"/>
      <c r="K260" s="38"/>
      <c r="L260" s="38"/>
      <c r="M260" s="38"/>
      <c r="N260" s="38"/>
      <c r="O260" s="38"/>
      <c r="P260" s="38"/>
      <c r="Q260" s="38"/>
      <c r="R260" s="38"/>
      <c r="S260" s="38"/>
      <c r="T260" s="38"/>
      <c r="U260" s="38"/>
      <c r="V260" s="38"/>
      <c r="W260" s="38"/>
      <c r="X260" s="38"/>
      <c r="Y260" s="38"/>
      <c r="Z260" s="38"/>
      <c r="AA260" s="38"/>
      <c r="AB260" s="38"/>
      <c r="AC260" s="38"/>
      <c r="AD260" s="38"/>
      <c r="AE260" s="38"/>
      <c r="AF260" s="38"/>
      <c r="AG260" s="38"/>
      <c r="AH260" s="38"/>
      <c r="AI260" s="38"/>
      <c r="AJ260" s="38"/>
      <c r="AK260" s="38"/>
      <c r="AL260" s="38"/>
      <c r="AM260" s="38"/>
      <c r="AN260" s="38"/>
      <c r="AO260" s="38"/>
      <c r="AP260" s="38"/>
      <c r="AQ260" s="38"/>
      <c r="AR260" s="38"/>
      <c r="AS260" s="38"/>
    </row>
    <row r="261" spans="1:45" x14ac:dyDescent="0.3">
      <c r="A261" s="38"/>
      <c r="B261" s="38"/>
      <c r="C261" s="38"/>
      <c r="D261" s="38"/>
      <c r="E261" s="38"/>
      <c r="F261" s="38"/>
      <c r="G261" s="38"/>
      <c r="H261" s="38"/>
      <c r="I261" s="38"/>
      <c r="J261" s="38"/>
      <c r="K261" s="38"/>
      <c r="L261" s="38"/>
      <c r="M261" s="38"/>
      <c r="N261" s="38"/>
      <c r="O261" s="38"/>
      <c r="P261" s="38"/>
      <c r="Q261" s="38"/>
      <c r="R261" s="38"/>
      <c r="S261" s="38"/>
      <c r="T261" s="38"/>
      <c r="U261" s="38"/>
      <c r="V261" s="38"/>
      <c r="W261" s="38"/>
      <c r="X261" s="38"/>
      <c r="Y261" s="38"/>
      <c r="Z261" s="38"/>
      <c r="AA261" s="38"/>
      <c r="AB261" s="38"/>
      <c r="AC261" s="38"/>
      <c r="AD261" s="38"/>
      <c r="AE261" s="38"/>
      <c r="AF261" s="38"/>
      <c r="AG261" s="38"/>
      <c r="AH261" s="38"/>
      <c r="AI261" s="38"/>
      <c r="AJ261" s="38"/>
      <c r="AK261" s="38"/>
      <c r="AL261" s="38"/>
      <c r="AM261" s="38"/>
      <c r="AN261" s="38"/>
      <c r="AO261" s="38"/>
      <c r="AP261" s="38"/>
      <c r="AQ261" s="38"/>
      <c r="AR261" s="38"/>
      <c r="AS261" s="38"/>
    </row>
    <row r="262" spans="1:45" x14ac:dyDescent="0.3">
      <c r="A262" s="38"/>
      <c r="B262" s="38"/>
      <c r="C262" s="38"/>
      <c r="D262" s="38"/>
      <c r="E262" s="38"/>
      <c r="F262" s="38"/>
      <c r="G262" s="38"/>
      <c r="H262" s="38"/>
      <c r="I262" s="38"/>
      <c r="J262" s="38"/>
      <c r="K262" s="38"/>
      <c r="L262" s="38"/>
      <c r="M262" s="38"/>
      <c r="N262" s="38"/>
      <c r="O262" s="38"/>
      <c r="P262" s="38"/>
      <c r="Q262" s="38"/>
      <c r="R262" s="38"/>
      <c r="S262" s="38"/>
      <c r="T262" s="38"/>
      <c r="U262" s="38"/>
      <c r="V262" s="38"/>
      <c r="W262" s="38"/>
      <c r="X262" s="38"/>
      <c r="Y262" s="38"/>
      <c r="Z262" s="38"/>
      <c r="AA262" s="38"/>
      <c r="AB262" s="38"/>
      <c r="AC262" s="38"/>
      <c r="AD262" s="38"/>
      <c r="AE262" s="38"/>
      <c r="AF262" s="38"/>
      <c r="AG262" s="38"/>
      <c r="AH262" s="38"/>
      <c r="AI262" s="38"/>
      <c r="AJ262" s="38"/>
      <c r="AK262" s="38"/>
      <c r="AL262" s="38"/>
      <c r="AM262" s="38"/>
      <c r="AN262" s="38"/>
      <c r="AO262" s="38"/>
      <c r="AP262" s="38"/>
      <c r="AQ262" s="38"/>
      <c r="AR262" s="38"/>
      <c r="AS262" s="38"/>
    </row>
    <row r="263" spans="1:45" x14ac:dyDescent="0.3">
      <c r="A263" s="38"/>
      <c r="B263" s="38"/>
      <c r="C263" s="38"/>
      <c r="D263" s="38"/>
      <c r="E263" s="38"/>
      <c r="F263" s="38"/>
      <c r="G263" s="38"/>
      <c r="H263" s="38"/>
      <c r="I263" s="38"/>
      <c r="J263" s="38"/>
      <c r="K263" s="38"/>
      <c r="L263" s="38"/>
      <c r="M263" s="38"/>
      <c r="N263" s="38"/>
      <c r="O263" s="38"/>
      <c r="P263" s="38"/>
      <c r="Q263" s="38"/>
      <c r="R263" s="38"/>
      <c r="S263" s="38"/>
      <c r="T263" s="38"/>
      <c r="U263" s="38"/>
      <c r="V263" s="38"/>
      <c r="W263" s="38"/>
      <c r="X263" s="38"/>
      <c r="Y263" s="38"/>
      <c r="Z263" s="38"/>
      <c r="AA263" s="38"/>
      <c r="AB263" s="38"/>
      <c r="AC263" s="38"/>
      <c r="AD263" s="38"/>
      <c r="AE263" s="38"/>
      <c r="AF263" s="38"/>
      <c r="AG263" s="38"/>
      <c r="AH263" s="38"/>
      <c r="AI263" s="38"/>
      <c r="AJ263" s="38"/>
      <c r="AK263" s="38"/>
      <c r="AL263" s="38"/>
      <c r="AM263" s="38"/>
      <c r="AN263" s="38"/>
      <c r="AO263" s="38"/>
      <c r="AP263" s="38"/>
      <c r="AQ263" s="38"/>
      <c r="AR263" s="38"/>
      <c r="AS263" s="38"/>
    </row>
    <row r="264" spans="1:45" x14ac:dyDescent="0.3">
      <c r="A264" s="38"/>
      <c r="B264" s="38"/>
      <c r="C264" s="38"/>
      <c r="D264" s="38"/>
      <c r="E264" s="38"/>
      <c r="F264" s="38"/>
      <c r="G264" s="38"/>
      <c r="H264" s="38"/>
      <c r="I264" s="38"/>
      <c r="J264" s="38"/>
      <c r="K264" s="38"/>
      <c r="L264" s="38"/>
      <c r="M264" s="38"/>
      <c r="N264" s="38"/>
      <c r="O264" s="38"/>
      <c r="P264" s="38"/>
      <c r="Q264" s="38"/>
      <c r="R264" s="38"/>
      <c r="S264" s="38"/>
      <c r="T264" s="38"/>
      <c r="U264" s="38"/>
      <c r="V264" s="38"/>
      <c r="W264" s="38"/>
      <c r="X264" s="38"/>
      <c r="Y264" s="38"/>
      <c r="Z264" s="38"/>
      <c r="AA264" s="38"/>
      <c r="AB264" s="38"/>
      <c r="AC264" s="38"/>
      <c r="AD264" s="38"/>
      <c r="AE264" s="38"/>
      <c r="AF264" s="38"/>
      <c r="AG264" s="38"/>
      <c r="AH264" s="38"/>
      <c r="AI264" s="38"/>
      <c r="AJ264" s="38"/>
      <c r="AK264" s="38"/>
      <c r="AL264" s="38"/>
      <c r="AM264" s="38"/>
      <c r="AN264" s="38"/>
      <c r="AO264" s="38"/>
      <c r="AP264" s="38"/>
      <c r="AQ264" s="38"/>
      <c r="AR264" s="38"/>
      <c r="AS264" s="38"/>
    </row>
    <row r="265" spans="1:45" x14ac:dyDescent="0.3">
      <c r="A265" s="38"/>
      <c r="B265" s="38"/>
      <c r="C265" s="38"/>
      <c r="D265" s="38"/>
      <c r="E265" s="38"/>
      <c r="F265" s="38"/>
      <c r="G265" s="38"/>
      <c r="H265" s="38"/>
      <c r="I265" s="38"/>
      <c r="J265" s="38"/>
      <c r="K265" s="38"/>
      <c r="L265" s="38"/>
      <c r="M265" s="38"/>
      <c r="N265" s="38"/>
      <c r="O265" s="38"/>
      <c r="P265" s="38"/>
      <c r="Q265" s="38"/>
      <c r="R265" s="38"/>
      <c r="S265" s="38"/>
      <c r="T265" s="38"/>
      <c r="U265" s="38"/>
      <c r="V265" s="38"/>
      <c r="W265" s="38"/>
      <c r="X265" s="38"/>
      <c r="Y265" s="38"/>
      <c r="Z265" s="38"/>
      <c r="AA265" s="38"/>
      <c r="AB265" s="38"/>
      <c r="AC265" s="38"/>
      <c r="AD265" s="38"/>
      <c r="AE265" s="38"/>
      <c r="AF265" s="38"/>
      <c r="AG265" s="38"/>
      <c r="AH265" s="38"/>
      <c r="AI265" s="38"/>
      <c r="AJ265" s="38"/>
      <c r="AK265" s="38"/>
      <c r="AL265" s="38"/>
      <c r="AM265" s="38"/>
      <c r="AN265" s="38"/>
      <c r="AO265" s="38"/>
      <c r="AP265" s="38"/>
      <c r="AQ265" s="38"/>
      <c r="AR265" s="38"/>
      <c r="AS265" s="38"/>
    </row>
    <row r="266" spans="1:45" x14ac:dyDescent="0.3">
      <c r="A266" s="38"/>
      <c r="B266" s="38"/>
      <c r="C266" s="38"/>
      <c r="D266" s="38"/>
      <c r="E266" s="38"/>
      <c r="F266" s="38"/>
      <c r="G266" s="38"/>
      <c r="H266" s="38"/>
      <c r="I266" s="38"/>
      <c r="J266" s="38"/>
      <c r="K266" s="38"/>
      <c r="L266" s="38"/>
      <c r="M266" s="38"/>
      <c r="N266" s="38"/>
      <c r="O266" s="38"/>
      <c r="P266" s="38"/>
      <c r="Q266" s="38"/>
      <c r="R266" s="38"/>
      <c r="S266" s="38"/>
      <c r="T266" s="38"/>
      <c r="U266" s="38"/>
      <c r="V266" s="38"/>
      <c r="W266" s="38"/>
      <c r="X266" s="38"/>
      <c r="Y266" s="38"/>
      <c r="Z266" s="38"/>
      <c r="AA266" s="38"/>
      <c r="AB266" s="38"/>
      <c r="AC266" s="38"/>
      <c r="AD266" s="38"/>
      <c r="AE266" s="38"/>
      <c r="AF266" s="38"/>
      <c r="AG266" s="38"/>
      <c r="AH266" s="38"/>
      <c r="AI266" s="38"/>
      <c r="AJ266" s="38"/>
      <c r="AK266" s="38"/>
      <c r="AL266" s="38"/>
      <c r="AM266" s="38"/>
      <c r="AN266" s="38"/>
      <c r="AO266" s="38"/>
      <c r="AP266" s="38"/>
      <c r="AQ266" s="38"/>
      <c r="AR266" s="38"/>
      <c r="AS266" s="38"/>
    </row>
    <row r="267" spans="1:45" x14ac:dyDescent="0.3">
      <c r="A267" s="38"/>
      <c r="B267" s="38"/>
      <c r="C267" s="38"/>
      <c r="D267" s="38"/>
      <c r="E267" s="38"/>
      <c r="F267" s="38"/>
      <c r="G267" s="38"/>
      <c r="H267" s="38"/>
      <c r="I267" s="38"/>
      <c r="J267" s="38"/>
      <c r="K267" s="38"/>
      <c r="L267" s="38"/>
      <c r="M267" s="38"/>
      <c r="N267" s="38"/>
      <c r="O267" s="38"/>
      <c r="P267" s="38"/>
      <c r="Q267" s="38"/>
      <c r="R267" s="38"/>
      <c r="S267" s="38"/>
      <c r="T267" s="38"/>
      <c r="U267" s="38"/>
      <c r="V267" s="38"/>
      <c r="W267" s="38"/>
      <c r="X267" s="38"/>
      <c r="Y267" s="38"/>
      <c r="Z267" s="38"/>
      <c r="AA267" s="38"/>
      <c r="AB267" s="38"/>
      <c r="AC267" s="38"/>
      <c r="AD267" s="38"/>
      <c r="AE267" s="38"/>
      <c r="AF267" s="38"/>
      <c r="AG267" s="38"/>
      <c r="AH267" s="38"/>
      <c r="AI267" s="38"/>
      <c r="AJ267" s="38"/>
      <c r="AK267" s="38"/>
      <c r="AL267" s="38"/>
      <c r="AM267" s="38"/>
      <c r="AN267" s="38"/>
      <c r="AO267" s="38"/>
      <c r="AP267" s="38"/>
      <c r="AQ267" s="38"/>
      <c r="AR267" s="38"/>
      <c r="AS267" s="38"/>
    </row>
    <row r="268" spans="1:45" x14ac:dyDescent="0.3">
      <c r="A268" s="38"/>
      <c r="B268" s="38"/>
      <c r="C268" s="38"/>
      <c r="D268" s="38"/>
      <c r="E268" s="38"/>
      <c r="F268" s="38"/>
      <c r="G268" s="38"/>
      <c r="H268" s="38"/>
      <c r="I268" s="38"/>
      <c r="J268" s="38"/>
      <c r="K268" s="38"/>
      <c r="L268" s="38"/>
      <c r="M268" s="38"/>
      <c r="N268" s="38"/>
      <c r="O268" s="38"/>
      <c r="P268" s="38"/>
      <c r="Q268" s="38"/>
      <c r="R268" s="38"/>
      <c r="S268" s="38"/>
      <c r="T268" s="38"/>
      <c r="U268" s="38"/>
      <c r="V268" s="38"/>
      <c r="W268" s="38"/>
      <c r="X268" s="38"/>
      <c r="Y268" s="38"/>
      <c r="Z268" s="38"/>
      <c r="AA268" s="38"/>
      <c r="AB268" s="38"/>
      <c r="AC268" s="38"/>
      <c r="AD268" s="38"/>
      <c r="AE268" s="38"/>
      <c r="AF268" s="38"/>
      <c r="AG268" s="38"/>
      <c r="AH268" s="38"/>
      <c r="AI268" s="38"/>
      <c r="AJ268" s="38"/>
      <c r="AK268" s="38"/>
      <c r="AL268" s="38"/>
      <c r="AM268" s="38"/>
      <c r="AN268" s="38"/>
      <c r="AO268" s="38"/>
      <c r="AP268" s="38"/>
      <c r="AQ268" s="38"/>
      <c r="AR268" s="38"/>
      <c r="AS268" s="38"/>
    </row>
    <row r="269" spans="1:45" x14ac:dyDescent="0.3">
      <c r="A269" s="38"/>
      <c r="B269" s="38"/>
      <c r="C269" s="38"/>
      <c r="D269" s="38"/>
      <c r="E269" s="38"/>
      <c r="F269" s="38"/>
      <c r="G269" s="38"/>
      <c r="H269" s="38"/>
      <c r="I269" s="38"/>
      <c r="J269" s="38"/>
      <c r="K269" s="38"/>
      <c r="L269" s="38"/>
      <c r="M269" s="38"/>
      <c r="N269" s="38"/>
      <c r="O269" s="38"/>
      <c r="P269" s="38"/>
      <c r="Q269" s="38"/>
      <c r="R269" s="38"/>
      <c r="S269" s="38"/>
      <c r="T269" s="38"/>
      <c r="U269" s="38"/>
      <c r="V269" s="38"/>
      <c r="W269" s="38"/>
      <c r="X269" s="38"/>
      <c r="Y269" s="38"/>
      <c r="Z269" s="38"/>
      <c r="AA269" s="38"/>
      <c r="AB269" s="38"/>
      <c r="AC269" s="38"/>
      <c r="AD269" s="38"/>
      <c r="AE269" s="38"/>
      <c r="AF269" s="38"/>
      <c r="AG269" s="38"/>
      <c r="AH269" s="38"/>
      <c r="AI269" s="38"/>
      <c r="AJ269" s="38"/>
      <c r="AK269" s="38"/>
      <c r="AL269" s="38"/>
      <c r="AM269" s="38"/>
      <c r="AN269" s="38"/>
      <c r="AO269" s="38"/>
      <c r="AP269" s="38"/>
      <c r="AQ269" s="38"/>
      <c r="AR269" s="38"/>
      <c r="AS269" s="38"/>
    </row>
    <row r="270" spans="1:45" x14ac:dyDescent="0.3">
      <c r="A270" s="38"/>
      <c r="B270" s="38"/>
      <c r="C270" s="38"/>
      <c r="D270" s="38"/>
      <c r="E270" s="38"/>
      <c r="F270" s="38"/>
      <c r="G270" s="38"/>
      <c r="H270" s="38"/>
      <c r="I270" s="38"/>
      <c r="J270" s="38"/>
      <c r="K270" s="38"/>
      <c r="L270" s="38"/>
      <c r="M270" s="38"/>
      <c r="N270" s="38"/>
      <c r="O270" s="38"/>
      <c r="P270" s="38"/>
      <c r="Q270" s="38"/>
      <c r="R270" s="38"/>
      <c r="S270" s="38"/>
      <c r="T270" s="38"/>
      <c r="U270" s="38"/>
      <c r="V270" s="38"/>
      <c r="W270" s="38"/>
      <c r="X270" s="38"/>
      <c r="Y270" s="38"/>
      <c r="Z270" s="38"/>
      <c r="AA270" s="38"/>
      <c r="AB270" s="38"/>
      <c r="AC270" s="38"/>
      <c r="AD270" s="38"/>
      <c r="AE270" s="38"/>
      <c r="AF270" s="38"/>
      <c r="AG270" s="38"/>
      <c r="AH270" s="38"/>
      <c r="AI270" s="38"/>
      <c r="AJ270" s="38"/>
      <c r="AK270" s="38"/>
      <c r="AL270" s="38"/>
      <c r="AM270" s="38"/>
      <c r="AN270" s="38"/>
      <c r="AO270" s="38"/>
      <c r="AP270" s="38"/>
      <c r="AQ270" s="38"/>
      <c r="AR270" s="38"/>
      <c r="AS270" s="38"/>
    </row>
    <row r="271" spans="1:45" x14ac:dyDescent="0.3">
      <c r="A271" s="38"/>
      <c r="B271" s="38"/>
      <c r="C271" s="38"/>
      <c r="D271" s="38"/>
      <c r="E271" s="38"/>
      <c r="F271" s="38"/>
      <c r="G271" s="38"/>
      <c r="H271" s="38"/>
      <c r="I271" s="38"/>
      <c r="J271" s="38"/>
      <c r="K271" s="38"/>
      <c r="L271" s="38"/>
      <c r="M271" s="38"/>
      <c r="N271" s="38"/>
      <c r="O271" s="38"/>
      <c r="P271" s="38"/>
      <c r="Q271" s="38"/>
      <c r="R271" s="38"/>
      <c r="S271" s="38"/>
      <c r="T271" s="38"/>
      <c r="U271" s="38"/>
      <c r="V271" s="38"/>
      <c r="W271" s="38"/>
      <c r="X271" s="38"/>
      <c r="Y271" s="38"/>
      <c r="Z271" s="38"/>
      <c r="AA271" s="38"/>
      <c r="AB271" s="38"/>
      <c r="AC271" s="38"/>
      <c r="AD271" s="38"/>
      <c r="AE271" s="38"/>
      <c r="AF271" s="38"/>
      <c r="AG271" s="38"/>
      <c r="AH271" s="38"/>
      <c r="AI271" s="38"/>
      <c r="AJ271" s="38"/>
      <c r="AK271" s="38"/>
      <c r="AL271" s="38"/>
      <c r="AM271" s="38"/>
      <c r="AN271" s="38"/>
      <c r="AO271" s="38"/>
      <c r="AP271" s="38"/>
      <c r="AQ271" s="38"/>
      <c r="AR271" s="38"/>
      <c r="AS271" s="38"/>
    </row>
    <row r="272" spans="1:45" x14ac:dyDescent="0.3">
      <c r="A272" s="38"/>
      <c r="B272" s="38"/>
      <c r="C272" s="38"/>
      <c r="D272" s="38"/>
      <c r="E272" s="38"/>
      <c r="F272" s="38"/>
      <c r="G272" s="38"/>
      <c r="H272" s="38"/>
      <c r="I272" s="38"/>
      <c r="J272" s="38"/>
      <c r="K272" s="38"/>
      <c r="L272" s="38"/>
      <c r="M272" s="38"/>
      <c r="N272" s="38"/>
      <c r="O272" s="38"/>
      <c r="P272" s="38"/>
      <c r="Q272" s="38"/>
      <c r="R272" s="38"/>
      <c r="S272" s="38"/>
      <c r="T272" s="38"/>
      <c r="U272" s="38"/>
      <c r="V272" s="38"/>
      <c r="W272" s="38"/>
      <c r="X272" s="38"/>
      <c r="Y272" s="38"/>
      <c r="Z272" s="38"/>
      <c r="AA272" s="38"/>
      <c r="AB272" s="38"/>
      <c r="AC272" s="38"/>
      <c r="AD272" s="38"/>
      <c r="AE272" s="38"/>
      <c r="AF272" s="38"/>
      <c r="AG272" s="38"/>
      <c r="AH272" s="38"/>
      <c r="AI272" s="38"/>
      <c r="AJ272" s="38"/>
      <c r="AK272" s="38"/>
      <c r="AL272" s="38"/>
      <c r="AM272" s="38"/>
      <c r="AN272" s="38"/>
      <c r="AO272" s="38"/>
      <c r="AP272" s="38"/>
      <c r="AQ272" s="38"/>
      <c r="AR272" s="38"/>
      <c r="AS272" s="38"/>
    </row>
    <row r="273" spans="1:45" x14ac:dyDescent="0.3">
      <c r="A273" s="38"/>
      <c r="B273" s="38"/>
      <c r="C273" s="38"/>
      <c r="D273" s="38"/>
      <c r="E273" s="38"/>
      <c r="F273" s="38"/>
      <c r="G273" s="38"/>
      <c r="H273" s="38"/>
      <c r="I273" s="38"/>
      <c r="J273" s="38"/>
      <c r="K273" s="38"/>
      <c r="L273" s="38"/>
      <c r="M273" s="38"/>
      <c r="N273" s="38"/>
      <c r="O273" s="38"/>
      <c r="P273" s="38"/>
      <c r="Q273" s="38"/>
      <c r="R273" s="38"/>
      <c r="S273" s="38"/>
      <c r="T273" s="38"/>
      <c r="U273" s="38"/>
      <c r="V273" s="38"/>
      <c r="W273" s="38"/>
      <c r="X273" s="38"/>
      <c r="Y273" s="38"/>
      <c r="Z273" s="38"/>
      <c r="AA273" s="38"/>
      <c r="AB273" s="38"/>
      <c r="AC273" s="38"/>
      <c r="AD273" s="38"/>
      <c r="AE273" s="38"/>
      <c r="AF273" s="38"/>
      <c r="AG273" s="38"/>
      <c r="AH273" s="38"/>
      <c r="AI273" s="38"/>
      <c r="AJ273" s="38"/>
      <c r="AK273" s="38"/>
      <c r="AL273" s="38"/>
      <c r="AM273" s="38"/>
      <c r="AN273" s="38"/>
      <c r="AO273" s="38"/>
      <c r="AP273" s="38"/>
      <c r="AQ273" s="38"/>
      <c r="AR273" s="38"/>
      <c r="AS273" s="38"/>
    </row>
    <row r="274" spans="1:45" x14ac:dyDescent="0.3">
      <c r="A274" s="38"/>
      <c r="B274" s="38"/>
      <c r="C274" s="38"/>
      <c r="D274" s="38"/>
      <c r="E274" s="38"/>
      <c r="F274" s="38"/>
      <c r="G274" s="38"/>
      <c r="H274" s="38"/>
      <c r="I274" s="38"/>
      <c r="J274" s="38"/>
      <c r="K274" s="38"/>
      <c r="L274" s="38"/>
      <c r="M274" s="38"/>
      <c r="N274" s="38"/>
      <c r="O274" s="38"/>
      <c r="P274" s="38"/>
      <c r="Q274" s="38"/>
      <c r="R274" s="38"/>
      <c r="S274" s="38"/>
      <c r="T274" s="38"/>
      <c r="U274" s="38"/>
      <c r="V274" s="38"/>
      <c r="W274" s="38"/>
      <c r="X274" s="38"/>
      <c r="Y274" s="38"/>
      <c r="Z274" s="38"/>
      <c r="AA274" s="38"/>
      <c r="AB274" s="38"/>
      <c r="AC274" s="38"/>
      <c r="AD274" s="38"/>
      <c r="AE274" s="38"/>
      <c r="AF274" s="38"/>
      <c r="AG274" s="38"/>
      <c r="AH274" s="38"/>
      <c r="AI274" s="38"/>
      <c r="AJ274" s="38"/>
      <c r="AK274" s="38"/>
      <c r="AL274" s="38"/>
      <c r="AM274" s="38"/>
      <c r="AN274" s="38"/>
      <c r="AO274" s="38"/>
      <c r="AP274" s="38"/>
      <c r="AQ274" s="38"/>
      <c r="AR274" s="38"/>
      <c r="AS274" s="38"/>
    </row>
    <row r="275" spans="1:45" x14ac:dyDescent="0.3">
      <c r="A275" s="38"/>
      <c r="B275" s="38"/>
      <c r="C275" s="38"/>
      <c r="D275" s="38"/>
      <c r="E275" s="38"/>
      <c r="F275" s="38"/>
      <c r="G275" s="38"/>
      <c r="H275" s="38"/>
      <c r="I275" s="38"/>
      <c r="J275" s="38"/>
      <c r="K275" s="38"/>
      <c r="L275" s="38"/>
      <c r="M275" s="38"/>
      <c r="N275" s="38"/>
      <c r="O275" s="38"/>
      <c r="P275" s="38"/>
      <c r="Q275" s="38"/>
      <c r="R275" s="38"/>
      <c r="S275" s="38"/>
      <c r="T275" s="38"/>
      <c r="U275" s="38"/>
      <c r="V275" s="38"/>
      <c r="W275" s="38"/>
      <c r="X275" s="38"/>
      <c r="Y275" s="38"/>
      <c r="Z275" s="38"/>
      <c r="AA275" s="38"/>
      <c r="AB275" s="38"/>
      <c r="AC275" s="38"/>
      <c r="AD275" s="38"/>
      <c r="AE275" s="38"/>
      <c r="AF275" s="38"/>
      <c r="AG275" s="38"/>
      <c r="AH275" s="38"/>
      <c r="AI275" s="38"/>
      <c r="AJ275" s="38"/>
      <c r="AK275" s="38"/>
      <c r="AL275" s="38"/>
      <c r="AM275" s="38"/>
      <c r="AN275" s="38"/>
      <c r="AO275" s="38"/>
      <c r="AP275" s="38"/>
      <c r="AQ275" s="38"/>
      <c r="AR275" s="38"/>
      <c r="AS275" s="38"/>
    </row>
    <row r="276" spans="1:45" x14ac:dyDescent="0.3">
      <c r="A276" s="38"/>
      <c r="B276" s="38"/>
      <c r="C276" s="38"/>
      <c r="D276" s="38"/>
      <c r="E276" s="38"/>
      <c r="F276" s="38"/>
      <c r="G276" s="38"/>
      <c r="H276" s="38"/>
      <c r="I276" s="38"/>
      <c r="J276" s="38"/>
      <c r="K276" s="38"/>
      <c r="L276" s="38"/>
      <c r="M276" s="38"/>
      <c r="N276" s="38"/>
      <c r="O276" s="38"/>
      <c r="P276" s="38"/>
      <c r="Q276" s="38"/>
      <c r="R276" s="38"/>
      <c r="S276" s="38"/>
      <c r="T276" s="38"/>
      <c r="U276" s="38"/>
      <c r="V276" s="38"/>
      <c r="W276" s="38"/>
      <c r="X276" s="38"/>
      <c r="Y276" s="38"/>
      <c r="Z276" s="38"/>
      <c r="AA276" s="38"/>
      <c r="AB276" s="38"/>
      <c r="AC276" s="38"/>
      <c r="AD276" s="38"/>
      <c r="AE276" s="38"/>
      <c r="AF276" s="38"/>
      <c r="AG276" s="38"/>
      <c r="AH276" s="38"/>
      <c r="AI276" s="38"/>
      <c r="AJ276" s="38"/>
      <c r="AK276" s="38"/>
      <c r="AL276" s="38"/>
      <c r="AM276" s="38"/>
      <c r="AN276" s="38"/>
      <c r="AO276" s="38"/>
      <c r="AP276" s="38"/>
      <c r="AQ276" s="38"/>
      <c r="AR276" s="38"/>
      <c r="AS276" s="38"/>
    </row>
    <row r="277" spans="1:45" x14ac:dyDescent="0.3">
      <c r="A277" s="38"/>
      <c r="B277" s="38"/>
      <c r="C277" s="38"/>
      <c r="D277" s="38"/>
      <c r="E277" s="38"/>
      <c r="F277" s="38"/>
      <c r="G277" s="38"/>
      <c r="H277" s="38"/>
      <c r="I277" s="38"/>
      <c r="J277" s="38"/>
      <c r="K277" s="38"/>
      <c r="L277" s="38"/>
      <c r="M277" s="38"/>
      <c r="N277" s="38"/>
      <c r="O277" s="38"/>
      <c r="P277" s="38"/>
      <c r="Q277" s="38"/>
      <c r="R277" s="38"/>
      <c r="S277" s="38"/>
      <c r="T277" s="38"/>
      <c r="U277" s="38"/>
      <c r="V277" s="38"/>
      <c r="W277" s="38"/>
      <c r="X277" s="38"/>
      <c r="Y277" s="38"/>
      <c r="Z277" s="38"/>
      <c r="AA277" s="38"/>
      <c r="AB277" s="38"/>
      <c r="AC277" s="38"/>
      <c r="AD277" s="38"/>
      <c r="AE277" s="38"/>
      <c r="AF277" s="38"/>
      <c r="AG277" s="38"/>
      <c r="AH277" s="38"/>
      <c r="AI277" s="38"/>
      <c r="AJ277" s="38"/>
      <c r="AK277" s="38"/>
      <c r="AL277" s="38"/>
      <c r="AM277" s="38"/>
      <c r="AN277" s="38"/>
      <c r="AO277" s="38"/>
      <c r="AP277" s="38"/>
      <c r="AQ277" s="38"/>
      <c r="AR277" s="38"/>
      <c r="AS277" s="38"/>
    </row>
    <row r="278" spans="1:45" x14ac:dyDescent="0.3">
      <c r="A278" s="38"/>
      <c r="B278" s="38"/>
      <c r="C278" s="38"/>
      <c r="D278" s="38"/>
      <c r="E278" s="38"/>
      <c r="F278" s="38"/>
      <c r="G278" s="38"/>
      <c r="H278" s="38"/>
      <c r="I278" s="38"/>
      <c r="J278" s="38"/>
      <c r="K278" s="38"/>
      <c r="L278" s="38"/>
      <c r="M278" s="38"/>
      <c r="N278" s="38"/>
      <c r="O278" s="38"/>
      <c r="P278" s="38"/>
      <c r="Q278" s="38"/>
      <c r="R278" s="38"/>
      <c r="S278" s="38"/>
      <c r="T278" s="38"/>
      <c r="U278" s="38"/>
      <c r="V278" s="38"/>
      <c r="W278" s="38"/>
      <c r="X278" s="38"/>
      <c r="Y278" s="38"/>
      <c r="Z278" s="38"/>
      <c r="AA278" s="38"/>
      <c r="AB278" s="38"/>
      <c r="AC278" s="38"/>
      <c r="AD278" s="38"/>
      <c r="AE278" s="38"/>
      <c r="AF278" s="38"/>
      <c r="AG278" s="38"/>
      <c r="AH278" s="38"/>
      <c r="AI278" s="38"/>
      <c r="AJ278" s="38"/>
      <c r="AK278" s="38"/>
      <c r="AL278" s="38"/>
      <c r="AM278" s="38"/>
      <c r="AN278" s="38"/>
      <c r="AO278" s="38"/>
      <c r="AP278" s="38"/>
      <c r="AQ278" s="38"/>
      <c r="AR278" s="38"/>
      <c r="AS278" s="38"/>
    </row>
    <row r="279" spans="1:45" x14ac:dyDescent="0.3">
      <c r="A279" s="38"/>
      <c r="B279" s="38"/>
      <c r="C279" s="38"/>
      <c r="D279" s="38"/>
      <c r="E279" s="38"/>
      <c r="F279" s="38"/>
      <c r="G279" s="38"/>
      <c r="H279" s="38"/>
      <c r="I279" s="38"/>
      <c r="J279" s="38"/>
      <c r="K279" s="38"/>
      <c r="L279" s="38"/>
      <c r="M279" s="38"/>
      <c r="N279" s="38"/>
      <c r="O279" s="38"/>
      <c r="P279" s="38"/>
      <c r="Q279" s="38"/>
      <c r="R279" s="38"/>
      <c r="S279" s="38"/>
      <c r="T279" s="38"/>
      <c r="U279" s="38"/>
      <c r="V279" s="38"/>
      <c r="W279" s="38"/>
      <c r="X279" s="38"/>
      <c r="Y279" s="38"/>
      <c r="Z279" s="38"/>
      <c r="AA279" s="38"/>
      <c r="AB279" s="38"/>
      <c r="AC279" s="38"/>
      <c r="AD279" s="38"/>
      <c r="AE279" s="38"/>
      <c r="AF279" s="38"/>
      <c r="AG279" s="38"/>
      <c r="AH279" s="38"/>
      <c r="AI279" s="38"/>
      <c r="AJ279" s="38"/>
      <c r="AK279" s="38"/>
      <c r="AL279" s="38"/>
      <c r="AM279" s="38"/>
      <c r="AN279" s="38"/>
      <c r="AO279" s="38"/>
      <c r="AP279" s="38"/>
      <c r="AQ279" s="38"/>
      <c r="AR279" s="38"/>
      <c r="AS279" s="38"/>
    </row>
    <row r="280" spans="1:45" x14ac:dyDescent="0.3">
      <c r="A280" s="38"/>
      <c r="B280" s="38"/>
      <c r="C280" s="38"/>
      <c r="D280" s="38"/>
      <c r="E280" s="38"/>
      <c r="F280" s="38"/>
      <c r="G280" s="38"/>
      <c r="H280" s="38"/>
      <c r="I280" s="38"/>
      <c r="J280" s="38"/>
      <c r="K280" s="38"/>
      <c r="L280" s="38"/>
      <c r="M280" s="38"/>
      <c r="N280" s="38"/>
      <c r="O280" s="38"/>
      <c r="P280" s="38"/>
      <c r="Q280" s="38"/>
      <c r="R280" s="38"/>
      <c r="S280" s="38"/>
      <c r="T280" s="38"/>
      <c r="U280" s="38"/>
      <c r="V280" s="38"/>
      <c r="W280" s="38"/>
      <c r="X280" s="38"/>
      <c r="Y280" s="38"/>
      <c r="Z280" s="38"/>
      <c r="AA280" s="38"/>
      <c r="AB280" s="38"/>
      <c r="AC280" s="38"/>
      <c r="AD280" s="38"/>
      <c r="AE280" s="38"/>
      <c r="AF280" s="38"/>
      <c r="AG280" s="38"/>
      <c r="AH280" s="38"/>
      <c r="AI280" s="38"/>
      <c r="AJ280" s="38"/>
      <c r="AK280" s="38"/>
      <c r="AL280" s="38"/>
      <c r="AM280" s="38"/>
      <c r="AN280" s="38"/>
      <c r="AO280" s="38"/>
      <c r="AP280" s="38"/>
      <c r="AQ280" s="38"/>
      <c r="AR280" s="38"/>
      <c r="AS280" s="38"/>
    </row>
    <row r="281" spans="1:45" x14ac:dyDescent="0.3">
      <c r="A281" s="38"/>
      <c r="B281" s="38"/>
      <c r="C281" s="38"/>
      <c r="D281" s="38"/>
      <c r="E281" s="38"/>
      <c r="F281" s="38"/>
      <c r="G281" s="38"/>
      <c r="H281" s="38"/>
      <c r="I281" s="38"/>
      <c r="J281" s="38"/>
      <c r="K281" s="38"/>
      <c r="L281" s="38"/>
      <c r="M281" s="38"/>
      <c r="N281" s="38"/>
      <c r="O281" s="38"/>
      <c r="P281" s="38"/>
      <c r="Q281" s="38"/>
      <c r="R281" s="38"/>
      <c r="S281" s="38"/>
      <c r="T281" s="38"/>
      <c r="U281" s="38"/>
      <c r="V281" s="38"/>
      <c r="W281" s="38"/>
      <c r="X281" s="38"/>
      <c r="Y281" s="38"/>
      <c r="Z281" s="38"/>
      <c r="AA281" s="38"/>
      <c r="AB281" s="38"/>
      <c r="AC281" s="38"/>
      <c r="AD281" s="38"/>
      <c r="AE281" s="38"/>
      <c r="AF281" s="38"/>
      <c r="AG281" s="38"/>
      <c r="AH281" s="38"/>
      <c r="AI281" s="38"/>
      <c r="AJ281" s="38"/>
      <c r="AK281" s="38"/>
      <c r="AL281" s="38"/>
      <c r="AM281" s="38"/>
      <c r="AN281" s="38"/>
      <c r="AO281" s="38"/>
      <c r="AP281" s="38"/>
      <c r="AQ281" s="38"/>
      <c r="AR281" s="38"/>
      <c r="AS281" s="38"/>
    </row>
    <row r="282" spans="1:45" x14ac:dyDescent="0.3">
      <c r="A282" s="38"/>
      <c r="B282" s="38"/>
      <c r="C282" s="38"/>
      <c r="D282" s="38"/>
      <c r="E282" s="38"/>
      <c r="F282" s="38"/>
      <c r="G282" s="38"/>
      <c r="H282" s="38"/>
      <c r="I282" s="38"/>
      <c r="J282" s="38"/>
      <c r="K282" s="38"/>
      <c r="L282" s="38"/>
      <c r="M282" s="38"/>
      <c r="N282" s="38"/>
      <c r="O282" s="38"/>
      <c r="P282" s="38"/>
      <c r="Q282" s="38"/>
      <c r="R282" s="38"/>
      <c r="S282" s="38"/>
      <c r="T282" s="38"/>
      <c r="U282" s="38"/>
      <c r="V282" s="38"/>
      <c r="W282" s="38"/>
      <c r="X282" s="38"/>
      <c r="Y282" s="38"/>
      <c r="Z282" s="38"/>
      <c r="AA282" s="38"/>
      <c r="AB282" s="38"/>
      <c r="AC282" s="38"/>
      <c r="AD282" s="38"/>
      <c r="AE282" s="38"/>
      <c r="AF282" s="38"/>
      <c r="AG282" s="38"/>
      <c r="AH282" s="38"/>
      <c r="AI282" s="38"/>
      <c r="AJ282" s="38"/>
      <c r="AK282" s="38"/>
      <c r="AL282" s="38"/>
      <c r="AM282" s="38"/>
      <c r="AN282" s="38"/>
      <c r="AO282" s="38"/>
      <c r="AP282" s="38"/>
      <c r="AQ282" s="38"/>
      <c r="AR282" s="38"/>
      <c r="AS282" s="38"/>
    </row>
    <row r="283" spans="1:45" x14ac:dyDescent="0.3">
      <c r="A283" s="38"/>
      <c r="B283" s="38"/>
      <c r="C283" s="38"/>
      <c r="D283" s="38"/>
      <c r="E283" s="38"/>
      <c r="F283" s="38"/>
      <c r="G283" s="38"/>
      <c r="H283" s="38"/>
      <c r="I283" s="38"/>
      <c r="J283" s="38"/>
      <c r="K283" s="38"/>
      <c r="L283" s="38"/>
      <c r="M283" s="38"/>
      <c r="N283" s="38"/>
      <c r="O283" s="38"/>
      <c r="P283" s="38"/>
      <c r="Q283" s="38"/>
      <c r="R283" s="38"/>
      <c r="S283" s="38"/>
      <c r="T283" s="38"/>
      <c r="U283" s="38"/>
      <c r="V283" s="38"/>
      <c r="W283" s="38"/>
      <c r="X283" s="38"/>
      <c r="Y283" s="38"/>
      <c r="Z283" s="38"/>
      <c r="AA283" s="38"/>
      <c r="AB283" s="38"/>
      <c r="AC283" s="38"/>
      <c r="AD283" s="38"/>
      <c r="AE283" s="38"/>
      <c r="AF283" s="38"/>
      <c r="AG283" s="38"/>
      <c r="AH283" s="38"/>
      <c r="AI283" s="38"/>
      <c r="AJ283" s="38"/>
      <c r="AK283" s="38"/>
      <c r="AL283" s="38"/>
      <c r="AM283" s="38"/>
      <c r="AN283" s="38"/>
      <c r="AO283" s="38"/>
      <c r="AP283" s="38"/>
      <c r="AQ283" s="38"/>
      <c r="AR283" s="38"/>
      <c r="AS283" s="38"/>
    </row>
    <row r="284" spans="1:45" x14ac:dyDescent="0.3">
      <c r="A284" s="38"/>
      <c r="B284" s="38"/>
      <c r="C284" s="38"/>
      <c r="D284" s="38"/>
      <c r="E284" s="38"/>
      <c r="F284" s="38"/>
      <c r="G284" s="38"/>
      <c r="H284" s="38"/>
      <c r="I284" s="38"/>
      <c r="J284" s="38"/>
      <c r="K284" s="38"/>
      <c r="L284" s="38"/>
      <c r="M284" s="38"/>
      <c r="N284" s="38"/>
      <c r="O284" s="38"/>
      <c r="P284" s="38"/>
      <c r="Q284" s="38"/>
      <c r="R284" s="38"/>
      <c r="S284" s="38"/>
      <c r="T284" s="38"/>
      <c r="U284" s="38"/>
      <c r="V284" s="38"/>
      <c r="W284" s="38"/>
      <c r="X284" s="38"/>
      <c r="Y284" s="38"/>
      <c r="Z284" s="38"/>
      <c r="AA284" s="38"/>
      <c r="AB284" s="38"/>
      <c r="AC284" s="38"/>
      <c r="AD284" s="38"/>
      <c r="AE284" s="38"/>
      <c r="AF284" s="38"/>
      <c r="AG284" s="38"/>
      <c r="AH284" s="38"/>
      <c r="AI284" s="38"/>
      <c r="AJ284" s="38"/>
      <c r="AK284" s="38"/>
      <c r="AL284" s="38"/>
      <c r="AM284" s="38"/>
      <c r="AN284" s="38"/>
      <c r="AO284" s="38"/>
      <c r="AP284" s="38"/>
      <c r="AQ284" s="38"/>
      <c r="AR284" s="38"/>
      <c r="AS284" s="38"/>
    </row>
    <row r="285" spans="1:45" x14ac:dyDescent="0.3">
      <c r="A285" s="38"/>
      <c r="B285" s="38"/>
      <c r="C285" s="38"/>
      <c r="D285" s="38"/>
      <c r="E285" s="38"/>
      <c r="F285" s="38"/>
      <c r="G285" s="38"/>
      <c r="H285" s="38"/>
      <c r="I285" s="38"/>
      <c r="J285" s="38"/>
      <c r="K285" s="38"/>
      <c r="L285" s="38"/>
      <c r="M285" s="38"/>
      <c r="N285" s="38"/>
      <c r="O285" s="38"/>
      <c r="P285" s="38"/>
      <c r="Q285" s="38"/>
      <c r="R285" s="38"/>
      <c r="S285" s="38"/>
      <c r="T285" s="38"/>
      <c r="U285" s="38"/>
      <c r="V285" s="38"/>
      <c r="W285" s="38"/>
      <c r="X285" s="38"/>
      <c r="Y285" s="38"/>
      <c r="Z285" s="38"/>
      <c r="AA285" s="38"/>
      <c r="AB285" s="38"/>
      <c r="AC285" s="38"/>
      <c r="AD285" s="38"/>
      <c r="AE285" s="38"/>
      <c r="AF285" s="38"/>
      <c r="AG285" s="38"/>
      <c r="AH285" s="38"/>
      <c r="AI285" s="38"/>
      <c r="AJ285" s="38"/>
      <c r="AK285" s="38"/>
      <c r="AL285" s="38"/>
      <c r="AM285" s="38"/>
      <c r="AN285" s="38"/>
      <c r="AO285" s="38"/>
      <c r="AP285" s="38"/>
      <c r="AQ285" s="38"/>
      <c r="AR285" s="38"/>
      <c r="AS285" s="38"/>
    </row>
    <row r="286" spans="1:45" x14ac:dyDescent="0.3">
      <c r="A286" s="38"/>
      <c r="B286" s="38"/>
      <c r="C286" s="38"/>
      <c r="D286" s="38"/>
      <c r="E286" s="38"/>
      <c r="F286" s="38"/>
      <c r="G286" s="38"/>
      <c r="H286" s="38"/>
      <c r="I286" s="38"/>
      <c r="J286" s="38"/>
      <c r="K286" s="38"/>
      <c r="L286" s="38"/>
      <c r="M286" s="38"/>
      <c r="N286" s="38"/>
      <c r="O286" s="38"/>
      <c r="P286" s="38"/>
      <c r="Q286" s="38"/>
      <c r="R286" s="38"/>
      <c r="S286" s="38"/>
      <c r="T286" s="38"/>
      <c r="U286" s="38"/>
      <c r="V286" s="38"/>
      <c r="W286" s="38"/>
      <c r="X286" s="38"/>
      <c r="Y286" s="38"/>
      <c r="Z286" s="38"/>
      <c r="AA286" s="38"/>
      <c r="AB286" s="38"/>
      <c r="AC286" s="38"/>
      <c r="AD286" s="38"/>
      <c r="AE286" s="38"/>
      <c r="AF286" s="38"/>
      <c r="AG286" s="38"/>
      <c r="AH286" s="38"/>
      <c r="AI286" s="38"/>
      <c r="AJ286" s="38"/>
      <c r="AK286" s="38"/>
      <c r="AL286" s="38"/>
      <c r="AM286" s="38"/>
      <c r="AN286" s="38"/>
      <c r="AO286" s="38"/>
      <c r="AP286" s="38"/>
      <c r="AQ286" s="38"/>
      <c r="AR286" s="38"/>
      <c r="AS286" s="38"/>
    </row>
    <row r="287" spans="1:45" x14ac:dyDescent="0.3">
      <c r="A287" s="38"/>
      <c r="B287" s="38"/>
      <c r="C287" s="38"/>
      <c r="D287" s="38"/>
      <c r="E287" s="38"/>
      <c r="F287" s="38"/>
      <c r="G287" s="38"/>
      <c r="H287" s="38"/>
      <c r="I287" s="38"/>
      <c r="J287" s="38"/>
      <c r="K287" s="38"/>
      <c r="L287" s="38"/>
      <c r="M287" s="38"/>
      <c r="N287" s="38"/>
      <c r="O287" s="38"/>
      <c r="P287" s="38"/>
      <c r="Q287" s="38"/>
      <c r="R287" s="38"/>
      <c r="S287" s="38"/>
      <c r="T287" s="38"/>
      <c r="U287" s="38"/>
      <c r="V287" s="38"/>
      <c r="W287" s="38"/>
      <c r="X287" s="38"/>
      <c r="Y287" s="38"/>
      <c r="Z287" s="38"/>
      <c r="AA287" s="38"/>
      <c r="AB287" s="38"/>
      <c r="AC287" s="38"/>
      <c r="AD287" s="38"/>
      <c r="AE287" s="38"/>
      <c r="AF287" s="38"/>
      <c r="AG287" s="38"/>
      <c r="AH287" s="38"/>
      <c r="AI287" s="38"/>
      <c r="AJ287" s="38"/>
      <c r="AK287" s="38"/>
      <c r="AL287" s="38"/>
      <c r="AM287" s="38"/>
      <c r="AN287" s="38"/>
      <c r="AO287" s="38"/>
      <c r="AP287" s="38"/>
      <c r="AQ287" s="38"/>
      <c r="AR287" s="38"/>
      <c r="AS287" s="38"/>
    </row>
    <row r="288" spans="1:45" x14ac:dyDescent="0.3">
      <c r="A288" s="38"/>
      <c r="B288" s="38"/>
      <c r="C288" s="38"/>
      <c r="D288" s="38"/>
      <c r="E288" s="38"/>
      <c r="F288" s="38"/>
      <c r="G288" s="38"/>
      <c r="H288" s="38"/>
      <c r="I288" s="38"/>
      <c r="J288" s="38"/>
      <c r="K288" s="38"/>
      <c r="L288" s="38"/>
      <c r="M288" s="38"/>
      <c r="N288" s="38"/>
      <c r="O288" s="38"/>
      <c r="P288" s="38"/>
      <c r="Q288" s="38"/>
      <c r="R288" s="38"/>
      <c r="S288" s="38"/>
      <c r="T288" s="38"/>
      <c r="U288" s="38"/>
      <c r="V288" s="38"/>
      <c r="W288" s="38"/>
      <c r="X288" s="38"/>
      <c r="Y288" s="38"/>
      <c r="Z288" s="38"/>
      <c r="AA288" s="38"/>
      <c r="AB288" s="38"/>
      <c r="AC288" s="38"/>
      <c r="AD288" s="38"/>
      <c r="AE288" s="38"/>
      <c r="AF288" s="38"/>
      <c r="AG288" s="38"/>
      <c r="AH288" s="38"/>
      <c r="AI288" s="38"/>
      <c r="AJ288" s="38"/>
      <c r="AK288" s="38"/>
      <c r="AL288" s="38"/>
      <c r="AM288" s="38"/>
      <c r="AN288" s="38"/>
      <c r="AO288" s="38"/>
      <c r="AP288" s="38"/>
      <c r="AQ288" s="38"/>
      <c r="AR288" s="38"/>
      <c r="AS288" s="38"/>
    </row>
    <row r="289" spans="1:45" x14ac:dyDescent="0.3">
      <c r="A289" s="38"/>
      <c r="B289" s="38"/>
      <c r="C289" s="38"/>
      <c r="D289" s="38"/>
      <c r="E289" s="38"/>
      <c r="F289" s="38"/>
      <c r="G289" s="38"/>
      <c r="H289" s="38"/>
      <c r="I289" s="38"/>
      <c r="J289" s="38"/>
      <c r="K289" s="38"/>
      <c r="L289" s="38"/>
      <c r="M289" s="38"/>
      <c r="N289" s="38"/>
      <c r="O289" s="38"/>
      <c r="P289" s="38"/>
      <c r="Q289" s="38"/>
      <c r="R289" s="38"/>
      <c r="S289" s="38"/>
      <c r="T289" s="38"/>
      <c r="U289" s="38"/>
      <c r="V289" s="38"/>
      <c r="W289" s="38"/>
      <c r="X289" s="38"/>
      <c r="Y289" s="38"/>
      <c r="Z289" s="38"/>
      <c r="AA289" s="38"/>
      <c r="AB289" s="38"/>
      <c r="AC289" s="38"/>
      <c r="AD289" s="38"/>
      <c r="AE289" s="38"/>
      <c r="AF289" s="38"/>
      <c r="AG289" s="38"/>
      <c r="AH289" s="38"/>
      <c r="AI289" s="38"/>
      <c r="AJ289" s="38"/>
      <c r="AK289" s="38"/>
      <c r="AL289" s="38"/>
      <c r="AM289" s="38"/>
      <c r="AN289" s="38"/>
      <c r="AO289" s="38"/>
      <c r="AP289" s="38"/>
      <c r="AQ289" s="38"/>
      <c r="AR289" s="38"/>
      <c r="AS289" s="38"/>
    </row>
    <row r="290" spans="1:45" x14ac:dyDescent="0.3">
      <c r="A290" s="38"/>
      <c r="B290" s="38"/>
      <c r="C290" s="38"/>
      <c r="D290" s="38"/>
      <c r="E290" s="38"/>
      <c r="F290" s="38"/>
      <c r="G290" s="38"/>
      <c r="H290" s="38"/>
      <c r="I290" s="38"/>
      <c r="J290" s="38"/>
      <c r="K290" s="38"/>
      <c r="L290" s="38"/>
      <c r="M290" s="38"/>
      <c r="N290" s="38"/>
      <c r="O290" s="38"/>
      <c r="P290" s="38"/>
      <c r="Q290" s="38"/>
      <c r="R290" s="38"/>
      <c r="S290" s="38"/>
      <c r="T290" s="38"/>
      <c r="U290" s="38"/>
      <c r="V290" s="38"/>
      <c r="W290" s="38"/>
      <c r="X290" s="38"/>
      <c r="Y290" s="38"/>
      <c r="Z290" s="38"/>
      <c r="AA290" s="38"/>
      <c r="AB290" s="38"/>
      <c r="AC290" s="38"/>
      <c r="AD290" s="38"/>
      <c r="AE290" s="38"/>
      <c r="AF290" s="38"/>
      <c r="AG290" s="38"/>
      <c r="AH290" s="38"/>
      <c r="AI290" s="38"/>
      <c r="AJ290" s="38"/>
      <c r="AK290" s="38"/>
      <c r="AL290" s="38"/>
      <c r="AM290" s="38"/>
      <c r="AN290" s="38"/>
      <c r="AO290" s="38"/>
      <c r="AP290" s="38"/>
      <c r="AQ290" s="38"/>
      <c r="AR290" s="38"/>
      <c r="AS290" s="38"/>
    </row>
    <row r="291" spans="1:45" x14ac:dyDescent="0.3">
      <c r="A291" s="38"/>
      <c r="B291" s="38"/>
      <c r="C291" s="38"/>
      <c r="D291" s="38"/>
      <c r="E291" s="38"/>
      <c r="F291" s="38"/>
      <c r="G291" s="38"/>
      <c r="H291" s="38"/>
      <c r="I291" s="38"/>
      <c r="J291" s="38"/>
      <c r="K291" s="38"/>
      <c r="L291" s="38"/>
      <c r="M291" s="38"/>
      <c r="N291" s="38"/>
      <c r="O291" s="38"/>
      <c r="P291" s="38"/>
      <c r="Q291" s="38"/>
      <c r="R291" s="38"/>
      <c r="S291" s="38"/>
      <c r="T291" s="38"/>
      <c r="U291" s="38"/>
      <c r="V291" s="38"/>
      <c r="W291" s="38"/>
      <c r="X291" s="38"/>
      <c r="Y291" s="38"/>
      <c r="Z291" s="38"/>
      <c r="AA291" s="38"/>
      <c r="AB291" s="38"/>
      <c r="AC291" s="38"/>
      <c r="AD291" s="38"/>
      <c r="AE291" s="38"/>
      <c r="AF291" s="38"/>
      <c r="AG291" s="38"/>
      <c r="AH291" s="38"/>
      <c r="AI291" s="38"/>
      <c r="AJ291" s="38"/>
      <c r="AK291" s="38"/>
      <c r="AL291" s="38"/>
      <c r="AM291" s="38"/>
      <c r="AN291" s="38"/>
      <c r="AO291" s="38"/>
      <c r="AP291" s="38"/>
      <c r="AQ291" s="38"/>
      <c r="AR291" s="38"/>
      <c r="AS291" s="38"/>
    </row>
    <row r="292" spans="1:45" x14ac:dyDescent="0.3">
      <c r="A292" s="38"/>
      <c r="B292" s="38"/>
      <c r="C292" s="38"/>
      <c r="D292" s="38"/>
      <c r="E292" s="38"/>
      <c r="F292" s="38"/>
      <c r="G292" s="38"/>
      <c r="H292" s="38"/>
      <c r="I292" s="38"/>
      <c r="J292" s="38"/>
      <c r="K292" s="38"/>
      <c r="L292" s="38"/>
      <c r="M292" s="38"/>
      <c r="N292" s="38"/>
      <c r="O292" s="38"/>
      <c r="P292" s="38"/>
      <c r="Q292" s="38"/>
      <c r="R292" s="38"/>
      <c r="S292" s="38"/>
      <c r="T292" s="38"/>
      <c r="U292" s="38"/>
      <c r="V292" s="38"/>
      <c r="W292" s="38"/>
      <c r="X292" s="38"/>
      <c r="Y292" s="38"/>
      <c r="Z292" s="38"/>
      <c r="AA292" s="38"/>
      <c r="AB292" s="38"/>
      <c r="AC292" s="38"/>
      <c r="AD292" s="38"/>
      <c r="AE292" s="38"/>
      <c r="AF292" s="38"/>
      <c r="AG292" s="38"/>
      <c r="AH292" s="38"/>
      <c r="AI292" s="38"/>
      <c r="AJ292" s="38"/>
      <c r="AK292" s="38"/>
      <c r="AL292" s="38"/>
      <c r="AM292" s="38"/>
      <c r="AN292" s="38"/>
      <c r="AO292" s="38"/>
      <c r="AP292" s="38"/>
      <c r="AQ292" s="38"/>
      <c r="AR292" s="38"/>
      <c r="AS292" s="38"/>
    </row>
    <row r="293" spans="1:45" x14ac:dyDescent="0.3">
      <c r="A293" s="38"/>
      <c r="B293" s="38"/>
      <c r="C293" s="38"/>
      <c r="D293" s="38"/>
      <c r="E293" s="38"/>
      <c r="F293" s="38"/>
      <c r="G293" s="38"/>
      <c r="H293" s="38"/>
      <c r="I293" s="38"/>
      <c r="J293" s="38"/>
      <c r="K293" s="38"/>
      <c r="L293" s="38"/>
      <c r="M293" s="38"/>
      <c r="N293" s="38"/>
      <c r="O293" s="38"/>
      <c r="P293" s="38"/>
      <c r="Q293" s="38"/>
      <c r="R293" s="38"/>
      <c r="S293" s="38"/>
      <c r="T293" s="38"/>
      <c r="U293" s="38"/>
      <c r="V293" s="38"/>
      <c r="W293" s="38"/>
      <c r="X293" s="38"/>
      <c r="Y293" s="38"/>
      <c r="Z293" s="38"/>
      <c r="AA293" s="38"/>
      <c r="AB293" s="38"/>
      <c r="AC293" s="38"/>
      <c r="AD293" s="38"/>
      <c r="AE293" s="38"/>
      <c r="AF293" s="38"/>
      <c r="AG293" s="38"/>
      <c r="AH293" s="38"/>
      <c r="AI293" s="38"/>
      <c r="AJ293" s="38"/>
      <c r="AK293" s="38"/>
      <c r="AL293" s="38"/>
      <c r="AM293" s="38"/>
      <c r="AN293" s="38"/>
      <c r="AO293" s="38"/>
      <c r="AP293" s="38"/>
      <c r="AQ293" s="38"/>
      <c r="AR293" s="38"/>
      <c r="AS293" s="38"/>
    </row>
    <row r="294" spans="1:45" x14ac:dyDescent="0.3">
      <c r="A294" s="38"/>
      <c r="B294" s="38"/>
      <c r="C294" s="38"/>
      <c r="D294" s="38"/>
      <c r="E294" s="38"/>
      <c r="F294" s="38"/>
      <c r="G294" s="38"/>
      <c r="H294" s="38"/>
      <c r="I294" s="38"/>
      <c r="J294" s="38"/>
      <c r="K294" s="38"/>
      <c r="L294" s="38"/>
      <c r="M294" s="38"/>
      <c r="N294" s="38"/>
      <c r="O294" s="38"/>
      <c r="P294" s="38"/>
      <c r="Q294" s="38"/>
      <c r="R294" s="38"/>
      <c r="S294" s="38"/>
      <c r="T294" s="38"/>
      <c r="U294" s="38"/>
      <c r="V294" s="38"/>
      <c r="W294" s="38"/>
      <c r="X294" s="38"/>
      <c r="Y294" s="38"/>
      <c r="Z294" s="38"/>
      <c r="AA294" s="38"/>
      <c r="AB294" s="38"/>
      <c r="AC294" s="38"/>
      <c r="AD294" s="38"/>
      <c r="AE294" s="38"/>
      <c r="AF294" s="38"/>
      <c r="AG294" s="38"/>
      <c r="AH294" s="38"/>
      <c r="AI294" s="38"/>
      <c r="AJ294" s="38"/>
      <c r="AK294" s="38"/>
      <c r="AL294" s="38"/>
      <c r="AM294" s="38"/>
      <c r="AN294" s="38"/>
      <c r="AO294" s="38"/>
      <c r="AP294" s="38"/>
      <c r="AQ294" s="38"/>
      <c r="AR294" s="38"/>
      <c r="AS294" s="38"/>
    </row>
    <row r="295" spans="1:45" x14ac:dyDescent="0.3">
      <c r="A295" s="38"/>
      <c r="B295" s="38"/>
      <c r="C295" s="38"/>
      <c r="D295" s="38"/>
      <c r="E295" s="38"/>
      <c r="F295" s="38"/>
      <c r="G295" s="38"/>
      <c r="H295" s="38"/>
      <c r="I295" s="38"/>
      <c r="J295" s="38"/>
      <c r="K295" s="38"/>
      <c r="L295" s="38"/>
      <c r="M295" s="38"/>
      <c r="N295" s="38"/>
      <c r="O295" s="38"/>
      <c r="P295" s="38"/>
      <c r="Q295" s="38"/>
      <c r="R295" s="38"/>
      <c r="S295" s="38"/>
      <c r="T295" s="38"/>
      <c r="U295" s="38"/>
      <c r="V295" s="38"/>
      <c r="W295" s="38"/>
      <c r="X295" s="38"/>
      <c r="Y295" s="38"/>
      <c r="Z295" s="38"/>
      <c r="AA295" s="38"/>
      <c r="AB295" s="38"/>
      <c r="AC295" s="38"/>
      <c r="AD295" s="38"/>
      <c r="AE295" s="38"/>
      <c r="AF295" s="38"/>
      <c r="AG295" s="38"/>
      <c r="AH295" s="38"/>
      <c r="AI295" s="38"/>
      <c r="AJ295" s="38"/>
      <c r="AK295" s="38"/>
      <c r="AL295" s="38"/>
      <c r="AM295" s="38"/>
      <c r="AN295" s="38"/>
      <c r="AO295" s="38"/>
      <c r="AP295" s="38"/>
      <c r="AQ295" s="38"/>
      <c r="AR295" s="38"/>
      <c r="AS295" s="38"/>
    </row>
    <row r="296" spans="1:45" x14ac:dyDescent="0.3">
      <c r="A296" s="38"/>
      <c r="B296" s="38"/>
      <c r="C296" s="38"/>
      <c r="D296" s="38"/>
      <c r="E296" s="38"/>
      <c r="F296" s="38"/>
      <c r="G296" s="38"/>
      <c r="H296" s="38"/>
      <c r="I296" s="38"/>
      <c r="J296" s="38"/>
      <c r="K296" s="38"/>
      <c r="L296" s="38"/>
      <c r="M296" s="38"/>
      <c r="N296" s="38"/>
      <c r="O296" s="38"/>
      <c r="P296" s="38"/>
      <c r="Q296" s="38"/>
      <c r="R296" s="38"/>
      <c r="S296" s="38"/>
      <c r="T296" s="38"/>
      <c r="U296" s="38"/>
      <c r="V296" s="38"/>
      <c r="W296" s="38"/>
      <c r="X296" s="38"/>
      <c r="Y296" s="38"/>
      <c r="Z296" s="38"/>
      <c r="AA296" s="38"/>
      <c r="AB296" s="38"/>
      <c r="AC296" s="38"/>
      <c r="AD296" s="38"/>
      <c r="AE296" s="38"/>
      <c r="AF296" s="38"/>
      <c r="AG296" s="38"/>
      <c r="AH296" s="38"/>
      <c r="AI296" s="38"/>
      <c r="AJ296" s="38"/>
      <c r="AK296" s="38"/>
      <c r="AL296" s="38"/>
      <c r="AM296" s="38"/>
      <c r="AN296" s="38"/>
      <c r="AO296" s="38"/>
      <c r="AP296" s="38"/>
      <c r="AQ296" s="38"/>
      <c r="AR296" s="38"/>
      <c r="AS296" s="38"/>
    </row>
    <row r="297" spans="1:45" x14ac:dyDescent="0.3">
      <c r="A297" s="38"/>
      <c r="B297" s="38"/>
      <c r="C297" s="38"/>
      <c r="D297" s="38"/>
      <c r="E297" s="38"/>
      <c r="F297" s="38"/>
      <c r="G297" s="38"/>
      <c r="H297" s="38"/>
      <c r="I297" s="38"/>
      <c r="J297" s="38"/>
      <c r="K297" s="38"/>
      <c r="L297" s="38"/>
      <c r="M297" s="38"/>
      <c r="N297" s="38"/>
      <c r="O297" s="38"/>
      <c r="P297" s="38"/>
      <c r="Q297" s="38"/>
      <c r="R297" s="38"/>
      <c r="S297" s="38"/>
      <c r="T297" s="38"/>
      <c r="U297" s="38"/>
      <c r="V297" s="38"/>
      <c r="W297" s="38"/>
      <c r="X297" s="38"/>
      <c r="Y297" s="38"/>
      <c r="Z297" s="38"/>
      <c r="AA297" s="38"/>
      <c r="AB297" s="38"/>
      <c r="AC297" s="38"/>
      <c r="AD297" s="38"/>
      <c r="AE297" s="38"/>
      <c r="AF297" s="38"/>
      <c r="AG297" s="38"/>
      <c r="AH297" s="38"/>
      <c r="AI297" s="38"/>
      <c r="AJ297" s="38"/>
      <c r="AK297" s="38"/>
      <c r="AL297" s="38"/>
      <c r="AM297" s="38"/>
      <c r="AN297" s="38"/>
      <c r="AO297" s="38"/>
      <c r="AP297" s="38"/>
      <c r="AQ297" s="38"/>
      <c r="AR297" s="38"/>
      <c r="AS297" s="38"/>
    </row>
    <row r="298" spans="1:45" x14ac:dyDescent="0.3">
      <c r="A298" s="38"/>
      <c r="B298" s="38"/>
      <c r="C298" s="38"/>
      <c r="D298" s="38"/>
      <c r="E298" s="38"/>
      <c r="F298" s="38"/>
      <c r="G298" s="38"/>
      <c r="H298" s="38"/>
      <c r="I298" s="38"/>
      <c r="J298" s="38"/>
      <c r="K298" s="38"/>
      <c r="L298" s="38"/>
      <c r="M298" s="38"/>
      <c r="N298" s="38"/>
      <c r="O298" s="38"/>
      <c r="P298" s="38"/>
      <c r="Q298" s="38"/>
      <c r="R298" s="38"/>
      <c r="S298" s="38"/>
      <c r="T298" s="38"/>
      <c r="U298" s="38"/>
      <c r="V298" s="38"/>
      <c r="W298" s="38"/>
      <c r="X298" s="38"/>
      <c r="Y298" s="38"/>
      <c r="Z298" s="38"/>
      <c r="AA298" s="38"/>
      <c r="AB298" s="38"/>
      <c r="AC298" s="38"/>
      <c r="AD298" s="38"/>
      <c r="AE298" s="38"/>
      <c r="AF298" s="38"/>
      <c r="AG298" s="38"/>
      <c r="AH298" s="38"/>
      <c r="AI298" s="38"/>
      <c r="AJ298" s="38"/>
      <c r="AK298" s="38"/>
      <c r="AL298" s="38"/>
      <c r="AM298" s="38"/>
      <c r="AN298" s="38"/>
      <c r="AO298" s="38"/>
      <c r="AP298" s="38"/>
      <c r="AQ298" s="38"/>
      <c r="AR298" s="38"/>
      <c r="AS298" s="38"/>
    </row>
    <row r="299" spans="1:45" x14ac:dyDescent="0.3">
      <c r="A299" s="38"/>
      <c r="B299" s="38"/>
      <c r="C299" s="38"/>
      <c r="D299" s="38"/>
      <c r="E299" s="38"/>
      <c r="F299" s="38"/>
      <c r="G299" s="38"/>
      <c r="H299" s="38"/>
      <c r="I299" s="38"/>
      <c r="J299" s="38"/>
      <c r="K299" s="38"/>
      <c r="L299" s="38"/>
      <c r="M299" s="38"/>
      <c r="N299" s="38"/>
      <c r="O299" s="38"/>
      <c r="P299" s="38"/>
      <c r="Q299" s="38"/>
      <c r="R299" s="38"/>
      <c r="S299" s="38"/>
      <c r="T299" s="38"/>
      <c r="U299" s="38"/>
      <c r="V299" s="38"/>
      <c r="W299" s="38"/>
      <c r="X299" s="38"/>
      <c r="Y299" s="38"/>
      <c r="Z299" s="38"/>
      <c r="AA299" s="38"/>
      <c r="AB299" s="38"/>
      <c r="AC299" s="38"/>
      <c r="AD299" s="38"/>
      <c r="AE299" s="38"/>
      <c r="AF299" s="38"/>
      <c r="AG299" s="38"/>
      <c r="AH299" s="38"/>
      <c r="AI299" s="38"/>
      <c r="AJ299" s="38"/>
      <c r="AK299" s="38"/>
      <c r="AL299" s="38"/>
      <c r="AM299" s="38"/>
      <c r="AN299" s="38"/>
      <c r="AO299" s="38"/>
      <c r="AP299" s="38"/>
      <c r="AQ299" s="38"/>
      <c r="AR299" s="38"/>
      <c r="AS299" s="38"/>
    </row>
    <row r="300" spans="1:45" x14ac:dyDescent="0.3">
      <c r="A300" s="38"/>
      <c r="B300" s="38"/>
      <c r="C300" s="38"/>
      <c r="D300" s="38"/>
      <c r="E300" s="38"/>
      <c r="F300" s="38"/>
      <c r="G300" s="38"/>
      <c r="H300" s="38"/>
      <c r="I300" s="38"/>
      <c r="J300" s="38"/>
      <c r="K300" s="38"/>
      <c r="L300" s="38"/>
      <c r="M300" s="38"/>
      <c r="N300" s="38"/>
      <c r="O300" s="38"/>
      <c r="P300" s="38"/>
      <c r="Q300" s="38"/>
      <c r="R300" s="38"/>
      <c r="S300" s="38"/>
      <c r="T300" s="38"/>
      <c r="U300" s="38"/>
      <c r="V300" s="38"/>
      <c r="W300" s="38"/>
      <c r="X300" s="38"/>
      <c r="Y300" s="38"/>
      <c r="Z300" s="38"/>
      <c r="AA300" s="38"/>
      <c r="AB300" s="38"/>
      <c r="AC300" s="38"/>
      <c r="AD300" s="38"/>
      <c r="AE300" s="38"/>
      <c r="AF300" s="38"/>
      <c r="AG300" s="38"/>
      <c r="AH300" s="38"/>
      <c r="AI300" s="38"/>
      <c r="AJ300" s="38"/>
      <c r="AK300" s="38"/>
      <c r="AL300" s="38"/>
      <c r="AM300" s="38"/>
      <c r="AN300" s="38"/>
      <c r="AO300" s="38"/>
      <c r="AP300" s="38"/>
      <c r="AQ300" s="38"/>
      <c r="AR300" s="38"/>
      <c r="AS300" s="38"/>
    </row>
    <row r="301" spans="1:45" x14ac:dyDescent="0.3">
      <c r="A301" s="38"/>
      <c r="B301" s="38"/>
      <c r="C301" s="38"/>
      <c r="D301" s="38"/>
      <c r="E301" s="38"/>
      <c r="F301" s="38"/>
      <c r="G301" s="38"/>
      <c r="H301" s="38"/>
      <c r="I301" s="38"/>
      <c r="J301" s="38"/>
      <c r="K301" s="38"/>
      <c r="L301" s="38"/>
      <c r="M301" s="38"/>
      <c r="N301" s="38"/>
      <c r="O301" s="38"/>
      <c r="P301" s="38"/>
      <c r="Q301" s="38"/>
      <c r="R301" s="38"/>
      <c r="S301" s="38"/>
      <c r="T301" s="38"/>
      <c r="U301" s="38"/>
      <c r="V301" s="38"/>
      <c r="W301" s="38"/>
      <c r="X301" s="38"/>
      <c r="Y301" s="38"/>
      <c r="Z301" s="38"/>
      <c r="AA301" s="38"/>
      <c r="AB301" s="38"/>
      <c r="AC301" s="38"/>
      <c r="AD301" s="38"/>
      <c r="AE301" s="38"/>
      <c r="AF301" s="38"/>
      <c r="AG301" s="38"/>
      <c r="AH301" s="38"/>
      <c r="AI301" s="38"/>
      <c r="AJ301" s="38"/>
      <c r="AK301" s="38"/>
      <c r="AL301" s="38"/>
      <c r="AM301" s="38"/>
      <c r="AN301" s="38"/>
      <c r="AO301" s="38"/>
      <c r="AP301" s="38"/>
      <c r="AQ301" s="38"/>
      <c r="AR301" s="38"/>
      <c r="AS301" s="38"/>
    </row>
    <row r="302" spans="1:45" x14ac:dyDescent="0.3">
      <c r="A302" s="38"/>
      <c r="B302" s="38"/>
      <c r="C302" s="38"/>
      <c r="D302" s="38"/>
      <c r="E302" s="38"/>
      <c r="F302" s="38"/>
      <c r="G302" s="38"/>
      <c r="H302" s="38"/>
      <c r="I302" s="38"/>
      <c r="J302" s="38"/>
      <c r="K302" s="38"/>
      <c r="L302" s="38"/>
      <c r="M302" s="38"/>
      <c r="N302" s="38"/>
      <c r="O302" s="38"/>
      <c r="P302" s="38"/>
      <c r="Q302" s="38"/>
      <c r="R302" s="38"/>
      <c r="S302" s="38"/>
      <c r="T302" s="38"/>
      <c r="U302" s="38"/>
      <c r="V302" s="38"/>
      <c r="W302" s="38"/>
      <c r="X302" s="38"/>
      <c r="Y302" s="38"/>
      <c r="Z302" s="38"/>
      <c r="AA302" s="38"/>
      <c r="AB302" s="38"/>
      <c r="AC302" s="38"/>
      <c r="AD302" s="38"/>
      <c r="AE302" s="38"/>
      <c r="AF302" s="38"/>
      <c r="AG302" s="38"/>
      <c r="AH302" s="38"/>
      <c r="AI302" s="38"/>
      <c r="AJ302" s="38"/>
      <c r="AK302" s="38"/>
      <c r="AL302" s="38"/>
      <c r="AM302" s="38"/>
      <c r="AN302" s="38"/>
      <c r="AO302" s="38"/>
      <c r="AP302" s="38"/>
      <c r="AQ302" s="38"/>
      <c r="AR302" s="38"/>
      <c r="AS302" s="38"/>
    </row>
    <row r="303" spans="1:45" x14ac:dyDescent="0.3">
      <c r="A303" s="38"/>
      <c r="B303" s="38"/>
      <c r="C303" s="38"/>
      <c r="D303" s="38"/>
      <c r="E303" s="38"/>
      <c r="F303" s="38"/>
      <c r="G303" s="38"/>
      <c r="H303" s="38"/>
      <c r="I303" s="38"/>
      <c r="J303" s="38"/>
      <c r="K303" s="38"/>
      <c r="L303" s="38"/>
      <c r="M303" s="38"/>
      <c r="N303" s="38"/>
      <c r="O303" s="38"/>
      <c r="P303" s="38"/>
      <c r="Q303" s="38"/>
      <c r="R303" s="38"/>
      <c r="S303" s="38"/>
      <c r="T303" s="38"/>
      <c r="U303" s="38"/>
      <c r="V303" s="38"/>
      <c r="W303" s="38"/>
      <c r="X303" s="38"/>
      <c r="Y303" s="38"/>
      <c r="Z303" s="38"/>
      <c r="AA303" s="38"/>
      <c r="AB303" s="38"/>
      <c r="AC303" s="38"/>
      <c r="AD303" s="38"/>
      <c r="AE303" s="38"/>
      <c r="AF303" s="38"/>
      <c r="AG303" s="38"/>
      <c r="AH303" s="38"/>
      <c r="AI303" s="38"/>
      <c r="AJ303" s="38"/>
      <c r="AK303" s="38"/>
      <c r="AL303" s="38"/>
      <c r="AM303" s="38"/>
      <c r="AN303" s="38"/>
      <c r="AO303" s="38"/>
      <c r="AP303" s="38"/>
      <c r="AQ303" s="38"/>
      <c r="AR303" s="38"/>
      <c r="AS303" s="38"/>
    </row>
    <row r="304" spans="1:45" x14ac:dyDescent="0.3">
      <c r="A304" s="38"/>
      <c r="B304" s="38"/>
      <c r="C304" s="38"/>
      <c r="D304" s="38"/>
      <c r="E304" s="38"/>
      <c r="F304" s="38"/>
      <c r="G304" s="38"/>
      <c r="H304" s="38"/>
      <c r="I304" s="38"/>
      <c r="J304" s="38"/>
      <c r="K304" s="38"/>
      <c r="L304" s="38"/>
      <c r="M304" s="38"/>
      <c r="N304" s="38"/>
      <c r="O304" s="38"/>
      <c r="P304" s="38"/>
      <c r="Q304" s="38"/>
      <c r="R304" s="38"/>
      <c r="S304" s="38"/>
      <c r="T304" s="38"/>
      <c r="U304" s="38"/>
      <c r="V304" s="38"/>
      <c r="W304" s="38"/>
      <c r="X304" s="38"/>
      <c r="Y304" s="38"/>
      <c r="Z304" s="38"/>
      <c r="AA304" s="38"/>
      <c r="AB304" s="38"/>
      <c r="AC304" s="38"/>
      <c r="AD304" s="38"/>
      <c r="AE304" s="38"/>
      <c r="AF304" s="38"/>
      <c r="AG304" s="38"/>
      <c r="AH304" s="38"/>
      <c r="AI304" s="38"/>
      <c r="AJ304" s="38"/>
      <c r="AK304" s="38"/>
      <c r="AL304" s="38"/>
      <c r="AM304" s="38"/>
      <c r="AN304" s="38"/>
      <c r="AO304" s="38"/>
      <c r="AP304" s="38"/>
      <c r="AQ304" s="38"/>
      <c r="AR304" s="38"/>
      <c r="AS304" s="38"/>
    </row>
    <row r="305" spans="1:45" x14ac:dyDescent="0.3">
      <c r="A305" s="38"/>
      <c r="B305" s="38"/>
      <c r="C305" s="38"/>
      <c r="D305" s="38"/>
      <c r="E305" s="38"/>
      <c r="F305" s="38"/>
      <c r="G305" s="38"/>
      <c r="H305" s="38"/>
      <c r="I305" s="38"/>
      <c r="J305" s="38"/>
      <c r="K305" s="38"/>
      <c r="L305" s="38"/>
      <c r="M305" s="38"/>
      <c r="N305" s="38"/>
      <c r="O305" s="38"/>
      <c r="P305" s="38"/>
      <c r="Q305" s="38"/>
      <c r="R305" s="38"/>
      <c r="S305" s="38"/>
      <c r="T305" s="38"/>
      <c r="U305" s="38"/>
      <c r="V305" s="38"/>
      <c r="W305" s="38"/>
      <c r="X305" s="38"/>
      <c r="Y305" s="38"/>
      <c r="Z305" s="38"/>
      <c r="AA305" s="38"/>
      <c r="AB305" s="38"/>
      <c r="AC305" s="38"/>
      <c r="AD305" s="38"/>
      <c r="AE305" s="38"/>
      <c r="AF305" s="38"/>
      <c r="AG305" s="38"/>
      <c r="AH305" s="38"/>
      <c r="AI305" s="38"/>
      <c r="AJ305" s="38"/>
      <c r="AK305" s="38"/>
      <c r="AL305" s="38"/>
      <c r="AM305" s="38"/>
      <c r="AN305" s="38"/>
      <c r="AO305" s="38"/>
      <c r="AP305" s="38"/>
      <c r="AQ305" s="38"/>
      <c r="AR305" s="38"/>
      <c r="AS305" s="38"/>
    </row>
    <row r="306" spans="1:45" x14ac:dyDescent="0.3">
      <c r="A306" s="38"/>
      <c r="B306" s="38"/>
      <c r="C306" s="38"/>
      <c r="D306" s="38"/>
      <c r="E306" s="38"/>
      <c r="F306" s="38"/>
      <c r="G306" s="38"/>
      <c r="H306" s="38"/>
      <c r="I306" s="38"/>
      <c r="J306" s="38"/>
      <c r="K306" s="38"/>
      <c r="L306" s="38"/>
      <c r="M306" s="38"/>
      <c r="N306" s="38"/>
      <c r="O306" s="38"/>
      <c r="P306" s="38"/>
      <c r="Q306" s="38"/>
      <c r="R306" s="38"/>
      <c r="S306" s="38"/>
      <c r="T306" s="38"/>
      <c r="U306" s="38"/>
      <c r="V306" s="38"/>
      <c r="W306" s="38"/>
      <c r="X306" s="38"/>
      <c r="Y306" s="38"/>
      <c r="Z306" s="38"/>
      <c r="AA306" s="38"/>
      <c r="AB306" s="38"/>
      <c r="AC306" s="38"/>
      <c r="AD306" s="38"/>
      <c r="AE306" s="38"/>
      <c r="AF306" s="38"/>
      <c r="AG306" s="38"/>
      <c r="AH306" s="38"/>
      <c r="AI306" s="38"/>
      <c r="AJ306" s="38"/>
      <c r="AK306" s="38"/>
      <c r="AL306" s="38"/>
      <c r="AM306" s="38"/>
      <c r="AN306" s="38"/>
      <c r="AO306" s="38"/>
      <c r="AP306" s="38"/>
      <c r="AQ306" s="38"/>
      <c r="AR306" s="38"/>
      <c r="AS306" s="38"/>
    </row>
    <row r="307" spans="1:45" x14ac:dyDescent="0.3">
      <c r="A307" s="38"/>
      <c r="B307" s="38"/>
      <c r="C307" s="38"/>
      <c r="D307" s="38"/>
      <c r="E307" s="38"/>
      <c r="F307" s="38"/>
      <c r="G307" s="38"/>
      <c r="H307" s="38"/>
      <c r="I307" s="38"/>
      <c r="J307" s="38"/>
      <c r="K307" s="38"/>
      <c r="L307" s="38"/>
      <c r="M307" s="38"/>
      <c r="N307" s="38"/>
      <c r="O307" s="38"/>
      <c r="P307" s="38"/>
      <c r="Q307" s="38"/>
      <c r="R307" s="38"/>
      <c r="S307" s="38"/>
      <c r="T307" s="38"/>
      <c r="U307" s="38"/>
      <c r="V307" s="38"/>
      <c r="W307" s="38"/>
      <c r="X307" s="38"/>
      <c r="Y307" s="38"/>
      <c r="Z307" s="38"/>
      <c r="AA307" s="38"/>
      <c r="AB307" s="38"/>
      <c r="AC307" s="38"/>
      <c r="AD307" s="38"/>
      <c r="AE307" s="38"/>
      <c r="AF307" s="38"/>
      <c r="AG307" s="38"/>
      <c r="AH307" s="38"/>
      <c r="AI307" s="38"/>
      <c r="AJ307" s="38"/>
      <c r="AK307" s="38"/>
      <c r="AL307" s="38"/>
      <c r="AM307" s="38"/>
      <c r="AN307" s="38"/>
      <c r="AO307" s="38"/>
      <c r="AP307" s="38"/>
      <c r="AQ307" s="38"/>
      <c r="AR307" s="38"/>
      <c r="AS307" s="38"/>
    </row>
    <row r="308" spans="1:45" x14ac:dyDescent="0.3">
      <c r="A308" s="38"/>
      <c r="B308" s="38"/>
      <c r="C308" s="38"/>
      <c r="D308" s="38"/>
      <c r="E308" s="38"/>
      <c r="F308" s="38"/>
      <c r="G308" s="38"/>
      <c r="H308" s="38"/>
      <c r="I308" s="38"/>
      <c r="J308" s="38"/>
      <c r="K308" s="38"/>
      <c r="L308" s="38"/>
      <c r="M308" s="38"/>
      <c r="N308" s="38"/>
      <c r="O308" s="38"/>
      <c r="P308" s="38"/>
      <c r="Q308" s="38"/>
      <c r="R308" s="38"/>
      <c r="S308" s="38"/>
      <c r="T308" s="38"/>
      <c r="U308" s="38"/>
      <c r="V308" s="38"/>
      <c r="W308" s="38"/>
      <c r="X308" s="38"/>
      <c r="Y308" s="38"/>
      <c r="Z308" s="38"/>
      <c r="AA308" s="38"/>
      <c r="AB308" s="38"/>
      <c r="AC308" s="38"/>
      <c r="AD308" s="38"/>
      <c r="AE308" s="38"/>
      <c r="AF308" s="38"/>
      <c r="AG308" s="38"/>
      <c r="AH308" s="38"/>
      <c r="AI308" s="38"/>
      <c r="AJ308" s="38"/>
      <c r="AK308" s="38"/>
      <c r="AL308" s="38"/>
      <c r="AM308" s="38"/>
      <c r="AN308" s="38"/>
      <c r="AO308" s="38"/>
      <c r="AP308" s="38"/>
      <c r="AQ308" s="38"/>
      <c r="AR308" s="38"/>
      <c r="AS308" s="38"/>
    </row>
    <row r="309" spans="1:45" x14ac:dyDescent="0.3">
      <c r="A309" s="38"/>
      <c r="B309" s="38"/>
      <c r="C309" s="38"/>
      <c r="D309" s="38"/>
      <c r="E309" s="38"/>
      <c r="F309" s="38"/>
      <c r="G309" s="38"/>
      <c r="H309" s="38"/>
      <c r="I309" s="38"/>
      <c r="J309" s="38"/>
      <c r="K309" s="38"/>
      <c r="L309" s="38"/>
      <c r="M309" s="38"/>
      <c r="N309" s="38"/>
      <c r="O309" s="38"/>
      <c r="P309" s="38"/>
      <c r="Q309" s="38"/>
      <c r="R309" s="38"/>
      <c r="S309" s="38"/>
      <c r="T309" s="38"/>
      <c r="U309" s="38"/>
      <c r="V309" s="38"/>
      <c r="W309" s="38"/>
      <c r="X309" s="38"/>
      <c r="Y309" s="38"/>
      <c r="Z309" s="38"/>
      <c r="AA309" s="38"/>
      <c r="AB309" s="38"/>
      <c r="AC309" s="38"/>
      <c r="AD309" s="38"/>
      <c r="AE309" s="38"/>
      <c r="AF309" s="38"/>
      <c r="AG309" s="38"/>
      <c r="AH309" s="38"/>
      <c r="AI309" s="38"/>
      <c r="AJ309" s="38"/>
      <c r="AK309" s="38"/>
      <c r="AL309" s="38"/>
      <c r="AM309" s="38"/>
      <c r="AN309" s="38"/>
      <c r="AO309" s="38"/>
      <c r="AP309" s="38"/>
      <c r="AQ309" s="38"/>
      <c r="AR309" s="38"/>
      <c r="AS309" s="38"/>
    </row>
    <row r="310" spans="1:45" x14ac:dyDescent="0.3">
      <c r="A310" s="38"/>
      <c r="B310" s="38"/>
      <c r="C310" s="38"/>
      <c r="D310" s="38"/>
      <c r="E310" s="38"/>
      <c r="F310" s="38"/>
      <c r="G310" s="38"/>
      <c r="H310" s="38"/>
      <c r="I310" s="38"/>
      <c r="J310" s="38"/>
      <c r="K310" s="38"/>
      <c r="L310" s="38"/>
      <c r="M310" s="38"/>
      <c r="N310" s="38"/>
      <c r="O310" s="38"/>
      <c r="P310" s="38"/>
      <c r="Q310" s="38"/>
      <c r="R310" s="38"/>
      <c r="S310" s="38"/>
      <c r="T310" s="38"/>
      <c r="U310" s="38"/>
      <c r="V310" s="38"/>
      <c r="W310" s="38"/>
      <c r="X310" s="38"/>
      <c r="Y310" s="38"/>
      <c r="Z310" s="38"/>
      <c r="AA310" s="38"/>
      <c r="AB310" s="38"/>
      <c r="AC310" s="38"/>
      <c r="AD310" s="38"/>
      <c r="AE310" s="38"/>
      <c r="AF310" s="38"/>
      <c r="AG310" s="38"/>
      <c r="AH310" s="38"/>
      <c r="AI310" s="38"/>
      <c r="AJ310" s="38"/>
      <c r="AK310" s="38"/>
      <c r="AL310" s="38"/>
      <c r="AM310" s="38"/>
      <c r="AN310" s="38"/>
      <c r="AO310" s="38"/>
      <c r="AP310" s="38"/>
      <c r="AQ310" s="38"/>
      <c r="AR310" s="38"/>
      <c r="AS310" s="38"/>
    </row>
    <row r="311" spans="1:45" x14ac:dyDescent="0.3">
      <c r="A311" s="38"/>
      <c r="B311" s="38"/>
      <c r="C311" s="38"/>
      <c r="D311" s="38"/>
      <c r="E311" s="38"/>
      <c r="F311" s="38"/>
      <c r="G311" s="38"/>
      <c r="H311" s="38"/>
      <c r="I311" s="38"/>
      <c r="J311" s="38"/>
      <c r="K311" s="38"/>
      <c r="L311" s="38"/>
      <c r="M311" s="38"/>
      <c r="N311" s="38"/>
      <c r="O311" s="38"/>
      <c r="P311" s="38"/>
      <c r="Q311" s="38"/>
      <c r="R311" s="38"/>
      <c r="S311" s="38"/>
      <c r="T311" s="38"/>
      <c r="U311" s="38"/>
      <c r="V311" s="38"/>
      <c r="W311" s="38"/>
      <c r="X311" s="38"/>
      <c r="Y311" s="38"/>
      <c r="Z311" s="38"/>
      <c r="AA311" s="38"/>
      <c r="AB311" s="38"/>
      <c r="AC311" s="38"/>
      <c r="AD311" s="38"/>
      <c r="AE311" s="38"/>
      <c r="AF311" s="38"/>
      <c r="AG311" s="38"/>
      <c r="AH311" s="38"/>
      <c r="AI311" s="38"/>
      <c r="AJ311" s="38"/>
      <c r="AK311" s="38"/>
      <c r="AL311" s="38"/>
      <c r="AM311" s="38"/>
      <c r="AN311" s="38"/>
      <c r="AO311" s="38"/>
      <c r="AP311" s="38"/>
      <c r="AQ311" s="38"/>
      <c r="AR311" s="38"/>
      <c r="AS311" s="38"/>
    </row>
    <row r="312" spans="1:45" x14ac:dyDescent="0.3">
      <c r="A312" s="38"/>
      <c r="B312" s="38"/>
      <c r="C312" s="38"/>
      <c r="D312" s="38"/>
      <c r="E312" s="38"/>
      <c r="F312" s="38"/>
      <c r="G312" s="38"/>
      <c r="H312" s="38"/>
      <c r="I312" s="38"/>
      <c r="J312" s="38"/>
      <c r="K312" s="38"/>
      <c r="L312" s="38"/>
      <c r="M312" s="38"/>
      <c r="N312" s="38"/>
      <c r="O312" s="38"/>
      <c r="P312" s="38"/>
      <c r="Q312" s="38"/>
      <c r="R312" s="38"/>
      <c r="S312" s="38"/>
      <c r="T312" s="38"/>
      <c r="U312" s="38"/>
      <c r="V312" s="38"/>
      <c r="W312" s="38"/>
      <c r="X312" s="38"/>
      <c r="Y312" s="38"/>
      <c r="Z312" s="38"/>
      <c r="AA312" s="38"/>
      <c r="AB312" s="38"/>
      <c r="AC312" s="38"/>
      <c r="AD312" s="38"/>
      <c r="AE312" s="38"/>
      <c r="AF312" s="38"/>
      <c r="AG312" s="38"/>
      <c r="AH312" s="38"/>
      <c r="AI312" s="38"/>
      <c r="AJ312" s="38"/>
      <c r="AK312" s="38"/>
      <c r="AL312" s="38"/>
      <c r="AM312" s="38"/>
      <c r="AN312" s="38"/>
      <c r="AO312" s="38"/>
      <c r="AP312" s="38"/>
      <c r="AQ312" s="38"/>
      <c r="AR312" s="38"/>
      <c r="AS312" s="38"/>
    </row>
    <row r="313" spans="1:45" x14ac:dyDescent="0.3">
      <c r="A313" s="38"/>
      <c r="B313" s="38"/>
      <c r="C313" s="38"/>
      <c r="D313" s="38"/>
      <c r="E313" s="38"/>
      <c r="F313" s="38"/>
      <c r="G313" s="38"/>
      <c r="H313" s="38"/>
      <c r="I313" s="38"/>
      <c r="J313" s="38"/>
      <c r="K313" s="38"/>
      <c r="L313" s="38"/>
      <c r="M313" s="38"/>
      <c r="N313" s="38"/>
      <c r="O313" s="38"/>
      <c r="P313" s="38"/>
      <c r="Q313" s="38"/>
      <c r="R313" s="38"/>
      <c r="S313" s="38"/>
      <c r="T313" s="38"/>
      <c r="U313" s="38"/>
      <c r="V313" s="38"/>
      <c r="W313" s="38"/>
      <c r="X313" s="38"/>
      <c r="Y313" s="38"/>
      <c r="Z313" s="38"/>
      <c r="AA313" s="38"/>
      <c r="AB313" s="38"/>
      <c r="AC313" s="38"/>
      <c r="AD313" s="38"/>
      <c r="AE313" s="38"/>
      <c r="AF313" s="38"/>
      <c r="AG313" s="38"/>
      <c r="AH313" s="38"/>
      <c r="AI313" s="38"/>
      <c r="AJ313" s="38"/>
      <c r="AK313" s="38"/>
      <c r="AL313" s="38"/>
      <c r="AM313" s="38"/>
      <c r="AN313" s="38"/>
      <c r="AO313" s="38"/>
      <c r="AP313" s="38"/>
      <c r="AQ313" s="38"/>
      <c r="AR313" s="38"/>
      <c r="AS313" s="38"/>
    </row>
    <row r="314" spans="1:45" x14ac:dyDescent="0.3">
      <c r="A314" s="38"/>
      <c r="B314" s="38"/>
      <c r="C314" s="38"/>
      <c r="D314" s="38"/>
      <c r="E314" s="38"/>
      <c r="F314" s="38"/>
      <c r="G314" s="38"/>
      <c r="H314" s="38"/>
      <c r="I314" s="38"/>
      <c r="J314" s="38"/>
      <c r="K314" s="38"/>
      <c r="L314" s="38"/>
      <c r="M314" s="38"/>
      <c r="N314" s="38"/>
      <c r="O314" s="38"/>
      <c r="P314" s="38"/>
      <c r="Q314" s="38"/>
      <c r="R314" s="38"/>
      <c r="S314" s="38"/>
      <c r="T314" s="38"/>
      <c r="U314" s="38"/>
      <c r="V314" s="38"/>
      <c r="W314" s="38"/>
      <c r="X314" s="38"/>
      <c r="Y314" s="38"/>
      <c r="Z314" s="38"/>
      <c r="AA314" s="38"/>
      <c r="AB314" s="38"/>
      <c r="AC314" s="38"/>
      <c r="AD314" s="38"/>
      <c r="AE314" s="38"/>
      <c r="AF314" s="38"/>
      <c r="AG314" s="38"/>
      <c r="AH314" s="38"/>
      <c r="AI314" s="38"/>
      <c r="AJ314" s="38"/>
      <c r="AK314" s="38"/>
      <c r="AL314" s="38"/>
      <c r="AM314" s="38"/>
      <c r="AN314" s="38"/>
      <c r="AO314" s="38"/>
      <c r="AP314" s="38"/>
      <c r="AQ314" s="38"/>
      <c r="AR314" s="38"/>
      <c r="AS314" s="38"/>
    </row>
    <row r="315" spans="1:45" x14ac:dyDescent="0.3">
      <c r="A315" s="38"/>
      <c r="B315" s="38"/>
      <c r="C315" s="38"/>
      <c r="D315" s="38"/>
      <c r="E315" s="38"/>
      <c r="F315" s="38"/>
      <c r="G315" s="38"/>
      <c r="H315" s="38"/>
      <c r="I315" s="38"/>
      <c r="J315" s="38"/>
      <c r="K315" s="38"/>
      <c r="L315" s="38"/>
      <c r="M315" s="38"/>
      <c r="N315" s="38"/>
      <c r="O315" s="38"/>
      <c r="P315" s="38"/>
      <c r="Q315" s="38"/>
      <c r="R315" s="38"/>
      <c r="S315" s="38"/>
      <c r="T315" s="38"/>
      <c r="U315" s="38"/>
      <c r="V315" s="38"/>
      <c r="W315" s="38"/>
      <c r="X315" s="38"/>
      <c r="Y315" s="38"/>
      <c r="Z315" s="38"/>
      <c r="AA315" s="38"/>
      <c r="AB315" s="38"/>
      <c r="AC315" s="38"/>
      <c r="AD315" s="38"/>
      <c r="AE315" s="38"/>
      <c r="AF315" s="38"/>
      <c r="AG315" s="38"/>
      <c r="AH315" s="38"/>
      <c r="AI315" s="38"/>
      <c r="AJ315" s="38"/>
      <c r="AK315" s="38"/>
      <c r="AL315" s="38"/>
      <c r="AM315" s="38"/>
      <c r="AN315" s="38"/>
      <c r="AO315" s="38"/>
      <c r="AP315" s="38"/>
      <c r="AQ315" s="38"/>
      <c r="AR315" s="38"/>
      <c r="AS315" s="38"/>
    </row>
    <row r="316" spans="1:45" x14ac:dyDescent="0.3">
      <c r="A316" s="38"/>
      <c r="B316" s="38"/>
      <c r="C316" s="38"/>
      <c r="D316" s="38"/>
      <c r="E316" s="38"/>
      <c r="F316" s="38"/>
      <c r="G316" s="38"/>
      <c r="H316" s="38"/>
      <c r="I316" s="38"/>
      <c r="J316" s="38"/>
      <c r="K316" s="38"/>
      <c r="L316" s="38"/>
      <c r="M316" s="38"/>
      <c r="N316" s="38"/>
      <c r="O316" s="38"/>
      <c r="P316" s="38"/>
      <c r="Q316" s="38"/>
      <c r="R316" s="38"/>
      <c r="S316" s="38"/>
      <c r="T316" s="38"/>
      <c r="U316" s="38"/>
      <c r="V316" s="38"/>
      <c r="W316" s="38"/>
      <c r="X316" s="38"/>
      <c r="Y316" s="38"/>
      <c r="Z316" s="38"/>
      <c r="AA316" s="38"/>
      <c r="AB316" s="38"/>
      <c r="AC316" s="38"/>
      <c r="AD316" s="38"/>
      <c r="AE316" s="38"/>
      <c r="AF316" s="38"/>
      <c r="AG316" s="38"/>
      <c r="AH316" s="38"/>
      <c r="AI316" s="38"/>
      <c r="AJ316" s="38"/>
      <c r="AK316" s="38"/>
      <c r="AL316" s="38"/>
      <c r="AM316" s="38"/>
      <c r="AN316" s="38"/>
      <c r="AO316" s="38"/>
      <c r="AP316" s="38"/>
      <c r="AQ316" s="38"/>
      <c r="AR316" s="38"/>
      <c r="AS316" s="38"/>
    </row>
    <row r="317" spans="1:45" x14ac:dyDescent="0.3">
      <c r="A317" s="38"/>
      <c r="B317" s="38"/>
      <c r="C317" s="38"/>
      <c r="D317" s="38"/>
      <c r="E317" s="38"/>
      <c r="F317" s="38"/>
      <c r="G317" s="38"/>
      <c r="H317" s="38"/>
      <c r="I317" s="38"/>
      <c r="J317" s="38"/>
      <c r="K317" s="38"/>
      <c r="L317" s="38"/>
      <c r="M317" s="38"/>
      <c r="N317" s="38"/>
      <c r="O317" s="38"/>
      <c r="P317" s="38"/>
      <c r="Q317" s="38"/>
      <c r="R317" s="38"/>
      <c r="S317" s="38"/>
      <c r="T317" s="38"/>
      <c r="U317" s="38"/>
      <c r="V317" s="38"/>
      <c r="W317" s="38"/>
      <c r="X317" s="38"/>
      <c r="Y317" s="38"/>
      <c r="Z317" s="38"/>
      <c r="AA317" s="38"/>
      <c r="AB317" s="38"/>
      <c r="AC317" s="38"/>
      <c r="AD317" s="38"/>
      <c r="AE317" s="38"/>
      <c r="AF317" s="38"/>
      <c r="AG317" s="38"/>
      <c r="AH317" s="38"/>
      <c r="AI317" s="38"/>
      <c r="AJ317" s="38"/>
      <c r="AK317" s="38"/>
      <c r="AL317" s="38"/>
      <c r="AM317" s="38"/>
      <c r="AN317" s="38"/>
      <c r="AO317" s="38"/>
      <c r="AP317" s="38"/>
      <c r="AQ317" s="38"/>
      <c r="AR317" s="38"/>
      <c r="AS317" s="38"/>
    </row>
    <row r="318" spans="1:45" x14ac:dyDescent="0.3">
      <c r="A318" s="38"/>
      <c r="B318" s="38"/>
      <c r="C318" s="38"/>
      <c r="D318" s="38"/>
      <c r="E318" s="38"/>
      <c r="F318" s="38"/>
      <c r="G318" s="38"/>
      <c r="H318" s="38"/>
      <c r="I318" s="38"/>
      <c r="J318" s="38"/>
      <c r="K318" s="38"/>
      <c r="L318" s="38"/>
      <c r="M318" s="38"/>
      <c r="N318" s="38"/>
      <c r="O318" s="38"/>
      <c r="P318" s="38"/>
      <c r="Q318" s="38"/>
      <c r="R318" s="38"/>
      <c r="S318" s="38"/>
      <c r="T318" s="38"/>
      <c r="U318" s="38"/>
      <c r="V318" s="38"/>
      <c r="W318" s="38"/>
      <c r="X318" s="38"/>
      <c r="Y318" s="38"/>
      <c r="Z318" s="38"/>
      <c r="AA318" s="38"/>
      <c r="AB318" s="38"/>
      <c r="AC318" s="38"/>
      <c r="AD318" s="38"/>
      <c r="AE318" s="38"/>
      <c r="AF318" s="38"/>
      <c r="AG318" s="38"/>
      <c r="AH318" s="38"/>
      <c r="AI318" s="38"/>
      <c r="AJ318" s="38"/>
      <c r="AK318" s="38"/>
      <c r="AL318" s="38"/>
      <c r="AM318" s="38"/>
      <c r="AN318" s="38"/>
      <c r="AO318" s="38"/>
      <c r="AP318" s="38"/>
      <c r="AQ318" s="38"/>
      <c r="AR318" s="38"/>
      <c r="AS318" s="38"/>
    </row>
    <row r="319" spans="1:45" x14ac:dyDescent="0.3">
      <c r="A319" s="38"/>
      <c r="B319" s="38"/>
      <c r="C319" s="38"/>
      <c r="D319" s="38"/>
      <c r="E319" s="38"/>
      <c r="F319" s="38"/>
      <c r="G319" s="38"/>
      <c r="H319" s="38"/>
      <c r="I319" s="38"/>
      <c r="J319" s="38"/>
      <c r="K319" s="38"/>
      <c r="L319" s="38"/>
      <c r="M319" s="38"/>
      <c r="N319" s="38"/>
      <c r="O319" s="38"/>
      <c r="P319" s="38"/>
      <c r="Q319" s="38"/>
      <c r="R319" s="38"/>
      <c r="S319" s="38"/>
      <c r="T319" s="38"/>
      <c r="U319" s="38"/>
      <c r="V319" s="38"/>
      <c r="W319" s="38"/>
      <c r="X319" s="38"/>
      <c r="Y319" s="38"/>
      <c r="Z319" s="38"/>
      <c r="AA319" s="38"/>
      <c r="AB319" s="38"/>
      <c r="AC319" s="38"/>
      <c r="AD319" s="38"/>
      <c r="AE319" s="38"/>
      <c r="AF319" s="38"/>
      <c r="AG319" s="38"/>
      <c r="AH319" s="38"/>
      <c r="AI319" s="38"/>
      <c r="AJ319" s="38"/>
      <c r="AK319" s="38"/>
      <c r="AL319" s="38"/>
      <c r="AM319" s="38"/>
      <c r="AN319" s="38"/>
      <c r="AO319" s="38"/>
      <c r="AP319" s="38"/>
      <c r="AQ319" s="38"/>
      <c r="AR319" s="38"/>
      <c r="AS319" s="38"/>
    </row>
    <row r="320" spans="1:45" x14ac:dyDescent="0.3">
      <c r="A320" s="38"/>
      <c r="B320" s="38"/>
      <c r="C320" s="38"/>
      <c r="D320" s="38"/>
      <c r="E320" s="38"/>
      <c r="F320" s="38"/>
      <c r="G320" s="38"/>
      <c r="H320" s="38"/>
      <c r="I320" s="38"/>
      <c r="J320" s="38"/>
      <c r="K320" s="38"/>
      <c r="L320" s="38"/>
      <c r="M320" s="38"/>
      <c r="N320" s="38"/>
      <c r="O320" s="38"/>
      <c r="P320" s="38"/>
      <c r="Q320" s="38"/>
      <c r="R320" s="38"/>
      <c r="S320" s="38"/>
      <c r="T320" s="38"/>
      <c r="U320" s="38"/>
      <c r="V320" s="38"/>
      <c r="W320" s="38"/>
      <c r="X320" s="38"/>
      <c r="Y320" s="38"/>
      <c r="Z320" s="38"/>
      <c r="AA320" s="38"/>
      <c r="AB320" s="38"/>
      <c r="AC320" s="38"/>
      <c r="AD320" s="38"/>
      <c r="AE320" s="38"/>
      <c r="AF320" s="38"/>
      <c r="AG320" s="38"/>
      <c r="AH320" s="38"/>
      <c r="AI320" s="38"/>
      <c r="AJ320" s="38"/>
      <c r="AK320" s="38"/>
      <c r="AL320" s="38"/>
      <c r="AM320" s="38"/>
      <c r="AN320" s="38"/>
      <c r="AO320" s="38"/>
      <c r="AP320" s="38"/>
      <c r="AQ320" s="38"/>
      <c r="AR320" s="38"/>
      <c r="AS320" s="38"/>
    </row>
    <row r="321" spans="1:45" x14ac:dyDescent="0.3">
      <c r="A321" s="38"/>
      <c r="B321" s="38"/>
      <c r="C321" s="38"/>
      <c r="D321" s="38"/>
      <c r="E321" s="38"/>
      <c r="F321" s="38"/>
      <c r="G321" s="38"/>
      <c r="H321" s="38"/>
      <c r="I321" s="38"/>
      <c r="J321" s="38"/>
      <c r="K321" s="38"/>
      <c r="L321" s="38"/>
      <c r="M321" s="38"/>
      <c r="N321" s="38"/>
      <c r="O321" s="38"/>
      <c r="P321" s="38"/>
      <c r="Q321" s="38"/>
      <c r="R321" s="38"/>
      <c r="S321" s="38"/>
      <c r="T321" s="38"/>
      <c r="U321" s="38"/>
      <c r="V321" s="38"/>
      <c r="W321" s="38"/>
      <c r="X321" s="38"/>
      <c r="Y321" s="38"/>
      <c r="Z321" s="38"/>
      <c r="AA321" s="38"/>
      <c r="AB321" s="38"/>
      <c r="AC321" s="38"/>
      <c r="AD321" s="38"/>
      <c r="AE321" s="38"/>
      <c r="AF321" s="38"/>
      <c r="AG321" s="38"/>
      <c r="AH321" s="38"/>
      <c r="AI321" s="38"/>
      <c r="AJ321" s="38"/>
      <c r="AK321" s="38"/>
      <c r="AL321" s="38"/>
      <c r="AM321" s="38"/>
      <c r="AN321" s="38"/>
      <c r="AO321" s="38"/>
      <c r="AP321" s="38"/>
      <c r="AQ321" s="38"/>
      <c r="AR321" s="38"/>
      <c r="AS321" s="38"/>
    </row>
    <row r="322" spans="1:45" x14ac:dyDescent="0.3">
      <c r="A322" s="38"/>
      <c r="B322" s="38"/>
      <c r="C322" s="38"/>
      <c r="D322" s="38"/>
      <c r="E322" s="38"/>
      <c r="F322" s="38"/>
      <c r="G322" s="38"/>
      <c r="H322" s="38"/>
      <c r="I322" s="38"/>
      <c r="J322" s="38"/>
      <c r="K322" s="38"/>
      <c r="L322" s="38"/>
      <c r="M322" s="38"/>
      <c r="N322" s="38"/>
      <c r="O322" s="38"/>
      <c r="P322" s="38"/>
      <c r="Q322" s="38"/>
      <c r="R322" s="38"/>
      <c r="S322" s="38"/>
      <c r="T322" s="38"/>
      <c r="U322" s="38"/>
      <c r="V322" s="38"/>
      <c r="W322" s="38"/>
      <c r="X322" s="38"/>
      <c r="Y322" s="38"/>
      <c r="Z322" s="38"/>
      <c r="AA322" s="38"/>
      <c r="AB322" s="38"/>
      <c r="AC322" s="38"/>
      <c r="AD322" s="38"/>
      <c r="AE322" s="38"/>
      <c r="AF322" s="38"/>
      <c r="AG322" s="38"/>
      <c r="AH322" s="38"/>
      <c r="AI322" s="38"/>
      <c r="AJ322" s="38"/>
      <c r="AK322" s="38"/>
      <c r="AL322" s="38"/>
      <c r="AM322" s="38"/>
      <c r="AN322" s="38"/>
      <c r="AO322" s="38"/>
      <c r="AP322" s="38"/>
      <c r="AQ322" s="38"/>
      <c r="AR322" s="38"/>
      <c r="AS322" s="38"/>
    </row>
    <row r="323" spans="1:45" x14ac:dyDescent="0.3">
      <c r="A323" s="38"/>
      <c r="B323" s="38"/>
      <c r="C323" s="38"/>
      <c r="D323" s="38"/>
      <c r="E323" s="38"/>
      <c r="F323" s="38"/>
      <c r="G323" s="38"/>
      <c r="H323" s="38"/>
      <c r="I323" s="38"/>
      <c r="J323" s="38"/>
      <c r="K323" s="38"/>
      <c r="L323" s="38"/>
      <c r="M323" s="38"/>
      <c r="N323" s="38"/>
      <c r="O323" s="38"/>
      <c r="P323" s="38"/>
      <c r="Q323" s="38"/>
      <c r="R323" s="38"/>
      <c r="S323" s="38"/>
      <c r="T323" s="38"/>
      <c r="U323" s="38"/>
      <c r="V323" s="38"/>
      <c r="W323" s="38"/>
      <c r="X323" s="38"/>
      <c r="Y323" s="38"/>
      <c r="Z323" s="38"/>
      <c r="AA323" s="38"/>
      <c r="AB323" s="38"/>
      <c r="AC323" s="38"/>
      <c r="AD323" s="38"/>
      <c r="AE323" s="38"/>
      <c r="AF323" s="38"/>
      <c r="AG323" s="38"/>
      <c r="AH323" s="38"/>
      <c r="AI323" s="38"/>
      <c r="AJ323" s="38"/>
      <c r="AK323" s="38"/>
      <c r="AL323" s="38"/>
      <c r="AM323" s="38"/>
      <c r="AN323" s="38"/>
      <c r="AO323" s="38"/>
      <c r="AP323" s="38"/>
      <c r="AQ323" s="38"/>
      <c r="AR323" s="38"/>
      <c r="AS323" s="38"/>
    </row>
    <row r="324" spans="1:45" x14ac:dyDescent="0.3">
      <c r="A324" s="38"/>
      <c r="B324" s="38"/>
      <c r="C324" s="38"/>
      <c r="D324" s="38"/>
      <c r="E324" s="38"/>
      <c r="F324" s="38"/>
      <c r="G324" s="38"/>
      <c r="H324" s="38"/>
      <c r="I324" s="38"/>
      <c r="J324" s="38"/>
      <c r="K324" s="38"/>
      <c r="L324" s="38"/>
      <c r="M324" s="38"/>
      <c r="N324" s="38"/>
      <c r="O324" s="38"/>
      <c r="P324" s="38"/>
      <c r="Q324" s="38"/>
      <c r="R324" s="38"/>
      <c r="S324" s="38"/>
      <c r="T324" s="38"/>
      <c r="U324" s="38"/>
      <c r="V324" s="38"/>
      <c r="W324" s="38"/>
      <c r="X324" s="38"/>
      <c r="Y324" s="38"/>
      <c r="Z324" s="38"/>
      <c r="AA324" s="38"/>
      <c r="AB324" s="38"/>
      <c r="AC324" s="38"/>
      <c r="AD324" s="38"/>
      <c r="AE324" s="38"/>
      <c r="AF324" s="38"/>
      <c r="AG324" s="38"/>
      <c r="AH324" s="38"/>
      <c r="AI324" s="38"/>
      <c r="AJ324" s="38"/>
      <c r="AK324" s="38"/>
      <c r="AL324" s="38"/>
      <c r="AM324" s="38"/>
      <c r="AN324" s="38"/>
      <c r="AO324" s="38"/>
      <c r="AP324" s="38"/>
      <c r="AQ324" s="38"/>
      <c r="AR324" s="38"/>
      <c r="AS324" s="38"/>
    </row>
    <row r="325" spans="1:45" x14ac:dyDescent="0.3">
      <c r="A325" s="38"/>
      <c r="B325" s="38"/>
      <c r="C325" s="38"/>
      <c r="D325" s="38"/>
      <c r="E325" s="38"/>
      <c r="F325" s="38"/>
      <c r="G325" s="38"/>
      <c r="H325" s="38"/>
      <c r="I325" s="38"/>
      <c r="J325" s="38"/>
      <c r="K325" s="38"/>
      <c r="L325" s="38"/>
      <c r="M325" s="38"/>
      <c r="N325" s="38"/>
      <c r="O325" s="38"/>
      <c r="P325" s="38"/>
      <c r="Q325" s="38"/>
      <c r="R325" s="38"/>
      <c r="S325" s="38"/>
      <c r="T325" s="38"/>
      <c r="U325" s="38"/>
      <c r="V325" s="38"/>
      <c r="W325" s="38"/>
      <c r="X325" s="38"/>
      <c r="Y325" s="38"/>
      <c r="Z325" s="38"/>
      <c r="AA325" s="38"/>
      <c r="AB325" s="38"/>
      <c r="AC325" s="38"/>
      <c r="AD325" s="38"/>
      <c r="AE325" s="38"/>
      <c r="AF325" s="38"/>
      <c r="AG325" s="38"/>
      <c r="AH325" s="38"/>
      <c r="AI325" s="38"/>
      <c r="AJ325" s="38"/>
      <c r="AK325" s="38"/>
      <c r="AL325" s="38"/>
      <c r="AM325" s="38"/>
      <c r="AN325" s="38"/>
      <c r="AO325" s="38"/>
      <c r="AP325" s="38"/>
      <c r="AQ325" s="38"/>
      <c r="AR325" s="38"/>
      <c r="AS325" s="38"/>
    </row>
    <row r="326" spans="1:45" x14ac:dyDescent="0.3">
      <c r="A326" s="38"/>
      <c r="B326" s="38"/>
      <c r="C326" s="38"/>
      <c r="D326" s="38"/>
      <c r="E326" s="38"/>
      <c r="F326" s="38"/>
      <c r="G326" s="38"/>
      <c r="H326" s="38"/>
      <c r="I326" s="38"/>
      <c r="J326" s="38"/>
      <c r="K326" s="38"/>
      <c r="L326" s="38"/>
      <c r="M326" s="38"/>
      <c r="N326" s="38"/>
      <c r="O326" s="38"/>
      <c r="P326" s="38"/>
      <c r="Q326" s="38"/>
      <c r="R326" s="38"/>
      <c r="S326" s="38"/>
      <c r="T326" s="38"/>
      <c r="U326" s="38"/>
      <c r="V326" s="38"/>
      <c r="W326" s="38"/>
      <c r="X326" s="38"/>
      <c r="Y326" s="38"/>
      <c r="Z326" s="38"/>
      <c r="AA326" s="38"/>
      <c r="AB326" s="38"/>
      <c r="AC326" s="38"/>
      <c r="AD326" s="38"/>
      <c r="AE326" s="38"/>
      <c r="AF326" s="38"/>
      <c r="AG326" s="38"/>
      <c r="AH326" s="38"/>
      <c r="AI326" s="38"/>
      <c r="AJ326" s="38"/>
      <c r="AK326" s="38"/>
      <c r="AL326" s="38"/>
      <c r="AM326" s="38"/>
      <c r="AN326" s="38"/>
      <c r="AO326" s="38"/>
      <c r="AP326" s="38"/>
      <c r="AQ326" s="38"/>
      <c r="AR326" s="38"/>
      <c r="AS326" s="38"/>
    </row>
    <row r="327" spans="1:45" x14ac:dyDescent="0.3">
      <c r="A327" s="38"/>
      <c r="B327" s="38"/>
      <c r="C327" s="38"/>
      <c r="D327" s="38"/>
      <c r="E327" s="38"/>
      <c r="F327" s="38"/>
      <c r="G327" s="38"/>
      <c r="H327" s="38"/>
      <c r="I327" s="38"/>
      <c r="J327" s="38"/>
      <c r="K327" s="38"/>
      <c r="L327" s="38"/>
      <c r="M327" s="38"/>
      <c r="N327" s="38"/>
      <c r="O327" s="38"/>
      <c r="P327" s="38"/>
      <c r="Q327" s="38"/>
      <c r="R327" s="38"/>
      <c r="S327" s="38"/>
      <c r="T327" s="38"/>
      <c r="U327" s="38"/>
      <c r="V327" s="38"/>
      <c r="W327" s="38"/>
      <c r="X327" s="38"/>
      <c r="Y327" s="38"/>
      <c r="Z327" s="38"/>
      <c r="AA327" s="38"/>
      <c r="AB327" s="38"/>
      <c r="AC327" s="38"/>
      <c r="AD327" s="38"/>
      <c r="AE327" s="38"/>
      <c r="AF327" s="38"/>
      <c r="AG327" s="38"/>
      <c r="AH327" s="38"/>
      <c r="AI327" s="38"/>
      <c r="AJ327" s="38"/>
      <c r="AK327" s="38"/>
      <c r="AL327" s="38"/>
      <c r="AM327" s="38"/>
      <c r="AN327" s="38"/>
      <c r="AO327" s="38"/>
      <c r="AP327" s="38"/>
      <c r="AQ327" s="38"/>
      <c r="AR327" s="38"/>
      <c r="AS327" s="38"/>
    </row>
    <row r="328" spans="1:45" x14ac:dyDescent="0.3">
      <c r="A328" s="38"/>
      <c r="B328" s="38"/>
      <c r="C328" s="38"/>
      <c r="D328" s="38"/>
      <c r="E328" s="38"/>
      <c r="F328" s="38"/>
      <c r="G328" s="38"/>
      <c r="H328" s="38"/>
      <c r="I328" s="38"/>
      <c r="J328" s="38"/>
      <c r="K328" s="38"/>
      <c r="L328" s="38"/>
      <c r="M328" s="38"/>
      <c r="N328" s="38"/>
      <c r="O328" s="38"/>
      <c r="P328" s="38"/>
      <c r="Q328" s="38"/>
      <c r="R328" s="38"/>
      <c r="S328" s="38"/>
      <c r="T328" s="38"/>
      <c r="U328" s="38"/>
      <c r="V328" s="38"/>
      <c r="W328" s="38"/>
      <c r="X328" s="38"/>
      <c r="Y328" s="38"/>
      <c r="Z328" s="38"/>
      <c r="AA328" s="38"/>
      <c r="AB328" s="38"/>
      <c r="AC328" s="38"/>
      <c r="AD328" s="38"/>
      <c r="AE328" s="38"/>
      <c r="AF328" s="38"/>
      <c r="AG328" s="38"/>
      <c r="AH328" s="38"/>
      <c r="AI328" s="38"/>
      <c r="AJ328" s="38"/>
      <c r="AK328" s="38"/>
      <c r="AL328" s="38"/>
      <c r="AM328" s="38"/>
      <c r="AN328" s="38"/>
      <c r="AO328" s="38"/>
      <c r="AP328" s="38"/>
      <c r="AQ328" s="38"/>
      <c r="AR328" s="38"/>
      <c r="AS328" s="38"/>
    </row>
    <row r="329" spans="1:45" x14ac:dyDescent="0.3">
      <c r="A329" s="38"/>
      <c r="B329" s="38"/>
      <c r="C329" s="38"/>
      <c r="D329" s="38"/>
      <c r="E329" s="38"/>
      <c r="F329" s="38"/>
      <c r="G329" s="38"/>
      <c r="H329" s="38"/>
      <c r="I329" s="38"/>
      <c r="J329" s="38"/>
      <c r="K329" s="38"/>
      <c r="L329" s="38"/>
      <c r="M329" s="38"/>
      <c r="N329" s="38"/>
      <c r="O329" s="38"/>
      <c r="P329" s="38"/>
      <c r="Q329" s="38"/>
      <c r="R329" s="38"/>
      <c r="S329" s="38"/>
      <c r="T329" s="38"/>
      <c r="U329" s="38"/>
      <c r="V329" s="38"/>
      <c r="W329" s="38"/>
      <c r="X329" s="38"/>
      <c r="Y329" s="38"/>
      <c r="Z329" s="38"/>
      <c r="AA329" s="38"/>
      <c r="AB329" s="38"/>
      <c r="AC329" s="38"/>
      <c r="AD329" s="38"/>
      <c r="AE329" s="38"/>
      <c r="AF329" s="38"/>
      <c r="AG329" s="38"/>
      <c r="AH329" s="38"/>
      <c r="AI329" s="38"/>
      <c r="AJ329" s="38"/>
      <c r="AK329" s="38"/>
      <c r="AL329" s="38"/>
      <c r="AM329" s="38"/>
      <c r="AN329" s="38"/>
      <c r="AO329" s="38"/>
      <c r="AP329" s="38"/>
      <c r="AQ329" s="38"/>
      <c r="AR329" s="38"/>
      <c r="AS329" s="38"/>
    </row>
    <row r="330" spans="1:45" x14ac:dyDescent="0.3">
      <c r="A330" s="38"/>
      <c r="B330" s="38"/>
      <c r="C330" s="38"/>
      <c r="D330" s="38"/>
      <c r="E330" s="38"/>
      <c r="F330" s="38"/>
      <c r="G330" s="38"/>
      <c r="H330" s="38"/>
      <c r="I330" s="38"/>
      <c r="J330" s="38"/>
      <c r="K330" s="38"/>
      <c r="L330" s="38"/>
      <c r="M330" s="38"/>
      <c r="N330" s="38"/>
      <c r="O330" s="38"/>
      <c r="P330" s="38"/>
      <c r="Q330" s="38"/>
      <c r="R330" s="38"/>
      <c r="S330" s="38"/>
      <c r="T330" s="38"/>
      <c r="U330" s="38"/>
      <c r="V330" s="38"/>
      <c r="W330" s="38"/>
      <c r="X330" s="38"/>
      <c r="Y330" s="38"/>
      <c r="Z330" s="38"/>
      <c r="AA330" s="38"/>
      <c r="AB330" s="38"/>
      <c r="AC330" s="38"/>
      <c r="AD330" s="38"/>
      <c r="AE330" s="38"/>
      <c r="AF330" s="38"/>
      <c r="AG330" s="38"/>
      <c r="AH330" s="38"/>
      <c r="AI330" s="38"/>
      <c r="AJ330" s="38"/>
      <c r="AK330" s="38"/>
      <c r="AL330" s="38"/>
      <c r="AM330" s="38"/>
      <c r="AN330" s="38"/>
      <c r="AO330" s="38"/>
      <c r="AP330" s="38"/>
      <c r="AQ330" s="38"/>
      <c r="AR330" s="38"/>
      <c r="AS330" s="38"/>
    </row>
    <row r="331" spans="1:45" x14ac:dyDescent="0.3">
      <c r="A331" s="38"/>
      <c r="B331" s="38"/>
      <c r="C331" s="38"/>
      <c r="D331" s="38"/>
      <c r="E331" s="38"/>
      <c r="F331" s="38"/>
      <c r="G331" s="38"/>
      <c r="H331" s="38"/>
      <c r="I331" s="38"/>
      <c r="J331" s="38"/>
      <c r="K331" s="38"/>
      <c r="L331" s="38"/>
      <c r="M331" s="38"/>
      <c r="N331" s="38"/>
      <c r="O331" s="38"/>
      <c r="P331" s="38"/>
      <c r="Q331" s="38"/>
      <c r="R331" s="38"/>
      <c r="S331" s="38"/>
      <c r="T331" s="38"/>
      <c r="U331" s="38"/>
      <c r="V331" s="38"/>
      <c r="W331" s="38"/>
      <c r="X331" s="38"/>
      <c r="Y331" s="38"/>
      <c r="Z331" s="38"/>
      <c r="AA331" s="38"/>
      <c r="AB331" s="38"/>
      <c r="AC331" s="38"/>
      <c r="AD331" s="38"/>
      <c r="AE331" s="38"/>
      <c r="AF331" s="38"/>
      <c r="AG331" s="38"/>
      <c r="AH331" s="38"/>
      <c r="AI331" s="38"/>
      <c r="AJ331" s="38"/>
      <c r="AK331" s="38"/>
      <c r="AL331" s="38"/>
      <c r="AM331" s="38"/>
      <c r="AN331" s="38"/>
      <c r="AO331" s="38"/>
      <c r="AP331" s="38"/>
      <c r="AQ331" s="38"/>
      <c r="AR331" s="38"/>
      <c r="AS331" s="38"/>
    </row>
    <row r="332" spans="1:45" x14ac:dyDescent="0.3">
      <c r="A332" s="38"/>
      <c r="B332" s="38"/>
      <c r="C332" s="38"/>
      <c r="D332" s="38"/>
      <c r="E332" s="38"/>
      <c r="F332" s="38"/>
      <c r="G332" s="38"/>
      <c r="H332" s="38"/>
      <c r="I332" s="38"/>
      <c r="J332" s="38"/>
      <c r="K332" s="38"/>
      <c r="L332" s="38"/>
      <c r="M332" s="38"/>
      <c r="N332" s="38"/>
      <c r="O332" s="38"/>
      <c r="P332" s="38"/>
      <c r="Q332" s="38"/>
      <c r="R332" s="38"/>
      <c r="S332" s="38"/>
      <c r="T332" s="38"/>
      <c r="U332" s="38"/>
      <c r="V332" s="38"/>
      <c r="W332" s="38"/>
      <c r="X332" s="38"/>
      <c r="Y332" s="38"/>
      <c r="Z332" s="38"/>
      <c r="AA332" s="38"/>
      <c r="AB332" s="38"/>
      <c r="AC332" s="38"/>
      <c r="AD332" s="38"/>
      <c r="AE332" s="38"/>
      <c r="AF332" s="38"/>
      <c r="AG332" s="38"/>
      <c r="AH332" s="38"/>
      <c r="AI332" s="38"/>
      <c r="AJ332" s="38"/>
      <c r="AK332" s="38"/>
      <c r="AL332" s="38"/>
      <c r="AM332" s="38"/>
      <c r="AN332" s="38"/>
      <c r="AO332" s="38"/>
      <c r="AP332" s="38"/>
      <c r="AQ332" s="38"/>
      <c r="AR332" s="38"/>
      <c r="AS332" s="38"/>
    </row>
    <row r="333" spans="1:45" x14ac:dyDescent="0.3">
      <c r="A333" s="38"/>
      <c r="B333" s="38"/>
      <c r="C333" s="38"/>
      <c r="D333" s="38"/>
      <c r="E333" s="38"/>
      <c r="F333" s="38"/>
      <c r="G333" s="38"/>
      <c r="H333" s="38"/>
      <c r="I333" s="38"/>
      <c r="J333" s="38"/>
      <c r="K333" s="38"/>
      <c r="L333" s="38"/>
      <c r="M333" s="38"/>
      <c r="N333" s="38"/>
      <c r="O333" s="38"/>
      <c r="P333" s="38"/>
      <c r="Q333" s="38"/>
      <c r="R333" s="38"/>
      <c r="S333" s="38"/>
      <c r="T333" s="38"/>
      <c r="U333" s="38"/>
      <c r="V333" s="38"/>
      <c r="W333" s="38"/>
      <c r="X333" s="38"/>
      <c r="Y333" s="38"/>
      <c r="Z333" s="38"/>
      <c r="AA333" s="38"/>
      <c r="AB333" s="38"/>
      <c r="AC333" s="38"/>
      <c r="AD333" s="38"/>
      <c r="AE333" s="38"/>
      <c r="AF333" s="38"/>
      <c r="AG333" s="38"/>
      <c r="AH333" s="38"/>
      <c r="AI333" s="38"/>
      <c r="AJ333" s="38"/>
      <c r="AK333" s="38"/>
      <c r="AL333" s="38"/>
      <c r="AM333" s="38"/>
      <c r="AN333" s="38"/>
      <c r="AO333" s="38"/>
      <c r="AP333" s="38"/>
      <c r="AQ333" s="38"/>
      <c r="AR333" s="38"/>
      <c r="AS333" s="38"/>
    </row>
    <row r="334" spans="1:45" x14ac:dyDescent="0.3">
      <c r="A334" s="38"/>
      <c r="B334" s="38"/>
      <c r="C334" s="38"/>
      <c r="D334" s="38"/>
      <c r="E334" s="38"/>
      <c r="F334" s="38"/>
      <c r="G334" s="38"/>
      <c r="H334" s="38"/>
      <c r="I334" s="38"/>
      <c r="J334" s="38"/>
      <c r="K334" s="38"/>
      <c r="L334" s="38"/>
      <c r="M334" s="38"/>
      <c r="N334" s="38"/>
      <c r="O334" s="38"/>
      <c r="P334" s="38"/>
      <c r="Q334" s="38"/>
      <c r="R334" s="38"/>
      <c r="S334" s="38"/>
      <c r="T334" s="38"/>
      <c r="U334" s="38"/>
      <c r="V334" s="38"/>
      <c r="W334" s="38"/>
      <c r="X334" s="38"/>
      <c r="Y334" s="38"/>
      <c r="Z334" s="38"/>
      <c r="AA334" s="38"/>
      <c r="AB334" s="38"/>
      <c r="AC334" s="38"/>
      <c r="AD334" s="38"/>
      <c r="AE334" s="38"/>
      <c r="AF334" s="38"/>
      <c r="AG334" s="38"/>
      <c r="AH334" s="38"/>
      <c r="AI334" s="38"/>
      <c r="AJ334" s="38"/>
      <c r="AK334" s="38"/>
      <c r="AL334" s="38"/>
      <c r="AM334" s="38"/>
      <c r="AN334" s="38"/>
      <c r="AO334" s="38"/>
      <c r="AP334" s="38"/>
      <c r="AQ334" s="38"/>
      <c r="AR334" s="38"/>
      <c r="AS334" s="38"/>
    </row>
    <row r="335" spans="1:45" x14ac:dyDescent="0.3">
      <c r="A335" s="38"/>
      <c r="B335" s="38"/>
      <c r="C335" s="38"/>
      <c r="D335" s="38"/>
      <c r="E335" s="38"/>
      <c r="F335" s="38"/>
      <c r="G335" s="38"/>
      <c r="H335" s="38"/>
      <c r="I335" s="38"/>
      <c r="J335" s="38"/>
      <c r="K335" s="38"/>
      <c r="L335" s="38"/>
      <c r="M335" s="38"/>
      <c r="N335" s="38"/>
      <c r="O335" s="38"/>
      <c r="P335" s="38"/>
      <c r="Q335" s="38"/>
      <c r="R335" s="38"/>
      <c r="S335" s="38"/>
      <c r="T335" s="38"/>
      <c r="U335" s="38"/>
      <c r="V335" s="38"/>
      <c r="W335" s="38"/>
      <c r="X335" s="38"/>
      <c r="Y335" s="38"/>
      <c r="Z335" s="38"/>
      <c r="AA335" s="38"/>
      <c r="AB335" s="38"/>
      <c r="AC335" s="38"/>
      <c r="AD335" s="38"/>
      <c r="AE335" s="38"/>
      <c r="AF335" s="38"/>
      <c r="AG335" s="38"/>
      <c r="AH335" s="38"/>
      <c r="AI335" s="38"/>
      <c r="AJ335" s="38"/>
      <c r="AK335" s="38"/>
      <c r="AL335" s="38"/>
      <c r="AM335" s="38"/>
      <c r="AN335" s="38"/>
      <c r="AO335" s="38"/>
      <c r="AP335" s="38"/>
      <c r="AQ335" s="38"/>
      <c r="AR335" s="38"/>
      <c r="AS335" s="38"/>
    </row>
    <row r="336" spans="1:45" x14ac:dyDescent="0.3">
      <c r="A336" s="38"/>
      <c r="B336" s="38"/>
      <c r="C336" s="38"/>
      <c r="D336" s="38"/>
      <c r="E336" s="38"/>
      <c r="F336" s="38"/>
      <c r="G336" s="38"/>
      <c r="H336" s="38"/>
      <c r="I336" s="38"/>
      <c r="J336" s="38"/>
      <c r="K336" s="38"/>
      <c r="L336" s="38"/>
      <c r="M336" s="38"/>
      <c r="N336" s="38"/>
      <c r="O336" s="38"/>
      <c r="P336" s="38"/>
      <c r="Q336" s="38"/>
      <c r="R336" s="38"/>
      <c r="S336" s="38"/>
      <c r="T336" s="38"/>
      <c r="U336" s="38"/>
      <c r="V336" s="38"/>
      <c r="W336" s="38"/>
      <c r="X336" s="38"/>
      <c r="Y336" s="38"/>
      <c r="Z336" s="38"/>
      <c r="AA336" s="38"/>
      <c r="AB336" s="38"/>
      <c r="AC336" s="38"/>
      <c r="AD336" s="38"/>
      <c r="AE336" s="38"/>
      <c r="AF336" s="38"/>
      <c r="AG336" s="38"/>
      <c r="AH336" s="38"/>
      <c r="AI336" s="38"/>
      <c r="AJ336" s="38"/>
      <c r="AK336" s="38"/>
      <c r="AL336" s="38"/>
      <c r="AM336" s="38"/>
      <c r="AN336" s="38"/>
      <c r="AO336" s="38"/>
      <c r="AP336" s="38"/>
      <c r="AQ336" s="38"/>
      <c r="AR336" s="38"/>
      <c r="AS336" s="38"/>
    </row>
    <row r="337" spans="1:45" x14ac:dyDescent="0.3">
      <c r="A337" s="38"/>
      <c r="B337" s="38"/>
      <c r="C337" s="38"/>
      <c r="D337" s="38"/>
      <c r="E337" s="38"/>
      <c r="F337" s="38"/>
      <c r="G337" s="38"/>
      <c r="H337" s="38"/>
      <c r="I337" s="38"/>
      <c r="J337" s="38"/>
      <c r="K337" s="38"/>
      <c r="L337" s="38"/>
      <c r="M337" s="38"/>
      <c r="N337" s="38"/>
      <c r="O337" s="38"/>
      <c r="P337" s="38"/>
      <c r="Q337" s="38"/>
      <c r="R337" s="38"/>
      <c r="S337" s="38"/>
      <c r="T337" s="38"/>
      <c r="U337" s="38"/>
      <c r="V337" s="38"/>
      <c r="W337" s="38"/>
      <c r="X337" s="38"/>
      <c r="Y337" s="38"/>
      <c r="Z337" s="38"/>
      <c r="AA337" s="38"/>
      <c r="AB337" s="38"/>
      <c r="AC337" s="38"/>
      <c r="AD337" s="38"/>
      <c r="AE337" s="38"/>
      <c r="AF337" s="38"/>
      <c r="AG337" s="38"/>
      <c r="AH337" s="38"/>
      <c r="AI337" s="38"/>
      <c r="AJ337" s="38"/>
      <c r="AK337" s="38"/>
      <c r="AL337" s="38"/>
      <c r="AM337" s="38"/>
      <c r="AN337" s="38"/>
      <c r="AO337" s="38"/>
      <c r="AP337" s="38"/>
      <c r="AQ337" s="38"/>
      <c r="AR337" s="38"/>
      <c r="AS337" s="38"/>
    </row>
    <row r="338" spans="1:45" x14ac:dyDescent="0.3">
      <c r="A338" s="38"/>
      <c r="B338" s="38"/>
      <c r="C338" s="38"/>
      <c r="D338" s="38"/>
      <c r="E338" s="38"/>
      <c r="F338" s="38"/>
      <c r="G338" s="38"/>
      <c r="H338" s="38"/>
      <c r="I338" s="38"/>
      <c r="J338" s="38"/>
      <c r="K338" s="38"/>
      <c r="L338" s="38"/>
      <c r="M338" s="38"/>
      <c r="N338" s="38"/>
      <c r="O338" s="38"/>
      <c r="P338" s="38"/>
      <c r="Q338" s="38"/>
      <c r="R338" s="38"/>
      <c r="S338" s="38"/>
      <c r="T338" s="38"/>
      <c r="U338" s="38"/>
      <c r="V338" s="38"/>
      <c r="W338" s="38"/>
      <c r="X338" s="38"/>
      <c r="Y338" s="38"/>
      <c r="Z338" s="38"/>
      <c r="AA338" s="38"/>
      <c r="AB338" s="38"/>
      <c r="AC338" s="38"/>
      <c r="AD338" s="38"/>
      <c r="AE338" s="38"/>
      <c r="AF338" s="38"/>
      <c r="AG338" s="38"/>
      <c r="AH338" s="38"/>
      <c r="AI338" s="38"/>
      <c r="AJ338" s="38"/>
      <c r="AK338" s="38"/>
      <c r="AL338" s="38"/>
      <c r="AM338" s="38"/>
      <c r="AN338" s="38"/>
      <c r="AO338" s="38"/>
      <c r="AP338" s="38"/>
      <c r="AQ338" s="38"/>
      <c r="AR338" s="38"/>
      <c r="AS338" s="38"/>
    </row>
    <row r="339" spans="1:45" x14ac:dyDescent="0.3">
      <c r="A339" s="38"/>
      <c r="B339" s="38"/>
      <c r="C339" s="38"/>
      <c r="D339" s="38"/>
      <c r="E339" s="38"/>
      <c r="F339" s="38"/>
      <c r="G339" s="38"/>
      <c r="H339" s="38"/>
      <c r="I339" s="38"/>
      <c r="J339" s="38"/>
      <c r="K339" s="38"/>
      <c r="L339" s="38"/>
      <c r="M339" s="38"/>
      <c r="N339" s="38"/>
      <c r="O339" s="38"/>
      <c r="P339" s="38"/>
      <c r="Q339" s="38"/>
      <c r="R339" s="38"/>
      <c r="S339" s="38"/>
      <c r="T339" s="38"/>
      <c r="U339" s="38"/>
      <c r="V339" s="38"/>
      <c r="W339" s="38"/>
      <c r="X339" s="38"/>
      <c r="Y339" s="38"/>
      <c r="Z339" s="38"/>
      <c r="AA339" s="38"/>
      <c r="AB339" s="38"/>
      <c r="AC339" s="38"/>
      <c r="AD339" s="38"/>
      <c r="AE339" s="38"/>
      <c r="AF339" s="38"/>
      <c r="AG339" s="38"/>
      <c r="AH339" s="38"/>
      <c r="AI339" s="38"/>
      <c r="AJ339" s="38"/>
      <c r="AK339" s="38"/>
      <c r="AL339" s="38"/>
      <c r="AM339" s="38"/>
      <c r="AN339" s="38"/>
      <c r="AO339" s="38"/>
      <c r="AP339" s="38"/>
      <c r="AQ339" s="38"/>
      <c r="AR339" s="38"/>
      <c r="AS339" s="38"/>
    </row>
    <row r="340" spans="1:45" x14ac:dyDescent="0.3">
      <c r="A340" s="38"/>
      <c r="B340" s="38"/>
      <c r="C340" s="38"/>
      <c r="D340" s="38"/>
      <c r="E340" s="38"/>
      <c r="F340" s="38"/>
      <c r="G340" s="38"/>
      <c r="H340" s="38"/>
      <c r="I340" s="38"/>
      <c r="J340" s="38"/>
      <c r="K340" s="38"/>
      <c r="L340" s="38"/>
      <c r="M340" s="38"/>
      <c r="N340" s="38"/>
      <c r="O340" s="38"/>
      <c r="P340" s="38"/>
      <c r="Q340" s="38"/>
      <c r="R340" s="38"/>
      <c r="S340" s="38"/>
      <c r="T340" s="38"/>
      <c r="U340" s="38"/>
      <c r="V340" s="38"/>
      <c r="W340" s="38"/>
      <c r="X340" s="38"/>
      <c r="Y340" s="38"/>
      <c r="Z340" s="38"/>
      <c r="AA340" s="38"/>
      <c r="AB340" s="38"/>
      <c r="AC340" s="38"/>
      <c r="AD340" s="38"/>
      <c r="AE340" s="38"/>
      <c r="AF340" s="38"/>
      <c r="AG340" s="38"/>
      <c r="AH340" s="38"/>
      <c r="AI340" s="38"/>
      <c r="AJ340" s="38"/>
      <c r="AK340" s="38"/>
      <c r="AL340" s="38"/>
      <c r="AM340" s="38"/>
      <c r="AN340" s="38"/>
      <c r="AO340" s="38"/>
      <c r="AP340" s="38"/>
      <c r="AQ340" s="38"/>
      <c r="AR340" s="38"/>
      <c r="AS340" s="38"/>
    </row>
    <row r="341" spans="1:45" x14ac:dyDescent="0.3">
      <c r="A341" s="38"/>
      <c r="B341" s="38"/>
      <c r="C341" s="38"/>
      <c r="D341" s="38"/>
      <c r="E341" s="38"/>
      <c r="F341" s="38"/>
      <c r="G341" s="38"/>
      <c r="H341" s="38"/>
      <c r="I341" s="38"/>
      <c r="J341" s="38"/>
      <c r="K341" s="38"/>
      <c r="L341" s="38"/>
      <c r="M341" s="38"/>
      <c r="N341" s="38"/>
      <c r="O341" s="38"/>
      <c r="P341" s="38"/>
      <c r="Q341" s="38"/>
      <c r="R341" s="38"/>
      <c r="S341" s="38"/>
      <c r="T341" s="38"/>
      <c r="U341" s="38"/>
      <c r="V341" s="38"/>
      <c r="W341" s="38"/>
      <c r="X341" s="38"/>
      <c r="Y341" s="38"/>
      <c r="Z341" s="38"/>
      <c r="AA341" s="38"/>
      <c r="AB341" s="38"/>
      <c r="AC341" s="38"/>
      <c r="AD341" s="38"/>
      <c r="AE341" s="38"/>
      <c r="AF341" s="38"/>
      <c r="AG341" s="38"/>
      <c r="AH341" s="38"/>
      <c r="AI341" s="38"/>
      <c r="AJ341" s="38"/>
      <c r="AK341" s="38"/>
      <c r="AL341" s="38"/>
      <c r="AM341" s="38"/>
      <c r="AN341" s="38"/>
      <c r="AO341" s="38"/>
      <c r="AP341" s="38"/>
      <c r="AQ341" s="38"/>
      <c r="AR341" s="38"/>
      <c r="AS341" s="38"/>
    </row>
    <row r="342" spans="1:45" x14ac:dyDescent="0.3">
      <c r="A342" s="38"/>
      <c r="B342" s="38"/>
      <c r="C342" s="38"/>
      <c r="D342" s="38"/>
      <c r="E342" s="38"/>
      <c r="F342" s="38"/>
      <c r="G342" s="38"/>
      <c r="H342" s="38"/>
      <c r="I342" s="38"/>
      <c r="J342" s="38"/>
      <c r="K342" s="38"/>
      <c r="L342" s="38"/>
      <c r="M342" s="38"/>
      <c r="N342" s="38"/>
      <c r="O342" s="38"/>
      <c r="P342" s="38"/>
      <c r="Q342" s="38"/>
      <c r="R342" s="38"/>
      <c r="S342" s="38"/>
      <c r="T342" s="38"/>
      <c r="U342" s="38"/>
      <c r="V342" s="38"/>
      <c r="W342" s="38"/>
      <c r="X342" s="38"/>
      <c r="Y342" s="38"/>
      <c r="Z342" s="38"/>
      <c r="AA342" s="38"/>
      <c r="AB342" s="38"/>
      <c r="AC342" s="38"/>
      <c r="AD342" s="38"/>
      <c r="AE342" s="38"/>
      <c r="AF342" s="38"/>
      <c r="AG342" s="38"/>
      <c r="AH342" s="38"/>
      <c r="AI342" s="38"/>
      <c r="AJ342" s="38"/>
      <c r="AK342" s="38"/>
      <c r="AL342" s="38"/>
      <c r="AM342" s="38"/>
      <c r="AN342" s="38"/>
      <c r="AO342" s="38"/>
      <c r="AP342" s="38"/>
      <c r="AQ342" s="38"/>
      <c r="AR342" s="38"/>
      <c r="AS342" s="38"/>
    </row>
    <row r="343" spans="1:45" x14ac:dyDescent="0.3">
      <c r="A343" s="38"/>
      <c r="B343" s="38"/>
      <c r="C343" s="38"/>
      <c r="D343" s="38"/>
      <c r="E343" s="38"/>
      <c r="F343" s="38"/>
      <c r="G343" s="38"/>
      <c r="H343" s="38"/>
      <c r="I343" s="38"/>
      <c r="J343" s="38"/>
      <c r="K343" s="38"/>
      <c r="L343" s="38"/>
      <c r="M343" s="38"/>
      <c r="N343" s="38"/>
      <c r="O343" s="38"/>
      <c r="P343" s="38"/>
      <c r="Q343" s="38"/>
      <c r="R343" s="38"/>
      <c r="S343" s="38"/>
      <c r="T343" s="38"/>
      <c r="U343" s="38"/>
      <c r="V343" s="38"/>
      <c r="W343" s="38"/>
      <c r="X343" s="38"/>
      <c r="Y343" s="38"/>
      <c r="Z343" s="38"/>
      <c r="AA343" s="38"/>
      <c r="AB343" s="38"/>
      <c r="AC343" s="38"/>
      <c r="AD343" s="38"/>
      <c r="AE343" s="38"/>
      <c r="AF343" s="38"/>
      <c r="AG343" s="38"/>
      <c r="AH343" s="38"/>
      <c r="AI343" s="38"/>
      <c r="AJ343" s="38"/>
      <c r="AK343" s="38"/>
      <c r="AL343" s="38"/>
      <c r="AM343" s="38"/>
      <c r="AN343" s="38"/>
      <c r="AO343" s="38"/>
      <c r="AP343" s="38"/>
      <c r="AQ343" s="38"/>
      <c r="AR343" s="38"/>
      <c r="AS343" s="38"/>
    </row>
    <row r="344" spans="1:45" x14ac:dyDescent="0.3">
      <c r="A344" s="38"/>
      <c r="B344" s="38"/>
      <c r="C344" s="38"/>
      <c r="D344" s="38"/>
      <c r="E344" s="38"/>
      <c r="F344" s="38"/>
      <c r="G344" s="38"/>
      <c r="H344" s="38"/>
      <c r="I344" s="38"/>
      <c r="J344" s="38"/>
      <c r="K344" s="38"/>
      <c r="L344" s="38"/>
      <c r="M344" s="38"/>
      <c r="N344" s="38"/>
      <c r="O344" s="38"/>
      <c r="P344" s="38"/>
      <c r="Q344" s="38"/>
      <c r="R344" s="38"/>
      <c r="S344" s="38"/>
      <c r="T344" s="38"/>
      <c r="U344" s="38"/>
      <c r="V344" s="38"/>
      <c r="W344" s="38"/>
      <c r="X344" s="38"/>
      <c r="Y344" s="38"/>
      <c r="Z344" s="38"/>
      <c r="AA344" s="38"/>
      <c r="AB344" s="38"/>
      <c r="AC344" s="38"/>
      <c r="AD344" s="38"/>
      <c r="AE344" s="38"/>
      <c r="AF344" s="38"/>
      <c r="AG344" s="38"/>
      <c r="AH344" s="38"/>
      <c r="AI344" s="38"/>
      <c r="AJ344" s="38"/>
      <c r="AK344" s="38"/>
      <c r="AL344" s="38"/>
      <c r="AM344" s="38"/>
      <c r="AN344" s="38"/>
      <c r="AO344" s="38"/>
      <c r="AP344" s="38"/>
      <c r="AQ344" s="38"/>
      <c r="AR344" s="38"/>
      <c r="AS344" s="38"/>
    </row>
    <row r="345" spans="1:45" x14ac:dyDescent="0.3">
      <c r="A345" s="38"/>
      <c r="B345" s="38"/>
      <c r="C345" s="38"/>
      <c r="D345" s="38"/>
      <c r="E345" s="38"/>
      <c r="F345" s="38"/>
      <c r="G345" s="38"/>
      <c r="H345" s="38"/>
      <c r="I345" s="38"/>
      <c r="J345" s="38"/>
      <c r="K345" s="38"/>
      <c r="L345" s="38"/>
      <c r="M345" s="38"/>
      <c r="N345" s="38"/>
      <c r="O345" s="38"/>
      <c r="P345" s="38"/>
      <c r="Q345" s="38"/>
      <c r="R345" s="38"/>
      <c r="S345" s="38"/>
      <c r="T345" s="38"/>
      <c r="U345" s="38"/>
      <c r="V345" s="38"/>
      <c r="W345" s="38"/>
      <c r="X345" s="38"/>
      <c r="Y345" s="38"/>
      <c r="Z345" s="38"/>
      <c r="AA345" s="38"/>
      <c r="AB345" s="38"/>
      <c r="AC345" s="38"/>
      <c r="AD345" s="38"/>
      <c r="AE345" s="38"/>
      <c r="AF345" s="38"/>
      <c r="AG345" s="38"/>
      <c r="AH345" s="38"/>
      <c r="AI345" s="38"/>
      <c r="AJ345" s="38"/>
      <c r="AK345" s="38"/>
      <c r="AL345" s="38"/>
      <c r="AM345" s="38"/>
      <c r="AN345" s="38"/>
      <c r="AO345" s="38"/>
      <c r="AP345" s="38"/>
      <c r="AQ345" s="38"/>
      <c r="AR345" s="38"/>
      <c r="AS345" s="38"/>
    </row>
    <row r="346" spans="1:45" x14ac:dyDescent="0.3">
      <c r="A346" s="38"/>
      <c r="B346" s="38"/>
      <c r="C346" s="38"/>
      <c r="D346" s="38"/>
      <c r="E346" s="38"/>
      <c r="F346" s="38"/>
      <c r="G346" s="38"/>
      <c r="H346" s="38"/>
      <c r="I346" s="38"/>
      <c r="J346" s="38"/>
      <c r="K346" s="38"/>
      <c r="L346" s="38"/>
      <c r="M346" s="38"/>
      <c r="N346" s="38"/>
      <c r="O346" s="38"/>
      <c r="P346" s="38"/>
      <c r="Q346" s="38"/>
      <c r="R346" s="38"/>
      <c r="S346" s="38"/>
      <c r="T346" s="38"/>
      <c r="U346" s="38"/>
      <c r="V346" s="38"/>
      <c r="W346" s="38"/>
      <c r="X346" s="38"/>
      <c r="Y346" s="38"/>
      <c r="Z346" s="38"/>
      <c r="AA346" s="38"/>
      <c r="AB346" s="38"/>
      <c r="AC346" s="38"/>
      <c r="AD346" s="38"/>
      <c r="AE346" s="38"/>
      <c r="AF346" s="38"/>
      <c r="AG346" s="38"/>
      <c r="AH346" s="38"/>
      <c r="AI346" s="38"/>
      <c r="AJ346" s="38"/>
      <c r="AK346" s="38"/>
      <c r="AL346" s="38"/>
      <c r="AM346" s="38"/>
      <c r="AN346" s="38"/>
      <c r="AO346" s="38"/>
      <c r="AP346" s="38"/>
      <c r="AQ346" s="38"/>
      <c r="AR346" s="38"/>
      <c r="AS346" s="38"/>
    </row>
    <row r="347" spans="1:45" x14ac:dyDescent="0.3">
      <c r="A347" s="38"/>
      <c r="B347" s="38"/>
      <c r="C347" s="38"/>
      <c r="D347" s="38"/>
      <c r="E347" s="38"/>
      <c r="F347" s="38"/>
      <c r="G347" s="38"/>
      <c r="H347" s="38"/>
      <c r="I347" s="38"/>
      <c r="J347" s="38"/>
      <c r="K347" s="38"/>
      <c r="L347" s="38"/>
      <c r="M347" s="38"/>
      <c r="N347" s="38"/>
      <c r="O347" s="38"/>
      <c r="P347" s="38"/>
      <c r="Q347" s="38"/>
      <c r="R347" s="38"/>
      <c r="S347" s="38"/>
      <c r="T347" s="38"/>
      <c r="U347" s="38"/>
      <c r="V347" s="38"/>
      <c r="W347" s="38"/>
      <c r="X347" s="38"/>
      <c r="Y347" s="38"/>
      <c r="Z347" s="38"/>
      <c r="AA347" s="38"/>
      <c r="AB347" s="38"/>
      <c r="AC347" s="38"/>
      <c r="AD347" s="38"/>
      <c r="AE347" s="38"/>
      <c r="AF347" s="38"/>
      <c r="AG347" s="38"/>
      <c r="AH347" s="38"/>
      <c r="AI347" s="38"/>
      <c r="AJ347" s="38"/>
      <c r="AK347" s="38"/>
      <c r="AL347" s="38"/>
      <c r="AM347" s="38"/>
      <c r="AN347" s="38"/>
      <c r="AO347" s="38"/>
      <c r="AP347" s="38"/>
      <c r="AQ347" s="38"/>
      <c r="AR347" s="38"/>
      <c r="AS347" s="38"/>
    </row>
    <row r="348" spans="1:45" x14ac:dyDescent="0.3">
      <c r="A348" s="38"/>
      <c r="B348" s="38"/>
      <c r="C348" s="38"/>
      <c r="D348" s="38"/>
      <c r="E348" s="38"/>
      <c r="F348" s="38"/>
      <c r="G348" s="38"/>
      <c r="H348" s="38"/>
      <c r="I348" s="38"/>
      <c r="J348" s="38"/>
      <c r="K348" s="38"/>
      <c r="L348" s="38"/>
      <c r="M348" s="38"/>
      <c r="N348" s="38"/>
      <c r="O348" s="38"/>
      <c r="P348" s="38"/>
      <c r="Q348" s="38"/>
      <c r="R348" s="38"/>
      <c r="S348" s="38"/>
      <c r="T348" s="38"/>
      <c r="U348" s="38"/>
      <c r="V348" s="38"/>
      <c r="W348" s="38"/>
      <c r="X348" s="38"/>
      <c r="Y348" s="38"/>
      <c r="Z348" s="38"/>
      <c r="AA348" s="38"/>
      <c r="AB348" s="38"/>
      <c r="AC348" s="38"/>
      <c r="AD348" s="38"/>
      <c r="AE348" s="38"/>
      <c r="AF348" s="38"/>
      <c r="AG348" s="38"/>
      <c r="AH348" s="38"/>
      <c r="AI348" s="38"/>
      <c r="AJ348" s="38"/>
      <c r="AK348" s="38"/>
      <c r="AL348" s="38"/>
      <c r="AM348" s="38"/>
      <c r="AN348" s="38"/>
      <c r="AO348" s="38"/>
      <c r="AP348" s="38"/>
      <c r="AQ348" s="38"/>
      <c r="AR348" s="38"/>
      <c r="AS348" s="38"/>
    </row>
    <row r="349" spans="1:45" x14ac:dyDescent="0.3">
      <c r="A349" s="38"/>
      <c r="B349" s="38"/>
      <c r="C349" s="38"/>
      <c r="D349" s="38"/>
      <c r="E349" s="38"/>
      <c r="F349" s="38"/>
      <c r="G349" s="38"/>
      <c r="H349" s="38"/>
      <c r="I349" s="38"/>
      <c r="J349" s="38"/>
      <c r="K349" s="38"/>
      <c r="L349" s="38"/>
      <c r="M349" s="38"/>
      <c r="N349" s="38"/>
      <c r="O349" s="38"/>
      <c r="P349" s="38"/>
      <c r="Q349" s="38"/>
      <c r="R349" s="38"/>
      <c r="S349" s="38"/>
      <c r="T349" s="38"/>
      <c r="U349" s="38"/>
      <c r="V349" s="38"/>
      <c r="W349" s="38"/>
      <c r="X349" s="38"/>
      <c r="Y349" s="38"/>
      <c r="Z349" s="38"/>
      <c r="AA349" s="38"/>
      <c r="AB349" s="38"/>
      <c r="AC349" s="38"/>
      <c r="AD349" s="38"/>
      <c r="AE349" s="38"/>
      <c r="AF349" s="38"/>
      <c r="AG349" s="38"/>
      <c r="AH349" s="38"/>
      <c r="AI349" s="38"/>
      <c r="AJ349" s="38"/>
      <c r="AK349" s="38"/>
      <c r="AL349" s="38"/>
      <c r="AM349" s="38"/>
      <c r="AN349" s="38"/>
      <c r="AO349" s="38"/>
      <c r="AP349" s="38"/>
      <c r="AQ349" s="38"/>
      <c r="AR349" s="38"/>
      <c r="AS349" s="38"/>
    </row>
    <row r="350" spans="1:45" x14ac:dyDescent="0.3">
      <c r="A350" s="38"/>
      <c r="B350" s="38"/>
      <c r="C350" s="38"/>
      <c r="D350" s="38"/>
      <c r="E350" s="38"/>
      <c r="F350" s="38"/>
      <c r="G350" s="38"/>
      <c r="H350" s="38"/>
      <c r="I350" s="38"/>
      <c r="J350" s="38"/>
      <c r="K350" s="38"/>
      <c r="L350" s="38"/>
      <c r="M350" s="38"/>
      <c r="N350" s="38"/>
      <c r="O350" s="38"/>
      <c r="P350" s="38"/>
      <c r="Q350" s="38"/>
      <c r="R350" s="38"/>
      <c r="S350" s="38"/>
      <c r="T350" s="38"/>
      <c r="U350" s="38"/>
      <c r="V350" s="38"/>
      <c r="W350" s="38"/>
      <c r="X350" s="38"/>
      <c r="Y350" s="38"/>
      <c r="Z350" s="38"/>
      <c r="AA350" s="38"/>
      <c r="AB350" s="38"/>
      <c r="AC350" s="38"/>
      <c r="AD350" s="38"/>
      <c r="AE350" s="38"/>
      <c r="AF350" s="38"/>
      <c r="AG350" s="38"/>
      <c r="AH350" s="38"/>
      <c r="AI350" s="38"/>
      <c r="AJ350" s="38"/>
      <c r="AK350" s="38"/>
      <c r="AL350" s="38"/>
      <c r="AM350" s="38"/>
      <c r="AN350" s="38"/>
      <c r="AO350" s="38"/>
      <c r="AP350" s="38"/>
      <c r="AQ350" s="38"/>
      <c r="AR350" s="38"/>
      <c r="AS350" s="38"/>
    </row>
    <row r="351" spans="1:45" x14ac:dyDescent="0.3">
      <c r="A351" s="38"/>
      <c r="B351" s="38"/>
      <c r="C351" s="38"/>
      <c r="D351" s="38"/>
      <c r="E351" s="38"/>
      <c r="F351" s="38"/>
      <c r="G351" s="38"/>
      <c r="H351" s="38"/>
      <c r="I351" s="38"/>
      <c r="J351" s="38"/>
      <c r="K351" s="38"/>
      <c r="L351" s="38"/>
      <c r="M351" s="38"/>
      <c r="N351" s="38"/>
      <c r="O351" s="38"/>
      <c r="P351" s="38"/>
      <c r="Q351" s="38"/>
      <c r="R351" s="38"/>
      <c r="S351" s="38"/>
      <c r="T351" s="38"/>
      <c r="U351" s="38"/>
      <c r="V351" s="38"/>
      <c r="W351" s="38"/>
      <c r="X351" s="38"/>
      <c r="Y351" s="38"/>
      <c r="Z351" s="38"/>
      <c r="AA351" s="38"/>
      <c r="AB351" s="38"/>
      <c r="AC351" s="38"/>
      <c r="AD351" s="38"/>
      <c r="AE351" s="38"/>
      <c r="AF351" s="38"/>
      <c r="AG351" s="38"/>
      <c r="AH351" s="38"/>
      <c r="AI351" s="38"/>
      <c r="AJ351" s="38"/>
      <c r="AK351" s="38"/>
      <c r="AL351" s="38"/>
      <c r="AM351" s="38"/>
      <c r="AN351" s="38"/>
      <c r="AO351" s="38"/>
      <c r="AP351" s="38"/>
      <c r="AQ351" s="38"/>
      <c r="AR351" s="38"/>
      <c r="AS351" s="38"/>
    </row>
    <row r="352" spans="1:45" x14ac:dyDescent="0.3">
      <c r="A352" s="38"/>
      <c r="B352" s="38"/>
      <c r="C352" s="38"/>
      <c r="D352" s="38"/>
      <c r="E352" s="38"/>
      <c r="F352" s="38"/>
      <c r="G352" s="38"/>
      <c r="H352" s="38"/>
      <c r="I352" s="38"/>
      <c r="J352" s="38"/>
      <c r="K352" s="38"/>
      <c r="L352" s="38"/>
      <c r="M352" s="38"/>
      <c r="N352" s="38"/>
      <c r="O352" s="38"/>
      <c r="P352" s="38"/>
      <c r="Q352" s="38"/>
      <c r="R352" s="38"/>
      <c r="S352" s="38"/>
      <c r="T352" s="38"/>
      <c r="U352" s="38"/>
      <c r="V352" s="38"/>
      <c r="W352" s="38"/>
      <c r="X352" s="38"/>
      <c r="Y352" s="38"/>
      <c r="Z352" s="38"/>
      <c r="AA352" s="38"/>
      <c r="AB352" s="38"/>
      <c r="AC352" s="38"/>
      <c r="AD352" s="38"/>
      <c r="AE352" s="38"/>
      <c r="AF352" s="38"/>
      <c r="AG352" s="38"/>
      <c r="AH352" s="38"/>
      <c r="AI352" s="38"/>
      <c r="AJ352" s="38"/>
      <c r="AK352" s="38"/>
      <c r="AL352" s="38"/>
      <c r="AM352" s="38"/>
      <c r="AN352" s="38"/>
      <c r="AO352" s="38"/>
      <c r="AP352" s="38"/>
      <c r="AQ352" s="38"/>
      <c r="AR352" s="38"/>
      <c r="AS352" s="38"/>
    </row>
    <row r="353" spans="1:45" x14ac:dyDescent="0.3">
      <c r="A353" s="38"/>
      <c r="B353" s="38"/>
      <c r="C353" s="38"/>
      <c r="D353" s="38"/>
      <c r="E353" s="38"/>
      <c r="F353" s="38"/>
      <c r="G353" s="38"/>
      <c r="H353" s="38"/>
      <c r="I353" s="38"/>
      <c r="J353" s="38"/>
      <c r="K353" s="38"/>
      <c r="L353" s="38"/>
      <c r="M353" s="38"/>
      <c r="N353" s="38"/>
      <c r="O353" s="38"/>
      <c r="P353" s="38"/>
      <c r="Q353" s="38"/>
      <c r="R353" s="38"/>
      <c r="S353" s="38"/>
      <c r="T353" s="38"/>
      <c r="U353" s="38"/>
      <c r="V353" s="38"/>
      <c r="W353" s="38"/>
      <c r="X353" s="38"/>
      <c r="Y353" s="38"/>
      <c r="Z353" s="38"/>
      <c r="AA353" s="38"/>
      <c r="AB353" s="38"/>
      <c r="AC353" s="38"/>
      <c r="AD353" s="38"/>
      <c r="AE353" s="38"/>
      <c r="AF353" s="38"/>
      <c r="AG353" s="38"/>
      <c r="AH353" s="38"/>
      <c r="AI353" s="38"/>
      <c r="AJ353" s="38"/>
      <c r="AK353" s="38"/>
      <c r="AL353" s="38"/>
      <c r="AM353" s="38"/>
      <c r="AN353" s="38"/>
      <c r="AO353" s="38"/>
      <c r="AP353" s="38"/>
      <c r="AQ353" s="38"/>
      <c r="AR353" s="38"/>
      <c r="AS353" s="38"/>
    </row>
    <row r="354" spans="1:45" x14ac:dyDescent="0.3">
      <c r="A354" s="38"/>
      <c r="B354" s="38"/>
      <c r="C354" s="38"/>
      <c r="D354" s="38"/>
      <c r="E354" s="38"/>
      <c r="F354" s="38"/>
      <c r="G354" s="38"/>
      <c r="H354" s="38"/>
      <c r="I354" s="38"/>
      <c r="J354" s="38"/>
      <c r="K354" s="38"/>
      <c r="L354" s="38"/>
      <c r="M354" s="38"/>
      <c r="N354" s="38"/>
      <c r="O354" s="38"/>
      <c r="P354" s="38"/>
      <c r="Q354" s="38"/>
      <c r="R354" s="38"/>
      <c r="S354" s="38"/>
      <c r="T354" s="38"/>
      <c r="U354" s="38"/>
      <c r="V354" s="38"/>
      <c r="W354" s="38"/>
      <c r="X354" s="38"/>
      <c r="Y354" s="38"/>
      <c r="Z354" s="38"/>
      <c r="AA354" s="38"/>
      <c r="AB354" s="38"/>
      <c r="AC354" s="38"/>
      <c r="AD354" s="38"/>
      <c r="AE354" s="38"/>
      <c r="AF354" s="38"/>
      <c r="AG354" s="38"/>
      <c r="AH354" s="38"/>
      <c r="AI354" s="38"/>
      <c r="AJ354" s="38"/>
      <c r="AK354" s="38"/>
      <c r="AL354" s="38"/>
      <c r="AM354" s="38"/>
      <c r="AN354" s="38"/>
      <c r="AO354" s="38"/>
      <c r="AP354" s="38"/>
      <c r="AQ354" s="38"/>
      <c r="AR354" s="38"/>
      <c r="AS354" s="38"/>
    </row>
    <row r="355" spans="1:45" x14ac:dyDescent="0.3">
      <c r="A355" s="38"/>
      <c r="B355" s="38"/>
      <c r="C355" s="38"/>
      <c r="D355" s="38"/>
      <c r="E355" s="38"/>
      <c r="F355" s="38"/>
      <c r="G355" s="38"/>
      <c r="H355" s="38"/>
      <c r="I355" s="38"/>
      <c r="J355" s="38"/>
      <c r="K355" s="38"/>
      <c r="L355" s="38"/>
      <c r="M355" s="38"/>
      <c r="N355" s="38"/>
      <c r="O355" s="38"/>
      <c r="P355" s="38"/>
      <c r="Q355" s="38"/>
      <c r="R355" s="38"/>
      <c r="S355" s="38"/>
      <c r="T355" s="38"/>
      <c r="U355" s="38"/>
      <c r="V355" s="38"/>
      <c r="W355" s="38"/>
      <c r="X355" s="38"/>
      <c r="Y355" s="38"/>
      <c r="Z355" s="38"/>
      <c r="AA355" s="38"/>
      <c r="AB355" s="38"/>
      <c r="AC355" s="38"/>
      <c r="AD355" s="38"/>
      <c r="AE355" s="38"/>
      <c r="AF355" s="38"/>
      <c r="AG355" s="38"/>
      <c r="AH355" s="38"/>
      <c r="AI355" s="38"/>
      <c r="AJ355" s="38"/>
      <c r="AK355" s="38"/>
      <c r="AL355" s="38"/>
      <c r="AM355" s="38"/>
      <c r="AN355" s="38"/>
      <c r="AO355" s="38"/>
      <c r="AP355" s="38"/>
      <c r="AQ355" s="38"/>
      <c r="AR355" s="38"/>
      <c r="AS355" s="38"/>
    </row>
    <row r="356" spans="1:45" x14ac:dyDescent="0.3">
      <c r="A356" s="38"/>
      <c r="B356" s="38"/>
      <c r="C356" s="38"/>
      <c r="D356" s="38"/>
      <c r="E356" s="38"/>
      <c r="F356" s="38"/>
      <c r="G356" s="38"/>
      <c r="H356" s="38"/>
      <c r="I356" s="38"/>
      <c r="J356" s="38"/>
      <c r="K356" s="38"/>
      <c r="L356" s="38"/>
      <c r="M356" s="38"/>
      <c r="N356" s="38"/>
      <c r="O356" s="38"/>
      <c r="P356" s="38"/>
      <c r="Q356" s="38"/>
      <c r="R356" s="38"/>
      <c r="S356" s="38"/>
      <c r="T356" s="38"/>
      <c r="U356" s="38"/>
      <c r="V356" s="38"/>
      <c r="W356" s="38"/>
      <c r="X356" s="38"/>
      <c r="Y356" s="38"/>
      <c r="Z356" s="38"/>
      <c r="AA356" s="38"/>
      <c r="AB356" s="38"/>
      <c r="AC356" s="38"/>
      <c r="AD356" s="38"/>
      <c r="AE356" s="38"/>
      <c r="AF356" s="38"/>
      <c r="AG356" s="38"/>
      <c r="AH356" s="38"/>
      <c r="AI356" s="38"/>
      <c r="AJ356" s="38"/>
      <c r="AK356" s="38"/>
      <c r="AL356" s="38"/>
      <c r="AM356" s="38"/>
      <c r="AN356" s="38"/>
      <c r="AO356" s="38"/>
      <c r="AP356" s="38"/>
      <c r="AQ356" s="38"/>
      <c r="AR356" s="38"/>
      <c r="AS356" s="38"/>
    </row>
    <row r="357" spans="1:45" x14ac:dyDescent="0.3">
      <c r="A357" s="38"/>
      <c r="B357" s="38"/>
      <c r="C357" s="38"/>
      <c r="D357" s="38"/>
      <c r="E357" s="38"/>
      <c r="F357" s="38"/>
      <c r="G357" s="38"/>
      <c r="H357" s="38"/>
      <c r="I357" s="38"/>
      <c r="J357" s="38"/>
      <c r="K357" s="38"/>
      <c r="L357" s="38"/>
      <c r="M357" s="38"/>
      <c r="N357" s="38"/>
      <c r="O357" s="38"/>
      <c r="P357" s="38"/>
      <c r="Q357" s="38"/>
      <c r="R357" s="38"/>
      <c r="S357" s="38"/>
      <c r="T357" s="38"/>
      <c r="U357" s="38"/>
      <c r="V357" s="38"/>
      <c r="W357" s="38"/>
      <c r="X357" s="38"/>
      <c r="Y357" s="38"/>
      <c r="Z357" s="38"/>
      <c r="AA357" s="38"/>
      <c r="AB357" s="38"/>
      <c r="AC357" s="38"/>
      <c r="AD357" s="38"/>
      <c r="AE357" s="38"/>
      <c r="AF357" s="38"/>
      <c r="AG357" s="38"/>
      <c r="AH357" s="38"/>
      <c r="AI357" s="38"/>
      <c r="AJ357" s="38"/>
      <c r="AK357" s="38"/>
      <c r="AL357" s="38"/>
      <c r="AM357" s="38"/>
      <c r="AN357" s="38"/>
      <c r="AO357" s="38"/>
      <c r="AP357" s="38"/>
      <c r="AQ357" s="38"/>
      <c r="AR357" s="38"/>
      <c r="AS357" s="38"/>
    </row>
    <row r="358" spans="1:45" x14ac:dyDescent="0.3">
      <c r="A358" s="38"/>
      <c r="B358" s="38"/>
      <c r="C358" s="38"/>
      <c r="D358" s="38"/>
      <c r="E358" s="38"/>
      <c r="F358" s="38"/>
      <c r="G358" s="38"/>
      <c r="H358" s="38"/>
      <c r="I358" s="38"/>
      <c r="J358" s="38"/>
      <c r="K358" s="38"/>
      <c r="L358" s="38"/>
      <c r="M358" s="38"/>
      <c r="N358" s="38"/>
      <c r="O358" s="38"/>
      <c r="P358" s="38"/>
      <c r="Q358" s="38"/>
      <c r="R358" s="38"/>
      <c r="S358" s="38"/>
      <c r="T358" s="38"/>
      <c r="U358" s="38"/>
      <c r="V358" s="38"/>
      <c r="W358" s="38"/>
      <c r="X358" s="38"/>
      <c r="Y358" s="38"/>
      <c r="Z358" s="38"/>
      <c r="AA358" s="38"/>
      <c r="AB358" s="38"/>
      <c r="AC358" s="38"/>
      <c r="AD358" s="38"/>
      <c r="AE358" s="38"/>
      <c r="AF358" s="38"/>
      <c r="AG358" s="38"/>
      <c r="AH358" s="38"/>
      <c r="AI358" s="38"/>
      <c r="AJ358" s="38"/>
      <c r="AK358" s="38"/>
      <c r="AL358" s="38"/>
      <c r="AM358" s="38"/>
      <c r="AN358" s="38"/>
      <c r="AO358" s="38"/>
      <c r="AP358" s="38"/>
      <c r="AQ358" s="38"/>
      <c r="AR358" s="38"/>
      <c r="AS358" s="38"/>
    </row>
    <row r="359" spans="1:45" x14ac:dyDescent="0.3">
      <c r="A359" s="38"/>
      <c r="B359" s="38"/>
      <c r="C359" s="38"/>
      <c r="D359" s="38"/>
      <c r="E359" s="38"/>
      <c r="F359" s="38"/>
      <c r="G359" s="38"/>
      <c r="H359" s="38"/>
      <c r="I359" s="38"/>
      <c r="J359" s="38"/>
      <c r="K359" s="38"/>
      <c r="L359" s="38"/>
      <c r="M359" s="38"/>
      <c r="N359" s="38"/>
      <c r="O359" s="38"/>
      <c r="P359" s="38"/>
      <c r="Q359" s="38"/>
      <c r="R359" s="38"/>
      <c r="S359" s="38"/>
      <c r="T359" s="38"/>
      <c r="U359" s="38"/>
      <c r="V359" s="38"/>
      <c r="W359" s="38"/>
      <c r="X359" s="38"/>
      <c r="Y359" s="38"/>
      <c r="Z359" s="38"/>
      <c r="AA359" s="38"/>
      <c r="AB359" s="38"/>
      <c r="AC359" s="38"/>
      <c r="AD359" s="38"/>
      <c r="AE359" s="38"/>
      <c r="AF359" s="38"/>
      <c r="AG359" s="38"/>
      <c r="AH359" s="38"/>
      <c r="AI359" s="38"/>
      <c r="AJ359" s="38"/>
      <c r="AK359" s="38"/>
      <c r="AL359" s="38"/>
      <c r="AM359" s="38"/>
      <c r="AN359" s="38"/>
      <c r="AO359" s="38"/>
      <c r="AP359" s="38"/>
      <c r="AQ359" s="38"/>
      <c r="AR359" s="38"/>
      <c r="AS359" s="38"/>
    </row>
    <row r="360" spans="1:45" x14ac:dyDescent="0.3">
      <c r="A360" s="38"/>
      <c r="B360" s="38"/>
      <c r="C360" s="38"/>
      <c r="D360" s="38"/>
      <c r="E360" s="38"/>
      <c r="F360" s="38"/>
      <c r="G360" s="38"/>
      <c r="H360" s="38"/>
      <c r="I360" s="38"/>
      <c r="J360" s="38"/>
      <c r="K360" s="38"/>
      <c r="L360" s="38"/>
      <c r="M360" s="38"/>
      <c r="N360" s="38"/>
      <c r="O360" s="38"/>
      <c r="P360" s="38"/>
      <c r="Q360" s="38"/>
      <c r="R360" s="38"/>
      <c r="S360" s="38"/>
      <c r="T360" s="38"/>
      <c r="U360" s="38"/>
      <c r="V360" s="38"/>
      <c r="W360" s="38"/>
      <c r="X360" s="38"/>
      <c r="Y360" s="38"/>
      <c r="Z360" s="38"/>
      <c r="AA360" s="38"/>
      <c r="AB360" s="38"/>
      <c r="AC360" s="38"/>
      <c r="AD360" s="38"/>
      <c r="AE360" s="38"/>
      <c r="AF360" s="38"/>
      <c r="AG360" s="38"/>
      <c r="AH360" s="38"/>
      <c r="AI360" s="38"/>
      <c r="AJ360" s="38"/>
      <c r="AK360" s="38"/>
      <c r="AL360" s="38"/>
      <c r="AM360" s="38"/>
      <c r="AN360" s="38"/>
      <c r="AO360" s="38"/>
      <c r="AP360" s="38"/>
      <c r="AQ360" s="38"/>
      <c r="AR360" s="38"/>
      <c r="AS360" s="38"/>
    </row>
    <row r="361" spans="1:45" x14ac:dyDescent="0.3">
      <c r="A361" s="38"/>
      <c r="J361" s="38"/>
      <c r="K361" s="38"/>
      <c r="L361" s="38"/>
      <c r="M361" s="38"/>
      <c r="N361" s="38"/>
      <c r="O361" s="38"/>
      <c r="P361" s="38"/>
      <c r="Q361" s="38"/>
      <c r="R361" s="38"/>
      <c r="S361" s="38"/>
      <c r="T361" s="38"/>
      <c r="U361" s="38"/>
      <c r="V361" s="38"/>
      <c r="W361" s="38"/>
      <c r="X361" s="38"/>
      <c r="Y361" s="38"/>
      <c r="Z361" s="38"/>
      <c r="AA361" s="38"/>
      <c r="AB361" s="38"/>
      <c r="AC361" s="38"/>
      <c r="AD361" s="38"/>
      <c r="AE361" s="38"/>
      <c r="AF361" s="38"/>
      <c r="AG361" s="38"/>
      <c r="AH361" s="38"/>
      <c r="AI361" s="38"/>
      <c r="AJ361" s="38"/>
      <c r="AK361" s="38"/>
      <c r="AL361" s="38"/>
      <c r="AM361" s="38"/>
      <c r="AN361" s="38"/>
      <c r="AO361" s="38"/>
      <c r="AP361" s="38"/>
      <c r="AQ361" s="38"/>
      <c r="AR361" s="38"/>
      <c r="AS361" s="38"/>
    </row>
    <row r="362" spans="1:45" x14ac:dyDescent="0.3">
      <c r="A362" s="38"/>
      <c r="J362" s="38"/>
      <c r="K362" s="38"/>
      <c r="L362" s="38"/>
      <c r="M362" s="38"/>
      <c r="N362" s="38"/>
      <c r="O362" s="38"/>
      <c r="P362" s="38"/>
      <c r="Q362" s="38"/>
      <c r="R362" s="38"/>
      <c r="S362" s="38"/>
      <c r="T362" s="38"/>
      <c r="U362" s="38"/>
      <c r="V362" s="38"/>
      <c r="W362" s="38"/>
      <c r="X362" s="38"/>
      <c r="Y362" s="38"/>
      <c r="Z362" s="38"/>
      <c r="AA362" s="38"/>
      <c r="AB362" s="38"/>
      <c r="AC362" s="38"/>
      <c r="AD362" s="38"/>
      <c r="AE362" s="38"/>
      <c r="AF362" s="38"/>
      <c r="AG362" s="38"/>
      <c r="AH362" s="38"/>
      <c r="AI362" s="38"/>
      <c r="AJ362" s="38"/>
      <c r="AK362" s="38"/>
      <c r="AL362" s="38"/>
      <c r="AM362" s="38"/>
      <c r="AN362" s="38"/>
      <c r="AO362" s="38"/>
      <c r="AP362" s="38"/>
      <c r="AQ362" s="38"/>
      <c r="AR362" s="38"/>
      <c r="AS362" s="38"/>
    </row>
    <row r="363" spans="1:45" x14ac:dyDescent="0.3">
      <c r="A363" s="38"/>
      <c r="J363" s="38"/>
      <c r="K363" s="38"/>
      <c r="L363" s="38"/>
      <c r="M363" s="38"/>
      <c r="N363" s="38"/>
      <c r="O363" s="38"/>
      <c r="P363" s="38"/>
      <c r="Q363" s="38"/>
      <c r="R363" s="38"/>
      <c r="S363" s="38"/>
      <c r="T363" s="38"/>
      <c r="U363" s="38"/>
      <c r="V363" s="38"/>
      <c r="W363" s="38"/>
      <c r="X363" s="38"/>
      <c r="Y363" s="38"/>
      <c r="Z363" s="38"/>
      <c r="AA363" s="38"/>
      <c r="AB363" s="38"/>
      <c r="AC363" s="38"/>
      <c r="AD363" s="38"/>
      <c r="AE363" s="38"/>
      <c r="AF363" s="38"/>
      <c r="AG363" s="38"/>
      <c r="AH363" s="38"/>
      <c r="AI363" s="38"/>
      <c r="AJ363" s="38"/>
      <c r="AK363" s="38"/>
      <c r="AL363" s="38"/>
      <c r="AM363" s="38"/>
      <c r="AN363" s="38"/>
      <c r="AO363" s="38"/>
      <c r="AP363" s="38"/>
      <c r="AQ363" s="38"/>
      <c r="AR363" s="38"/>
      <c r="AS363" s="38"/>
    </row>
    <row r="364" spans="1:45" x14ac:dyDescent="0.3">
      <c r="A364" s="38"/>
      <c r="J364" s="38"/>
      <c r="K364" s="38"/>
      <c r="L364" s="38"/>
      <c r="M364" s="38"/>
      <c r="N364" s="38"/>
      <c r="O364" s="38"/>
      <c r="P364" s="38"/>
      <c r="Q364" s="38"/>
      <c r="R364" s="38"/>
      <c r="S364" s="38"/>
      <c r="T364" s="38"/>
      <c r="U364" s="38"/>
      <c r="V364" s="38"/>
      <c r="W364" s="38"/>
      <c r="X364" s="38"/>
      <c r="Y364" s="38"/>
      <c r="Z364" s="38"/>
      <c r="AA364" s="38"/>
      <c r="AB364" s="38"/>
      <c r="AC364" s="38"/>
      <c r="AD364" s="38"/>
      <c r="AE364" s="38"/>
      <c r="AF364" s="38"/>
      <c r="AG364" s="38"/>
      <c r="AH364" s="38"/>
      <c r="AI364" s="38"/>
      <c r="AJ364" s="38"/>
      <c r="AK364" s="38"/>
      <c r="AL364" s="38"/>
      <c r="AM364" s="38"/>
      <c r="AN364" s="38"/>
      <c r="AO364" s="38"/>
      <c r="AP364" s="38"/>
      <c r="AQ364" s="38"/>
      <c r="AR364" s="38"/>
      <c r="AS364" s="38"/>
    </row>
    <row r="365" spans="1:45" x14ac:dyDescent="0.3">
      <c r="A365" s="38"/>
      <c r="J365" s="38"/>
      <c r="K365" s="38"/>
      <c r="L365" s="38"/>
      <c r="M365" s="38"/>
      <c r="N365" s="38"/>
      <c r="O365" s="38"/>
      <c r="P365" s="38"/>
      <c r="Q365" s="38"/>
      <c r="R365" s="38"/>
      <c r="S365" s="38"/>
      <c r="T365" s="38"/>
      <c r="U365" s="38"/>
      <c r="V365" s="38"/>
      <c r="W365" s="38"/>
      <c r="X365" s="38"/>
      <c r="Y365" s="38"/>
      <c r="Z365" s="38"/>
      <c r="AA365" s="38"/>
      <c r="AB365" s="38"/>
      <c r="AC365" s="38"/>
      <c r="AD365" s="38"/>
      <c r="AE365" s="38"/>
      <c r="AF365" s="38"/>
      <c r="AG365" s="38"/>
      <c r="AH365" s="38"/>
      <c r="AI365" s="38"/>
      <c r="AJ365" s="38"/>
      <c r="AK365" s="38"/>
      <c r="AL365" s="38"/>
      <c r="AM365" s="38"/>
      <c r="AN365" s="38"/>
      <c r="AO365" s="38"/>
      <c r="AP365" s="38"/>
      <c r="AQ365" s="38"/>
      <c r="AR365" s="38"/>
      <c r="AS365" s="38"/>
    </row>
    <row r="366" spans="1:45" x14ac:dyDescent="0.3">
      <c r="A366" s="38"/>
      <c r="J366" s="38"/>
      <c r="K366" s="38"/>
      <c r="L366" s="38"/>
      <c r="M366" s="38"/>
      <c r="N366" s="38"/>
      <c r="O366" s="38"/>
      <c r="P366" s="38"/>
      <c r="Q366" s="38"/>
      <c r="R366" s="38"/>
      <c r="S366" s="38"/>
      <c r="T366" s="38"/>
      <c r="U366" s="38"/>
      <c r="V366" s="38"/>
      <c r="W366" s="38"/>
      <c r="X366" s="38"/>
      <c r="Y366" s="38"/>
      <c r="Z366" s="38"/>
      <c r="AA366" s="38"/>
      <c r="AB366" s="38"/>
      <c r="AC366" s="38"/>
      <c r="AD366" s="38"/>
      <c r="AE366" s="38"/>
      <c r="AF366" s="38"/>
      <c r="AG366" s="38"/>
      <c r="AH366" s="38"/>
      <c r="AI366" s="38"/>
      <c r="AJ366" s="38"/>
      <c r="AK366" s="38"/>
      <c r="AL366" s="38"/>
      <c r="AM366" s="38"/>
      <c r="AN366" s="38"/>
      <c r="AO366" s="38"/>
      <c r="AP366" s="38"/>
      <c r="AQ366" s="38"/>
      <c r="AR366" s="38"/>
      <c r="AS366" s="38"/>
    </row>
    <row r="367" spans="1:45" x14ac:dyDescent="0.3">
      <c r="A367" s="38"/>
      <c r="J367" s="38"/>
      <c r="K367" s="38"/>
      <c r="L367" s="38"/>
      <c r="M367" s="38"/>
      <c r="N367" s="38"/>
      <c r="O367" s="38"/>
      <c r="P367" s="38"/>
      <c r="Q367" s="38"/>
      <c r="R367" s="38"/>
      <c r="S367" s="38"/>
      <c r="T367" s="38"/>
      <c r="U367" s="38"/>
      <c r="V367" s="38"/>
      <c r="W367" s="38"/>
      <c r="X367" s="38"/>
      <c r="Y367" s="38"/>
      <c r="Z367" s="38"/>
      <c r="AA367" s="38"/>
      <c r="AB367" s="38"/>
      <c r="AC367" s="38"/>
      <c r="AD367" s="38"/>
      <c r="AE367" s="38"/>
      <c r="AF367" s="38"/>
      <c r="AG367" s="38"/>
      <c r="AH367" s="38"/>
      <c r="AI367" s="38"/>
      <c r="AJ367" s="38"/>
      <c r="AK367" s="38"/>
      <c r="AL367" s="38"/>
      <c r="AM367" s="38"/>
      <c r="AN367" s="38"/>
      <c r="AO367" s="38"/>
      <c r="AP367" s="38"/>
      <c r="AQ367" s="38"/>
      <c r="AR367" s="38"/>
      <c r="AS367" s="38"/>
    </row>
    <row r="368" spans="1:45" x14ac:dyDescent="0.3">
      <c r="A368" s="38"/>
      <c r="J368" s="38"/>
      <c r="K368" s="38"/>
      <c r="L368" s="38"/>
      <c r="M368" s="38"/>
      <c r="N368" s="38"/>
      <c r="O368" s="38"/>
      <c r="P368" s="38"/>
      <c r="Q368" s="38"/>
      <c r="R368" s="38"/>
      <c r="S368" s="38"/>
      <c r="T368" s="38"/>
      <c r="U368" s="38"/>
      <c r="V368" s="38"/>
      <c r="W368" s="38"/>
      <c r="X368" s="38"/>
      <c r="Y368" s="38"/>
      <c r="Z368" s="38"/>
      <c r="AA368" s="38"/>
      <c r="AB368" s="38"/>
      <c r="AC368" s="38"/>
      <c r="AD368" s="38"/>
      <c r="AE368" s="38"/>
      <c r="AF368" s="38"/>
      <c r="AG368" s="38"/>
      <c r="AH368" s="38"/>
      <c r="AI368" s="38"/>
      <c r="AJ368" s="38"/>
      <c r="AK368" s="38"/>
      <c r="AL368" s="38"/>
      <c r="AM368" s="38"/>
      <c r="AN368" s="38"/>
      <c r="AO368" s="38"/>
      <c r="AP368" s="38"/>
      <c r="AQ368" s="38"/>
      <c r="AR368" s="38"/>
      <c r="AS368" s="38"/>
    </row>
    <row r="369" spans="1:45" x14ac:dyDescent="0.3">
      <c r="A369" s="38"/>
      <c r="J369" s="38"/>
      <c r="K369" s="38"/>
      <c r="L369" s="38"/>
      <c r="M369" s="38"/>
      <c r="N369" s="38"/>
      <c r="O369" s="38"/>
      <c r="P369" s="38"/>
      <c r="Q369" s="38"/>
      <c r="R369" s="38"/>
      <c r="S369" s="38"/>
      <c r="T369" s="38"/>
      <c r="U369" s="38"/>
      <c r="V369" s="38"/>
      <c r="W369" s="38"/>
      <c r="X369" s="38"/>
      <c r="Y369" s="38"/>
      <c r="Z369" s="38"/>
      <c r="AA369" s="38"/>
      <c r="AB369" s="38"/>
      <c r="AC369" s="38"/>
      <c r="AD369" s="38"/>
      <c r="AE369" s="38"/>
      <c r="AF369" s="38"/>
      <c r="AG369" s="38"/>
      <c r="AH369" s="38"/>
      <c r="AI369" s="38"/>
      <c r="AJ369" s="38"/>
      <c r="AK369" s="38"/>
      <c r="AL369" s="38"/>
      <c r="AM369" s="38"/>
      <c r="AN369" s="38"/>
      <c r="AO369" s="38"/>
      <c r="AP369" s="38"/>
      <c r="AQ369" s="38"/>
      <c r="AR369" s="38"/>
      <c r="AS369" s="38"/>
    </row>
    <row r="370" spans="1:45" x14ac:dyDescent="0.3">
      <c r="A370" s="38"/>
      <c r="J370" s="38"/>
      <c r="K370" s="38"/>
      <c r="L370" s="38"/>
      <c r="M370" s="38"/>
      <c r="N370" s="38"/>
      <c r="O370" s="38"/>
      <c r="P370" s="38"/>
      <c r="Q370" s="38"/>
      <c r="R370" s="38"/>
      <c r="S370" s="38"/>
      <c r="T370" s="38"/>
      <c r="U370" s="38"/>
      <c r="V370" s="38"/>
      <c r="W370" s="38"/>
      <c r="X370" s="38"/>
      <c r="Y370" s="38"/>
      <c r="Z370" s="38"/>
      <c r="AA370" s="38"/>
      <c r="AB370" s="38"/>
      <c r="AC370" s="38"/>
      <c r="AD370" s="38"/>
      <c r="AE370" s="38"/>
      <c r="AF370" s="38"/>
      <c r="AG370" s="38"/>
      <c r="AH370" s="38"/>
      <c r="AI370" s="38"/>
      <c r="AJ370" s="38"/>
      <c r="AK370" s="38"/>
      <c r="AL370" s="38"/>
      <c r="AM370" s="38"/>
      <c r="AN370" s="38"/>
      <c r="AO370" s="38"/>
      <c r="AP370" s="38"/>
      <c r="AQ370" s="38"/>
      <c r="AR370" s="38"/>
      <c r="AS370" s="38"/>
    </row>
    <row r="371" spans="1:45" x14ac:dyDescent="0.3">
      <c r="A371" s="38"/>
      <c r="J371" s="38"/>
      <c r="K371" s="38"/>
      <c r="L371" s="38"/>
      <c r="M371" s="38"/>
      <c r="N371" s="38"/>
      <c r="O371" s="38"/>
      <c r="P371" s="38"/>
      <c r="Q371" s="38"/>
      <c r="R371" s="38"/>
      <c r="S371" s="38"/>
      <c r="T371" s="38"/>
      <c r="U371" s="38"/>
      <c r="V371" s="38"/>
      <c r="W371" s="38"/>
      <c r="X371" s="38"/>
      <c r="Y371" s="38"/>
      <c r="Z371" s="38"/>
      <c r="AA371" s="38"/>
      <c r="AB371" s="38"/>
      <c r="AC371" s="38"/>
      <c r="AD371" s="38"/>
      <c r="AE371" s="38"/>
      <c r="AF371" s="38"/>
      <c r="AG371" s="38"/>
      <c r="AH371" s="38"/>
      <c r="AI371" s="38"/>
      <c r="AJ371" s="38"/>
      <c r="AK371" s="38"/>
      <c r="AL371" s="38"/>
      <c r="AM371" s="38"/>
      <c r="AN371" s="38"/>
      <c r="AO371" s="38"/>
      <c r="AP371" s="38"/>
      <c r="AQ371" s="38"/>
      <c r="AR371" s="38"/>
      <c r="AS371" s="38"/>
    </row>
    <row r="372" spans="1:45" x14ac:dyDescent="0.3">
      <c r="A372" s="38"/>
      <c r="J372" s="38"/>
      <c r="K372" s="38"/>
      <c r="L372" s="38"/>
      <c r="M372" s="38"/>
      <c r="N372" s="38"/>
      <c r="O372" s="38"/>
      <c r="P372" s="38"/>
      <c r="Q372" s="38"/>
      <c r="R372" s="38"/>
      <c r="S372" s="38"/>
      <c r="T372" s="38"/>
      <c r="U372" s="38"/>
      <c r="V372" s="38"/>
      <c r="W372" s="38"/>
      <c r="X372" s="38"/>
      <c r="Y372" s="38"/>
      <c r="Z372" s="38"/>
      <c r="AA372" s="38"/>
      <c r="AB372" s="38"/>
      <c r="AC372" s="38"/>
      <c r="AD372" s="38"/>
      <c r="AE372" s="38"/>
      <c r="AF372" s="38"/>
      <c r="AG372" s="38"/>
      <c r="AH372" s="38"/>
      <c r="AI372" s="38"/>
      <c r="AJ372" s="38"/>
      <c r="AK372" s="38"/>
      <c r="AL372" s="38"/>
      <c r="AM372" s="38"/>
      <c r="AN372" s="38"/>
      <c r="AO372" s="38"/>
      <c r="AP372" s="38"/>
      <c r="AQ372" s="38"/>
      <c r="AR372" s="38"/>
      <c r="AS372" s="38"/>
    </row>
    <row r="373" spans="1:45" x14ac:dyDescent="0.3">
      <c r="A373" s="38"/>
      <c r="J373" s="38"/>
      <c r="K373" s="38"/>
      <c r="L373" s="38"/>
      <c r="M373" s="38"/>
      <c r="N373" s="38"/>
      <c r="O373" s="38"/>
      <c r="P373" s="38"/>
      <c r="Q373" s="38"/>
      <c r="R373" s="38"/>
      <c r="S373" s="38"/>
      <c r="T373" s="38"/>
      <c r="U373" s="38"/>
      <c r="V373" s="38"/>
      <c r="W373" s="38"/>
      <c r="X373" s="38"/>
      <c r="Y373" s="38"/>
      <c r="Z373" s="38"/>
      <c r="AA373" s="38"/>
      <c r="AB373" s="38"/>
      <c r="AC373" s="38"/>
      <c r="AD373" s="38"/>
      <c r="AE373" s="38"/>
      <c r="AF373" s="38"/>
      <c r="AG373" s="38"/>
      <c r="AH373" s="38"/>
      <c r="AI373" s="38"/>
      <c r="AJ373" s="38"/>
      <c r="AK373" s="38"/>
      <c r="AL373" s="38"/>
      <c r="AM373" s="38"/>
      <c r="AN373" s="38"/>
      <c r="AO373" s="38"/>
      <c r="AP373" s="38"/>
      <c r="AQ373" s="38"/>
      <c r="AR373" s="38"/>
      <c r="AS373" s="38"/>
    </row>
    <row r="374" spans="1:45" x14ac:dyDescent="0.3">
      <c r="A374" s="38"/>
      <c r="J374" s="38"/>
      <c r="K374" s="38"/>
      <c r="L374" s="38"/>
      <c r="M374" s="38"/>
      <c r="N374" s="38"/>
      <c r="O374" s="38"/>
      <c r="P374" s="38"/>
      <c r="Q374" s="38"/>
      <c r="R374" s="38"/>
      <c r="S374" s="38"/>
      <c r="T374" s="38"/>
      <c r="U374" s="38"/>
      <c r="V374" s="38"/>
      <c r="W374" s="38"/>
      <c r="X374" s="38"/>
      <c r="Y374" s="38"/>
      <c r="Z374" s="38"/>
      <c r="AA374" s="38"/>
      <c r="AB374" s="38"/>
      <c r="AC374" s="38"/>
      <c r="AD374" s="38"/>
      <c r="AE374" s="38"/>
      <c r="AF374" s="38"/>
      <c r="AG374" s="38"/>
      <c r="AH374" s="38"/>
      <c r="AI374" s="38"/>
      <c r="AJ374" s="38"/>
      <c r="AK374" s="38"/>
      <c r="AL374" s="38"/>
      <c r="AM374" s="38"/>
      <c r="AN374" s="38"/>
      <c r="AO374" s="38"/>
      <c r="AP374" s="38"/>
      <c r="AQ374" s="38"/>
      <c r="AR374" s="38"/>
      <c r="AS374" s="38"/>
    </row>
    <row r="375" spans="1:45" x14ac:dyDescent="0.3">
      <c r="A375" s="38"/>
      <c r="J375" s="38"/>
      <c r="K375" s="38"/>
      <c r="L375" s="38"/>
      <c r="M375" s="38"/>
      <c r="N375" s="38"/>
      <c r="O375" s="38"/>
      <c r="P375" s="38"/>
      <c r="Q375" s="38"/>
      <c r="R375" s="38"/>
      <c r="S375" s="38"/>
      <c r="T375" s="38"/>
      <c r="U375" s="38"/>
      <c r="V375" s="38"/>
      <c r="W375" s="38"/>
      <c r="X375" s="38"/>
      <c r="Y375" s="38"/>
      <c r="Z375" s="38"/>
      <c r="AA375" s="38"/>
      <c r="AB375" s="38"/>
      <c r="AC375" s="38"/>
      <c r="AD375" s="38"/>
      <c r="AE375" s="38"/>
      <c r="AF375" s="38"/>
      <c r="AG375" s="38"/>
      <c r="AH375" s="38"/>
      <c r="AI375" s="38"/>
      <c r="AJ375" s="38"/>
      <c r="AK375" s="38"/>
      <c r="AL375" s="38"/>
      <c r="AM375" s="38"/>
      <c r="AN375" s="38"/>
      <c r="AO375" s="38"/>
      <c r="AP375" s="38"/>
      <c r="AQ375" s="38"/>
      <c r="AR375" s="38"/>
      <c r="AS375" s="38"/>
    </row>
    <row r="376" spans="1:45" x14ac:dyDescent="0.3">
      <c r="A376" s="38"/>
      <c r="J376" s="38"/>
      <c r="K376" s="38"/>
      <c r="L376" s="38"/>
      <c r="M376" s="38"/>
      <c r="N376" s="38"/>
      <c r="O376" s="38"/>
      <c r="P376" s="38"/>
      <c r="Q376" s="38"/>
      <c r="R376" s="38"/>
      <c r="S376" s="38"/>
      <c r="T376" s="38"/>
      <c r="U376" s="38"/>
      <c r="V376" s="38"/>
      <c r="W376" s="38"/>
      <c r="X376" s="38"/>
      <c r="Y376" s="38"/>
      <c r="Z376" s="38"/>
      <c r="AA376" s="38"/>
      <c r="AB376" s="38"/>
      <c r="AC376" s="38"/>
      <c r="AD376" s="38"/>
      <c r="AE376" s="38"/>
      <c r="AF376" s="38"/>
      <c r="AG376" s="38"/>
      <c r="AH376" s="38"/>
      <c r="AI376" s="38"/>
      <c r="AJ376" s="38"/>
      <c r="AK376" s="38"/>
      <c r="AL376" s="38"/>
      <c r="AM376" s="38"/>
      <c r="AN376" s="38"/>
      <c r="AO376" s="38"/>
      <c r="AP376" s="38"/>
      <c r="AQ376" s="38"/>
      <c r="AR376" s="38"/>
      <c r="AS376" s="38"/>
    </row>
    <row r="377" spans="1:45" x14ac:dyDescent="0.3">
      <c r="A377" s="38"/>
      <c r="J377" s="38"/>
      <c r="K377" s="38"/>
      <c r="L377" s="38"/>
      <c r="M377" s="38"/>
      <c r="N377" s="38"/>
      <c r="O377" s="38"/>
      <c r="P377" s="38"/>
      <c r="Q377" s="38"/>
      <c r="R377" s="38"/>
      <c r="S377" s="38"/>
      <c r="T377" s="38"/>
      <c r="U377" s="38"/>
      <c r="V377" s="38"/>
      <c r="W377" s="38"/>
      <c r="X377" s="38"/>
      <c r="Y377" s="38"/>
      <c r="Z377" s="38"/>
      <c r="AA377" s="38"/>
      <c r="AB377" s="38"/>
      <c r="AC377" s="38"/>
      <c r="AD377" s="38"/>
      <c r="AE377" s="38"/>
      <c r="AF377" s="38"/>
      <c r="AG377" s="38"/>
      <c r="AH377" s="38"/>
      <c r="AI377" s="38"/>
      <c r="AJ377" s="38"/>
      <c r="AK377" s="38"/>
      <c r="AL377" s="38"/>
      <c r="AM377" s="38"/>
      <c r="AN377" s="38"/>
      <c r="AO377" s="38"/>
      <c r="AP377" s="38"/>
      <c r="AQ377" s="38"/>
      <c r="AR377" s="38"/>
      <c r="AS377" s="38"/>
    </row>
    <row r="378" spans="1:45" x14ac:dyDescent="0.3">
      <c r="A378" s="38"/>
      <c r="J378" s="38"/>
      <c r="K378" s="38"/>
      <c r="L378" s="38"/>
      <c r="M378" s="38"/>
      <c r="N378" s="38"/>
      <c r="O378" s="38"/>
      <c r="P378" s="38"/>
      <c r="Q378" s="38"/>
      <c r="R378" s="38"/>
      <c r="S378" s="38"/>
      <c r="T378" s="38"/>
      <c r="U378" s="38"/>
      <c r="V378" s="38"/>
      <c r="W378" s="38"/>
      <c r="X378" s="38"/>
      <c r="Y378" s="38"/>
      <c r="Z378" s="38"/>
      <c r="AA378" s="38"/>
      <c r="AB378" s="38"/>
      <c r="AC378" s="38"/>
      <c r="AD378" s="38"/>
      <c r="AE378" s="38"/>
      <c r="AF378" s="38"/>
      <c r="AG378" s="38"/>
      <c r="AH378" s="38"/>
      <c r="AI378" s="38"/>
      <c r="AJ378" s="38"/>
      <c r="AK378" s="38"/>
      <c r="AL378" s="38"/>
      <c r="AM378" s="38"/>
      <c r="AN378" s="38"/>
      <c r="AO378" s="38"/>
      <c r="AP378" s="38"/>
      <c r="AQ378" s="38"/>
      <c r="AR378" s="38"/>
      <c r="AS378" s="38"/>
    </row>
    <row r="379" spans="1:45" x14ac:dyDescent="0.3">
      <c r="A379" s="38"/>
      <c r="J379" s="38"/>
      <c r="K379" s="38"/>
      <c r="L379" s="38"/>
      <c r="M379" s="38"/>
      <c r="N379" s="38"/>
      <c r="O379" s="38"/>
      <c r="P379" s="38"/>
      <c r="Q379" s="38"/>
      <c r="R379" s="38"/>
      <c r="S379" s="38"/>
      <c r="T379" s="38"/>
      <c r="U379" s="38"/>
      <c r="V379" s="38"/>
      <c r="W379" s="38"/>
      <c r="X379" s="38"/>
      <c r="Y379" s="38"/>
      <c r="Z379" s="38"/>
      <c r="AA379" s="38"/>
      <c r="AB379" s="38"/>
      <c r="AC379" s="38"/>
      <c r="AD379" s="38"/>
      <c r="AE379" s="38"/>
      <c r="AF379" s="38"/>
      <c r="AG379" s="38"/>
      <c r="AH379" s="38"/>
      <c r="AI379" s="38"/>
      <c r="AJ379" s="38"/>
      <c r="AK379" s="38"/>
      <c r="AL379" s="38"/>
      <c r="AM379" s="38"/>
      <c r="AN379" s="38"/>
      <c r="AO379" s="38"/>
      <c r="AP379" s="38"/>
      <c r="AQ379" s="38"/>
      <c r="AR379" s="38"/>
      <c r="AS379" s="38"/>
    </row>
    <row r="380" spans="1:45" x14ac:dyDescent="0.3">
      <c r="A380" s="38"/>
      <c r="J380" s="38"/>
      <c r="K380" s="38"/>
      <c r="L380" s="38"/>
      <c r="M380" s="38"/>
      <c r="N380" s="38"/>
      <c r="O380" s="38"/>
      <c r="P380" s="38"/>
      <c r="Q380" s="38"/>
      <c r="R380" s="38"/>
      <c r="S380" s="38"/>
      <c r="T380" s="38"/>
      <c r="U380" s="38"/>
      <c r="V380" s="38"/>
      <c r="W380" s="38"/>
      <c r="X380" s="38"/>
      <c r="Y380" s="38"/>
      <c r="Z380" s="38"/>
      <c r="AA380" s="38"/>
      <c r="AB380" s="38"/>
      <c r="AC380" s="38"/>
      <c r="AD380" s="38"/>
      <c r="AE380" s="38"/>
      <c r="AF380" s="38"/>
      <c r="AG380" s="38"/>
      <c r="AH380" s="38"/>
      <c r="AI380" s="38"/>
      <c r="AJ380" s="38"/>
      <c r="AK380" s="38"/>
      <c r="AL380" s="38"/>
      <c r="AM380" s="38"/>
      <c r="AN380" s="38"/>
      <c r="AO380" s="38"/>
      <c r="AP380" s="38"/>
      <c r="AQ380" s="38"/>
      <c r="AR380" s="38"/>
      <c r="AS380" s="38"/>
    </row>
    <row r="381" spans="1:45" x14ac:dyDescent="0.3">
      <c r="A381" s="38"/>
      <c r="J381" s="38"/>
      <c r="K381" s="38"/>
      <c r="L381" s="38"/>
      <c r="M381" s="38"/>
      <c r="N381" s="38"/>
      <c r="O381" s="38"/>
      <c r="P381" s="38"/>
      <c r="Q381" s="38"/>
      <c r="R381" s="38"/>
      <c r="S381" s="38"/>
      <c r="T381" s="38"/>
      <c r="U381" s="38"/>
      <c r="V381" s="38"/>
      <c r="W381" s="38"/>
      <c r="X381" s="38"/>
      <c r="Y381" s="38"/>
      <c r="Z381" s="38"/>
      <c r="AA381" s="38"/>
      <c r="AB381" s="38"/>
      <c r="AC381" s="38"/>
      <c r="AD381" s="38"/>
      <c r="AE381" s="38"/>
      <c r="AF381" s="38"/>
      <c r="AG381" s="38"/>
      <c r="AH381" s="38"/>
      <c r="AI381" s="38"/>
      <c r="AJ381" s="38"/>
      <c r="AK381" s="38"/>
      <c r="AL381" s="38"/>
      <c r="AM381" s="38"/>
      <c r="AN381" s="38"/>
      <c r="AO381" s="38"/>
      <c r="AP381" s="38"/>
      <c r="AQ381" s="38"/>
      <c r="AR381" s="38"/>
      <c r="AS381" s="38"/>
    </row>
    <row r="382" spans="1:45" x14ac:dyDescent="0.3">
      <c r="A382" s="38"/>
      <c r="J382" s="38"/>
      <c r="K382" s="38"/>
      <c r="L382" s="38"/>
      <c r="M382" s="38"/>
      <c r="N382" s="38"/>
      <c r="O382" s="38"/>
      <c r="P382" s="38"/>
      <c r="Q382" s="38"/>
      <c r="R382" s="38"/>
      <c r="S382" s="38"/>
      <c r="T382" s="38"/>
      <c r="U382" s="38"/>
      <c r="V382" s="38"/>
      <c r="W382" s="38"/>
      <c r="X382" s="38"/>
      <c r="Y382" s="38"/>
      <c r="Z382" s="38"/>
      <c r="AA382" s="38"/>
      <c r="AB382" s="38"/>
      <c r="AC382" s="38"/>
      <c r="AD382" s="38"/>
      <c r="AE382" s="38"/>
      <c r="AF382" s="38"/>
      <c r="AG382" s="38"/>
      <c r="AH382" s="38"/>
      <c r="AI382" s="38"/>
      <c r="AJ382" s="38"/>
      <c r="AK382" s="38"/>
      <c r="AL382" s="38"/>
      <c r="AM382" s="38"/>
      <c r="AN382" s="38"/>
      <c r="AO382" s="38"/>
      <c r="AP382" s="38"/>
      <c r="AQ382" s="38"/>
      <c r="AR382" s="38"/>
      <c r="AS382" s="38"/>
    </row>
    <row r="383" spans="1:45" x14ac:dyDescent="0.3">
      <c r="A383" s="38"/>
      <c r="J383" s="38"/>
      <c r="K383" s="38"/>
      <c r="L383" s="38"/>
      <c r="M383" s="38"/>
      <c r="N383" s="38"/>
      <c r="O383" s="38"/>
      <c r="P383" s="38"/>
      <c r="Q383" s="38"/>
      <c r="R383" s="38"/>
      <c r="S383" s="38"/>
      <c r="T383" s="38"/>
      <c r="U383" s="38"/>
      <c r="V383" s="38"/>
      <c r="W383" s="38"/>
      <c r="X383" s="38"/>
      <c r="Y383" s="38"/>
      <c r="Z383" s="38"/>
      <c r="AA383" s="38"/>
      <c r="AB383" s="38"/>
      <c r="AC383" s="38"/>
      <c r="AD383" s="38"/>
      <c r="AE383" s="38"/>
      <c r="AF383" s="38"/>
      <c r="AG383" s="38"/>
      <c r="AH383" s="38"/>
      <c r="AI383" s="38"/>
      <c r="AJ383" s="38"/>
      <c r="AK383" s="38"/>
      <c r="AL383" s="38"/>
      <c r="AM383" s="38"/>
      <c r="AN383" s="38"/>
      <c r="AO383" s="38"/>
      <c r="AP383" s="38"/>
      <c r="AQ383" s="38"/>
      <c r="AR383" s="38"/>
      <c r="AS383" s="38"/>
    </row>
    <row r="384" spans="1:45" x14ac:dyDescent="0.3">
      <c r="A384" s="38"/>
      <c r="J384" s="38"/>
      <c r="K384" s="38"/>
      <c r="L384" s="38"/>
      <c r="M384" s="38"/>
      <c r="N384" s="38"/>
      <c r="O384" s="38"/>
      <c r="P384" s="38"/>
      <c r="Q384" s="38"/>
      <c r="R384" s="38"/>
      <c r="S384" s="38"/>
      <c r="T384" s="38"/>
      <c r="U384" s="38"/>
      <c r="V384" s="38"/>
      <c r="W384" s="38"/>
      <c r="X384" s="38"/>
      <c r="Y384" s="38"/>
      <c r="Z384" s="38"/>
      <c r="AA384" s="38"/>
      <c r="AB384" s="38"/>
      <c r="AC384" s="38"/>
      <c r="AD384" s="38"/>
      <c r="AE384" s="38"/>
      <c r="AF384" s="38"/>
      <c r="AG384" s="38"/>
      <c r="AH384" s="38"/>
      <c r="AI384" s="38"/>
      <c r="AJ384" s="38"/>
      <c r="AK384" s="38"/>
      <c r="AL384" s="38"/>
      <c r="AM384" s="38"/>
      <c r="AN384" s="38"/>
      <c r="AO384" s="38"/>
      <c r="AP384" s="38"/>
      <c r="AQ384" s="38"/>
      <c r="AR384" s="38"/>
      <c r="AS384" s="38"/>
    </row>
    <row r="385" spans="1:45" x14ac:dyDescent="0.3">
      <c r="A385" s="38"/>
      <c r="J385" s="38"/>
      <c r="K385" s="38"/>
      <c r="L385" s="38"/>
      <c r="M385" s="38"/>
      <c r="N385" s="38"/>
      <c r="O385" s="38"/>
      <c r="P385" s="38"/>
      <c r="Q385" s="38"/>
      <c r="R385" s="38"/>
      <c r="S385" s="38"/>
      <c r="T385" s="38"/>
      <c r="U385" s="38"/>
      <c r="V385" s="38"/>
      <c r="W385" s="38"/>
      <c r="X385" s="38"/>
      <c r="Y385" s="38"/>
      <c r="Z385" s="38"/>
      <c r="AA385" s="38"/>
      <c r="AB385" s="38"/>
      <c r="AC385" s="38"/>
      <c r="AD385" s="38"/>
      <c r="AE385" s="38"/>
      <c r="AF385" s="38"/>
      <c r="AG385" s="38"/>
      <c r="AH385" s="38"/>
      <c r="AI385" s="38"/>
      <c r="AJ385" s="38"/>
      <c r="AK385" s="38"/>
      <c r="AL385" s="38"/>
      <c r="AM385" s="38"/>
      <c r="AN385" s="38"/>
      <c r="AO385" s="38"/>
      <c r="AP385" s="38"/>
      <c r="AQ385" s="38"/>
      <c r="AR385" s="38"/>
      <c r="AS385" s="38"/>
    </row>
    <row r="386" spans="1:45" x14ac:dyDescent="0.3">
      <c r="A386" s="38"/>
      <c r="J386" s="38"/>
      <c r="K386" s="38"/>
      <c r="L386" s="38"/>
      <c r="M386" s="38"/>
      <c r="N386" s="38"/>
      <c r="O386" s="38"/>
      <c r="P386" s="38"/>
      <c r="Q386" s="38"/>
      <c r="R386" s="38"/>
      <c r="S386" s="38"/>
      <c r="T386" s="38"/>
      <c r="U386" s="38"/>
      <c r="V386" s="38"/>
      <c r="W386" s="38"/>
      <c r="X386" s="38"/>
      <c r="Y386" s="38"/>
      <c r="Z386" s="38"/>
      <c r="AA386" s="38"/>
      <c r="AB386" s="38"/>
      <c r="AC386" s="38"/>
      <c r="AD386" s="38"/>
      <c r="AE386" s="38"/>
      <c r="AF386" s="38"/>
      <c r="AG386" s="38"/>
      <c r="AH386" s="38"/>
      <c r="AI386" s="38"/>
      <c r="AJ386" s="38"/>
      <c r="AK386" s="38"/>
      <c r="AL386" s="38"/>
      <c r="AM386" s="38"/>
      <c r="AN386" s="38"/>
      <c r="AO386" s="38"/>
      <c r="AP386" s="38"/>
      <c r="AQ386" s="38"/>
      <c r="AR386" s="38"/>
      <c r="AS386" s="38"/>
    </row>
    <row r="387" spans="1:45" x14ac:dyDescent="0.3">
      <c r="A387" s="38"/>
      <c r="J387" s="38"/>
      <c r="K387" s="38"/>
      <c r="L387" s="38"/>
      <c r="M387" s="38"/>
      <c r="N387" s="38"/>
      <c r="O387" s="38"/>
      <c r="P387" s="38"/>
      <c r="Q387" s="38"/>
      <c r="R387" s="38"/>
      <c r="S387" s="38"/>
      <c r="T387" s="38"/>
      <c r="U387" s="38"/>
      <c r="V387" s="38"/>
      <c r="W387" s="38"/>
      <c r="X387" s="38"/>
      <c r="Y387" s="38"/>
      <c r="Z387" s="38"/>
      <c r="AA387" s="38"/>
      <c r="AB387" s="38"/>
      <c r="AC387" s="38"/>
      <c r="AD387" s="38"/>
      <c r="AE387" s="38"/>
      <c r="AF387" s="38"/>
      <c r="AG387" s="38"/>
      <c r="AH387" s="38"/>
      <c r="AI387" s="38"/>
      <c r="AJ387" s="38"/>
      <c r="AK387" s="38"/>
      <c r="AL387" s="38"/>
      <c r="AM387" s="38"/>
      <c r="AN387" s="38"/>
      <c r="AO387" s="38"/>
      <c r="AP387" s="38"/>
      <c r="AQ387" s="38"/>
      <c r="AR387" s="38"/>
      <c r="AS387" s="38"/>
    </row>
    <row r="388" spans="1:45" x14ac:dyDescent="0.3">
      <c r="A388" s="38"/>
      <c r="J388" s="38"/>
      <c r="K388" s="38"/>
      <c r="L388" s="38"/>
      <c r="M388" s="38"/>
      <c r="N388" s="38"/>
      <c r="O388" s="38"/>
      <c r="P388" s="38"/>
      <c r="Q388" s="38"/>
      <c r="R388" s="38"/>
      <c r="S388" s="38"/>
      <c r="T388" s="38"/>
      <c r="U388" s="38"/>
      <c r="V388" s="38"/>
      <c r="W388" s="38"/>
      <c r="X388" s="38"/>
      <c r="Y388" s="38"/>
      <c r="Z388" s="38"/>
      <c r="AA388" s="38"/>
      <c r="AB388" s="38"/>
      <c r="AC388" s="38"/>
      <c r="AD388" s="38"/>
      <c r="AE388" s="38"/>
      <c r="AF388" s="38"/>
      <c r="AG388" s="38"/>
      <c r="AH388" s="38"/>
      <c r="AI388" s="38"/>
      <c r="AJ388" s="38"/>
      <c r="AK388" s="38"/>
      <c r="AL388" s="38"/>
      <c r="AM388" s="38"/>
      <c r="AN388" s="38"/>
      <c r="AO388" s="38"/>
      <c r="AP388" s="38"/>
      <c r="AQ388" s="38"/>
      <c r="AR388" s="38"/>
      <c r="AS388" s="38"/>
    </row>
    <row r="389" spans="1:45" x14ac:dyDescent="0.3">
      <c r="A389" s="38"/>
      <c r="J389" s="38"/>
      <c r="K389" s="38"/>
      <c r="L389" s="38"/>
      <c r="M389" s="38"/>
      <c r="N389" s="38"/>
      <c r="O389" s="38"/>
      <c r="P389" s="38"/>
      <c r="Q389" s="38"/>
      <c r="R389" s="38"/>
      <c r="S389" s="38"/>
      <c r="T389" s="38"/>
      <c r="U389" s="38"/>
      <c r="V389" s="38"/>
      <c r="W389" s="38"/>
      <c r="X389" s="38"/>
      <c r="Y389" s="38"/>
      <c r="Z389" s="38"/>
      <c r="AA389" s="38"/>
      <c r="AB389" s="38"/>
      <c r="AC389" s="38"/>
      <c r="AD389" s="38"/>
      <c r="AE389" s="38"/>
      <c r="AF389" s="38"/>
      <c r="AG389" s="38"/>
      <c r="AH389" s="38"/>
      <c r="AI389" s="38"/>
      <c r="AJ389" s="38"/>
      <c r="AK389" s="38"/>
      <c r="AL389" s="38"/>
      <c r="AM389" s="38"/>
      <c r="AN389" s="38"/>
      <c r="AO389" s="38"/>
      <c r="AP389" s="38"/>
      <c r="AQ389" s="38"/>
      <c r="AR389" s="38"/>
      <c r="AS389" s="38"/>
    </row>
    <row r="390" spans="1:45" x14ac:dyDescent="0.3">
      <c r="A390" s="38"/>
      <c r="J390" s="38"/>
      <c r="K390" s="38"/>
      <c r="L390" s="38"/>
      <c r="M390" s="38"/>
      <c r="N390" s="38"/>
      <c r="O390" s="38"/>
      <c r="P390" s="38"/>
      <c r="Q390" s="38"/>
      <c r="R390" s="38"/>
      <c r="S390" s="38"/>
      <c r="T390" s="38"/>
      <c r="U390" s="38"/>
      <c r="V390" s="38"/>
      <c r="W390" s="38"/>
      <c r="X390" s="38"/>
      <c r="Y390" s="38"/>
      <c r="Z390" s="38"/>
      <c r="AA390" s="38"/>
      <c r="AB390" s="38"/>
      <c r="AC390" s="38"/>
      <c r="AD390" s="38"/>
      <c r="AE390" s="38"/>
      <c r="AF390" s="38"/>
      <c r="AG390" s="38"/>
      <c r="AH390" s="38"/>
      <c r="AI390" s="38"/>
      <c r="AJ390" s="38"/>
      <c r="AK390" s="38"/>
      <c r="AL390" s="38"/>
      <c r="AM390" s="38"/>
      <c r="AN390" s="38"/>
      <c r="AO390" s="38"/>
      <c r="AP390" s="38"/>
      <c r="AQ390" s="38"/>
      <c r="AR390" s="38"/>
      <c r="AS390" s="38"/>
    </row>
    <row r="391" spans="1:45" x14ac:dyDescent="0.3">
      <c r="A391" s="38"/>
      <c r="J391" s="38"/>
      <c r="K391" s="38"/>
      <c r="L391" s="38"/>
      <c r="M391" s="38"/>
      <c r="N391" s="38"/>
      <c r="O391" s="38"/>
      <c r="P391" s="38"/>
      <c r="Q391" s="38"/>
      <c r="R391" s="38"/>
      <c r="S391" s="38"/>
      <c r="T391" s="38"/>
      <c r="U391" s="38"/>
      <c r="V391" s="38"/>
      <c r="W391" s="38"/>
      <c r="X391" s="38"/>
      <c r="Y391" s="38"/>
      <c r="Z391" s="38"/>
      <c r="AA391" s="38"/>
      <c r="AB391" s="38"/>
      <c r="AC391" s="38"/>
      <c r="AD391" s="38"/>
      <c r="AE391" s="38"/>
      <c r="AF391" s="38"/>
      <c r="AG391" s="38"/>
      <c r="AH391" s="38"/>
      <c r="AI391" s="38"/>
      <c r="AJ391" s="38"/>
      <c r="AK391" s="38"/>
      <c r="AL391" s="38"/>
      <c r="AM391" s="38"/>
      <c r="AN391" s="38"/>
      <c r="AO391" s="38"/>
      <c r="AP391" s="38"/>
      <c r="AQ391" s="38"/>
      <c r="AR391" s="38"/>
      <c r="AS391" s="38"/>
    </row>
    <row r="392" spans="1:45" x14ac:dyDescent="0.3">
      <c r="A392" s="38"/>
      <c r="J392" s="38"/>
      <c r="K392" s="38"/>
      <c r="L392" s="38"/>
      <c r="M392" s="38"/>
      <c r="N392" s="38"/>
      <c r="O392" s="38"/>
      <c r="P392" s="38"/>
      <c r="Q392" s="38"/>
      <c r="R392" s="38"/>
      <c r="S392" s="38"/>
      <c r="T392" s="38"/>
      <c r="U392" s="38"/>
      <c r="V392" s="38"/>
      <c r="W392" s="38"/>
      <c r="X392" s="38"/>
      <c r="Y392" s="38"/>
      <c r="Z392" s="38"/>
      <c r="AA392" s="38"/>
      <c r="AB392" s="38"/>
      <c r="AC392" s="38"/>
      <c r="AD392" s="38"/>
      <c r="AE392" s="38"/>
      <c r="AF392" s="38"/>
      <c r="AG392" s="38"/>
      <c r="AH392" s="38"/>
      <c r="AI392" s="38"/>
      <c r="AJ392" s="38"/>
      <c r="AK392" s="38"/>
      <c r="AL392" s="38"/>
      <c r="AM392" s="38"/>
      <c r="AN392" s="38"/>
      <c r="AO392" s="38"/>
      <c r="AP392" s="38"/>
      <c r="AQ392" s="38"/>
      <c r="AR392" s="38"/>
      <c r="AS392" s="38"/>
    </row>
    <row r="393" spans="1:45" x14ac:dyDescent="0.3">
      <c r="A393" s="38"/>
      <c r="J393" s="38"/>
      <c r="K393" s="38"/>
      <c r="L393" s="38"/>
      <c r="M393" s="38"/>
      <c r="N393" s="38"/>
      <c r="O393" s="38"/>
      <c r="P393" s="38"/>
      <c r="Q393" s="38"/>
      <c r="R393" s="38"/>
      <c r="S393" s="38"/>
      <c r="T393" s="38"/>
      <c r="U393" s="38"/>
      <c r="V393" s="38"/>
      <c r="W393" s="38"/>
      <c r="X393" s="38"/>
      <c r="Y393" s="38"/>
      <c r="Z393" s="38"/>
      <c r="AA393" s="38"/>
      <c r="AB393" s="38"/>
      <c r="AC393" s="38"/>
      <c r="AD393" s="38"/>
      <c r="AE393" s="38"/>
      <c r="AF393" s="38"/>
      <c r="AG393" s="38"/>
      <c r="AH393" s="38"/>
      <c r="AI393" s="38"/>
      <c r="AJ393" s="38"/>
      <c r="AK393" s="38"/>
      <c r="AL393" s="38"/>
      <c r="AM393" s="38"/>
      <c r="AN393" s="38"/>
      <c r="AO393" s="38"/>
      <c r="AP393" s="38"/>
      <c r="AQ393" s="38"/>
      <c r="AR393" s="38"/>
      <c r="AS393" s="38"/>
    </row>
    <row r="394" spans="1:45" x14ac:dyDescent="0.3">
      <c r="A394" s="38"/>
      <c r="J394" s="38"/>
      <c r="K394" s="38"/>
      <c r="L394" s="38"/>
      <c r="M394" s="38"/>
      <c r="N394" s="38"/>
      <c r="O394" s="38"/>
      <c r="P394" s="38"/>
      <c r="Q394" s="38"/>
      <c r="R394" s="38"/>
      <c r="S394" s="38"/>
      <c r="T394" s="38"/>
      <c r="U394" s="38"/>
      <c r="V394" s="38"/>
      <c r="W394" s="38"/>
      <c r="X394" s="38"/>
      <c r="Y394" s="38"/>
      <c r="Z394" s="38"/>
      <c r="AA394" s="38"/>
      <c r="AB394" s="38"/>
      <c r="AC394" s="38"/>
      <c r="AD394" s="38"/>
      <c r="AE394" s="38"/>
      <c r="AF394" s="38"/>
      <c r="AG394" s="38"/>
      <c r="AH394" s="38"/>
      <c r="AI394" s="38"/>
      <c r="AJ394" s="38"/>
      <c r="AK394" s="38"/>
      <c r="AL394" s="38"/>
      <c r="AM394" s="38"/>
      <c r="AN394" s="38"/>
      <c r="AO394" s="38"/>
      <c r="AP394" s="38"/>
      <c r="AQ394" s="38"/>
      <c r="AR394" s="38"/>
      <c r="AS394" s="38"/>
    </row>
    <row r="395" spans="1:45" x14ac:dyDescent="0.3">
      <c r="A395" s="38"/>
      <c r="J395" s="38"/>
      <c r="K395" s="38"/>
      <c r="L395" s="38"/>
      <c r="M395" s="38"/>
      <c r="N395" s="38"/>
      <c r="O395" s="38"/>
      <c r="P395" s="38"/>
      <c r="Q395" s="38"/>
      <c r="R395" s="38"/>
      <c r="S395" s="38"/>
      <c r="T395" s="38"/>
      <c r="U395" s="38"/>
      <c r="V395" s="38"/>
      <c r="W395" s="38"/>
      <c r="X395" s="38"/>
      <c r="Y395" s="38"/>
      <c r="Z395" s="38"/>
      <c r="AA395" s="38"/>
      <c r="AB395" s="38"/>
      <c r="AC395" s="38"/>
      <c r="AD395" s="38"/>
      <c r="AE395" s="38"/>
      <c r="AF395" s="38"/>
      <c r="AG395" s="38"/>
      <c r="AH395" s="38"/>
      <c r="AI395" s="38"/>
      <c r="AJ395" s="38"/>
      <c r="AK395" s="38"/>
      <c r="AL395" s="38"/>
      <c r="AM395" s="38"/>
      <c r="AN395" s="38"/>
      <c r="AO395" s="38"/>
      <c r="AP395" s="38"/>
      <c r="AQ395" s="38"/>
      <c r="AR395" s="38"/>
      <c r="AS395" s="38"/>
    </row>
    <row r="396" spans="1:45" x14ac:dyDescent="0.3">
      <c r="A396" s="38"/>
      <c r="J396" s="38"/>
      <c r="K396" s="38"/>
      <c r="L396" s="38"/>
      <c r="M396" s="38"/>
      <c r="N396" s="38"/>
      <c r="O396" s="38"/>
      <c r="P396" s="38"/>
      <c r="Q396" s="38"/>
      <c r="R396" s="38"/>
      <c r="S396" s="38"/>
      <c r="T396" s="38"/>
      <c r="U396" s="38"/>
      <c r="V396" s="38"/>
      <c r="W396" s="38"/>
      <c r="X396" s="38"/>
      <c r="Y396" s="38"/>
      <c r="Z396" s="38"/>
      <c r="AA396" s="38"/>
      <c r="AB396" s="38"/>
      <c r="AC396" s="38"/>
      <c r="AD396" s="38"/>
      <c r="AE396" s="38"/>
      <c r="AF396" s="38"/>
      <c r="AG396" s="38"/>
      <c r="AH396" s="38"/>
      <c r="AI396" s="38"/>
      <c r="AJ396" s="38"/>
      <c r="AK396" s="38"/>
      <c r="AL396" s="38"/>
      <c r="AM396" s="38"/>
      <c r="AN396" s="38"/>
      <c r="AO396" s="38"/>
      <c r="AP396" s="38"/>
      <c r="AQ396" s="38"/>
      <c r="AR396" s="38"/>
      <c r="AS396" s="38"/>
    </row>
    <row r="397" spans="1:45" x14ac:dyDescent="0.3">
      <c r="A397" s="38"/>
      <c r="J397" s="38"/>
      <c r="K397" s="38"/>
      <c r="L397" s="38"/>
      <c r="M397" s="38"/>
      <c r="N397" s="38"/>
      <c r="O397" s="38"/>
      <c r="P397" s="38"/>
      <c r="Q397" s="38"/>
      <c r="R397" s="38"/>
      <c r="S397" s="38"/>
      <c r="T397" s="38"/>
      <c r="U397" s="38"/>
      <c r="V397" s="38"/>
      <c r="W397" s="38"/>
      <c r="X397" s="38"/>
      <c r="Y397" s="38"/>
      <c r="Z397" s="38"/>
      <c r="AA397" s="38"/>
      <c r="AB397" s="38"/>
      <c r="AC397" s="38"/>
      <c r="AD397" s="38"/>
      <c r="AE397" s="38"/>
      <c r="AF397" s="38"/>
      <c r="AG397" s="38"/>
      <c r="AH397" s="38"/>
      <c r="AI397" s="38"/>
      <c r="AJ397" s="38"/>
      <c r="AK397" s="38"/>
      <c r="AL397" s="38"/>
      <c r="AM397" s="38"/>
      <c r="AN397" s="38"/>
      <c r="AO397" s="38"/>
      <c r="AP397" s="38"/>
      <c r="AQ397" s="38"/>
      <c r="AR397" s="38"/>
      <c r="AS397" s="38"/>
    </row>
    <row r="398" spans="1:45" x14ac:dyDescent="0.3">
      <c r="A398" s="38"/>
      <c r="J398" s="38"/>
      <c r="K398" s="38"/>
      <c r="L398" s="38"/>
      <c r="M398" s="38"/>
      <c r="N398" s="38"/>
      <c r="O398" s="38"/>
      <c r="P398" s="38"/>
      <c r="Q398" s="38"/>
      <c r="R398" s="38"/>
      <c r="S398" s="38"/>
      <c r="T398" s="38"/>
      <c r="U398" s="38"/>
      <c r="V398" s="38"/>
      <c r="W398" s="38"/>
      <c r="X398" s="38"/>
      <c r="Y398" s="38"/>
      <c r="Z398" s="38"/>
      <c r="AA398" s="38"/>
      <c r="AB398" s="38"/>
      <c r="AC398" s="38"/>
      <c r="AD398" s="38"/>
      <c r="AE398" s="38"/>
      <c r="AF398" s="38"/>
      <c r="AG398" s="38"/>
      <c r="AH398" s="38"/>
      <c r="AI398" s="38"/>
      <c r="AJ398" s="38"/>
      <c r="AK398" s="38"/>
      <c r="AL398" s="38"/>
      <c r="AM398" s="38"/>
      <c r="AN398" s="38"/>
      <c r="AO398" s="38"/>
      <c r="AP398" s="38"/>
      <c r="AQ398" s="38"/>
      <c r="AR398" s="38"/>
      <c r="AS398" s="38"/>
    </row>
    <row r="399" spans="1:45" x14ac:dyDescent="0.3">
      <c r="A399" s="38"/>
      <c r="J399" s="38"/>
      <c r="K399" s="38"/>
      <c r="L399" s="38"/>
      <c r="M399" s="38"/>
      <c r="N399" s="38"/>
      <c r="O399" s="38"/>
      <c r="P399" s="38"/>
      <c r="Q399" s="38"/>
      <c r="R399" s="38"/>
      <c r="S399" s="38"/>
      <c r="T399" s="38"/>
      <c r="U399" s="38"/>
      <c r="V399" s="38"/>
      <c r="W399" s="38"/>
      <c r="X399" s="38"/>
      <c r="Y399" s="38"/>
      <c r="Z399" s="38"/>
      <c r="AA399" s="38"/>
      <c r="AB399" s="38"/>
      <c r="AC399" s="38"/>
      <c r="AD399" s="38"/>
      <c r="AE399" s="38"/>
      <c r="AF399" s="38"/>
      <c r="AG399" s="38"/>
      <c r="AH399" s="38"/>
      <c r="AI399" s="38"/>
      <c r="AJ399" s="38"/>
      <c r="AK399" s="38"/>
      <c r="AL399" s="38"/>
      <c r="AM399" s="38"/>
      <c r="AN399" s="38"/>
      <c r="AO399" s="38"/>
      <c r="AP399" s="38"/>
      <c r="AQ399" s="38"/>
      <c r="AR399" s="38"/>
      <c r="AS399" s="38"/>
    </row>
    <row r="400" spans="1:45" x14ac:dyDescent="0.3">
      <c r="A400" s="38"/>
      <c r="J400" s="38"/>
      <c r="K400" s="38"/>
      <c r="L400" s="38"/>
      <c r="M400" s="38"/>
      <c r="N400" s="38"/>
      <c r="O400" s="38"/>
      <c r="P400" s="38"/>
      <c r="Q400" s="38"/>
      <c r="R400" s="38"/>
      <c r="S400" s="38"/>
      <c r="T400" s="38"/>
      <c r="U400" s="38"/>
      <c r="V400" s="38"/>
      <c r="W400" s="38"/>
      <c r="X400" s="38"/>
      <c r="Y400" s="38"/>
      <c r="Z400" s="38"/>
      <c r="AA400" s="38"/>
      <c r="AB400" s="38"/>
      <c r="AC400" s="38"/>
      <c r="AD400" s="38"/>
      <c r="AE400" s="38"/>
      <c r="AF400" s="38"/>
      <c r="AG400" s="38"/>
      <c r="AH400" s="38"/>
      <c r="AI400" s="38"/>
      <c r="AJ400" s="38"/>
      <c r="AK400" s="38"/>
      <c r="AL400" s="38"/>
      <c r="AM400" s="38"/>
      <c r="AN400" s="38"/>
      <c r="AO400" s="38"/>
      <c r="AP400" s="38"/>
      <c r="AQ400" s="38"/>
      <c r="AR400" s="38"/>
      <c r="AS400" s="38"/>
    </row>
    <row r="401" spans="1:45" x14ac:dyDescent="0.3">
      <c r="A401" s="38"/>
      <c r="J401" s="38"/>
      <c r="K401" s="38"/>
      <c r="L401" s="38"/>
      <c r="M401" s="38"/>
      <c r="N401" s="38"/>
      <c r="O401" s="38"/>
      <c r="P401" s="38"/>
      <c r="Q401" s="38"/>
      <c r="R401" s="38"/>
      <c r="S401" s="38"/>
      <c r="T401" s="38"/>
      <c r="U401" s="38"/>
      <c r="V401" s="38"/>
      <c r="W401" s="38"/>
      <c r="X401" s="38"/>
      <c r="Y401" s="38"/>
      <c r="Z401" s="38"/>
      <c r="AA401" s="38"/>
      <c r="AB401" s="38"/>
      <c r="AC401" s="38"/>
      <c r="AD401" s="38"/>
      <c r="AE401" s="38"/>
      <c r="AF401" s="38"/>
      <c r="AG401" s="38"/>
      <c r="AH401" s="38"/>
      <c r="AI401" s="38"/>
      <c r="AJ401" s="38"/>
      <c r="AK401" s="38"/>
      <c r="AL401" s="38"/>
      <c r="AM401" s="38"/>
      <c r="AN401" s="38"/>
      <c r="AO401" s="38"/>
      <c r="AP401" s="38"/>
      <c r="AQ401" s="38"/>
      <c r="AR401" s="38"/>
      <c r="AS401" s="38"/>
    </row>
    <row r="402" spans="1:45" x14ac:dyDescent="0.3">
      <c r="A402" s="38"/>
      <c r="J402" s="38"/>
      <c r="K402" s="38"/>
      <c r="L402" s="38"/>
      <c r="M402" s="38"/>
      <c r="N402" s="38"/>
      <c r="O402" s="38"/>
      <c r="P402" s="38"/>
      <c r="Q402" s="38"/>
      <c r="R402" s="38"/>
      <c r="S402" s="38"/>
      <c r="T402" s="38"/>
      <c r="U402" s="38"/>
      <c r="V402" s="38"/>
      <c r="W402" s="38"/>
      <c r="X402" s="38"/>
      <c r="Y402" s="38"/>
      <c r="Z402" s="38"/>
      <c r="AA402" s="38"/>
      <c r="AB402" s="38"/>
      <c r="AC402" s="38"/>
      <c r="AD402" s="38"/>
      <c r="AE402" s="38"/>
      <c r="AF402" s="38"/>
      <c r="AG402" s="38"/>
      <c r="AH402" s="38"/>
      <c r="AI402" s="38"/>
      <c r="AJ402" s="38"/>
      <c r="AK402" s="38"/>
      <c r="AL402" s="38"/>
      <c r="AM402" s="38"/>
      <c r="AN402" s="38"/>
      <c r="AO402" s="38"/>
      <c r="AP402" s="38"/>
      <c r="AQ402" s="38"/>
      <c r="AR402" s="38"/>
      <c r="AS402" s="38"/>
    </row>
    <row r="403" spans="1:45" x14ac:dyDescent="0.3">
      <c r="A403" s="38"/>
      <c r="J403" s="38"/>
      <c r="K403" s="38"/>
      <c r="L403" s="38"/>
      <c r="M403" s="38"/>
      <c r="N403" s="38"/>
      <c r="O403" s="38"/>
      <c r="P403" s="38"/>
      <c r="Q403" s="38"/>
      <c r="R403" s="38"/>
      <c r="S403" s="38"/>
      <c r="T403" s="38"/>
      <c r="U403" s="38"/>
      <c r="V403" s="38"/>
      <c r="W403" s="38"/>
      <c r="X403" s="38"/>
      <c r="Y403" s="38"/>
      <c r="Z403" s="38"/>
      <c r="AA403" s="38"/>
      <c r="AB403" s="38"/>
      <c r="AC403" s="38"/>
      <c r="AD403" s="38"/>
      <c r="AE403" s="38"/>
      <c r="AF403" s="38"/>
      <c r="AG403" s="38"/>
      <c r="AH403" s="38"/>
      <c r="AI403" s="38"/>
      <c r="AJ403" s="38"/>
      <c r="AK403" s="38"/>
      <c r="AL403" s="38"/>
      <c r="AM403" s="38"/>
      <c r="AN403" s="38"/>
      <c r="AO403" s="38"/>
      <c r="AP403" s="38"/>
      <c r="AQ403" s="38"/>
      <c r="AR403" s="38"/>
      <c r="AS403" s="38"/>
    </row>
    <row r="404" spans="1:45" x14ac:dyDescent="0.3">
      <c r="A404" s="38"/>
      <c r="J404" s="38"/>
      <c r="K404" s="38"/>
      <c r="L404" s="38"/>
      <c r="M404" s="38"/>
      <c r="N404" s="38"/>
      <c r="O404" s="38"/>
      <c r="P404" s="38"/>
      <c r="Q404" s="38"/>
      <c r="R404" s="38"/>
      <c r="S404" s="38"/>
      <c r="T404" s="38"/>
      <c r="U404" s="38"/>
      <c r="V404" s="38"/>
      <c r="W404" s="38"/>
      <c r="X404" s="38"/>
      <c r="Y404" s="38"/>
      <c r="Z404" s="38"/>
      <c r="AA404" s="38"/>
      <c r="AB404" s="38"/>
      <c r="AC404" s="38"/>
      <c r="AD404" s="38"/>
      <c r="AE404" s="38"/>
      <c r="AF404" s="38"/>
      <c r="AG404" s="38"/>
      <c r="AH404" s="38"/>
      <c r="AI404" s="38"/>
      <c r="AJ404" s="38"/>
      <c r="AK404" s="38"/>
      <c r="AL404" s="38"/>
      <c r="AM404" s="38"/>
      <c r="AN404" s="38"/>
      <c r="AO404" s="38"/>
      <c r="AP404" s="38"/>
      <c r="AQ404" s="38"/>
      <c r="AR404" s="38"/>
      <c r="AS404" s="38"/>
    </row>
    <row r="405" spans="1:45" x14ac:dyDescent="0.3">
      <c r="A405" s="38"/>
      <c r="J405" s="38"/>
      <c r="K405" s="38"/>
      <c r="L405" s="38"/>
      <c r="M405" s="38"/>
      <c r="N405" s="38"/>
      <c r="O405" s="38"/>
      <c r="P405" s="38"/>
      <c r="Q405" s="38"/>
      <c r="R405" s="38"/>
      <c r="S405" s="38"/>
      <c r="T405" s="38"/>
      <c r="U405" s="38"/>
      <c r="V405" s="38"/>
      <c r="W405" s="38"/>
      <c r="X405" s="38"/>
      <c r="Y405" s="38"/>
      <c r="Z405" s="38"/>
      <c r="AA405" s="38"/>
      <c r="AB405" s="38"/>
      <c r="AC405" s="38"/>
      <c r="AD405" s="38"/>
      <c r="AE405" s="38"/>
      <c r="AF405" s="38"/>
      <c r="AG405" s="38"/>
      <c r="AH405" s="38"/>
      <c r="AI405" s="38"/>
      <c r="AJ405" s="38"/>
      <c r="AK405" s="38"/>
      <c r="AL405" s="38"/>
      <c r="AM405" s="38"/>
      <c r="AN405" s="38"/>
      <c r="AO405" s="38"/>
      <c r="AP405" s="38"/>
      <c r="AQ405" s="38"/>
      <c r="AR405" s="38"/>
      <c r="AS405" s="38"/>
    </row>
    <row r="406" spans="1:45" x14ac:dyDescent="0.3">
      <c r="A406" s="38"/>
      <c r="J406" s="38"/>
      <c r="K406" s="38"/>
      <c r="L406" s="38"/>
      <c r="M406" s="38"/>
      <c r="N406" s="38"/>
      <c r="O406" s="38"/>
      <c r="P406" s="38"/>
      <c r="Q406" s="38"/>
      <c r="R406" s="38"/>
      <c r="S406" s="38"/>
      <c r="T406" s="38"/>
      <c r="U406" s="38"/>
      <c r="V406" s="38"/>
      <c r="W406" s="38"/>
      <c r="X406" s="38"/>
      <c r="Y406" s="38"/>
      <c r="Z406" s="38"/>
      <c r="AA406" s="38"/>
      <c r="AB406" s="38"/>
      <c r="AC406" s="38"/>
      <c r="AD406" s="38"/>
      <c r="AE406" s="38"/>
      <c r="AF406" s="38"/>
      <c r="AG406" s="38"/>
      <c r="AH406" s="38"/>
      <c r="AI406" s="38"/>
      <c r="AJ406" s="38"/>
      <c r="AK406" s="38"/>
      <c r="AL406" s="38"/>
      <c r="AM406" s="38"/>
      <c r="AN406" s="38"/>
      <c r="AO406" s="38"/>
      <c r="AP406" s="38"/>
      <c r="AQ406" s="38"/>
      <c r="AR406" s="38"/>
      <c r="AS406" s="38"/>
    </row>
    <row r="407" spans="1:45" x14ac:dyDescent="0.3">
      <c r="A407" s="38"/>
      <c r="J407" s="38"/>
      <c r="K407" s="38"/>
      <c r="L407" s="38"/>
      <c r="M407" s="38"/>
      <c r="N407" s="38"/>
      <c r="O407" s="38"/>
      <c r="P407" s="38"/>
      <c r="Q407" s="38"/>
      <c r="R407" s="38"/>
      <c r="S407" s="38"/>
      <c r="T407" s="38"/>
      <c r="U407" s="38"/>
      <c r="V407" s="38"/>
      <c r="W407" s="38"/>
      <c r="X407" s="38"/>
      <c r="Y407" s="38"/>
      <c r="Z407" s="38"/>
      <c r="AA407" s="38"/>
      <c r="AB407" s="38"/>
      <c r="AC407" s="38"/>
      <c r="AD407" s="38"/>
      <c r="AE407" s="38"/>
      <c r="AF407" s="38"/>
      <c r="AG407" s="38"/>
      <c r="AH407" s="38"/>
      <c r="AI407" s="38"/>
      <c r="AJ407" s="38"/>
      <c r="AK407" s="38"/>
      <c r="AL407" s="38"/>
      <c r="AM407" s="38"/>
      <c r="AN407" s="38"/>
      <c r="AO407" s="38"/>
      <c r="AP407" s="38"/>
      <c r="AQ407" s="38"/>
      <c r="AR407" s="38"/>
      <c r="AS407" s="38"/>
    </row>
    <row r="408" spans="1:45" x14ac:dyDescent="0.3">
      <c r="A408" s="38"/>
      <c r="J408" s="38"/>
      <c r="K408" s="38"/>
      <c r="L408" s="38"/>
      <c r="M408" s="38"/>
      <c r="N408" s="38"/>
      <c r="O408" s="38"/>
      <c r="P408" s="38"/>
      <c r="Q408" s="38"/>
      <c r="R408" s="38"/>
      <c r="S408" s="38"/>
      <c r="T408" s="38"/>
      <c r="U408" s="38"/>
      <c r="V408" s="38"/>
      <c r="W408" s="38"/>
      <c r="X408" s="38"/>
      <c r="Y408" s="38"/>
      <c r="Z408" s="38"/>
      <c r="AA408" s="38"/>
      <c r="AB408" s="38"/>
      <c r="AC408" s="38"/>
      <c r="AD408" s="38"/>
      <c r="AE408" s="38"/>
      <c r="AF408" s="38"/>
      <c r="AG408" s="38"/>
      <c r="AH408" s="38"/>
      <c r="AI408" s="38"/>
      <c r="AJ408" s="38"/>
      <c r="AK408" s="38"/>
      <c r="AL408" s="38"/>
      <c r="AM408" s="38"/>
      <c r="AN408" s="38"/>
      <c r="AO408" s="38"/>
      <c r="AP408" s="38"/>
      <c r="AQ408" s="38"/>
      <c r="AR408" s="38"/>
      <c r="AS408" s="38"/>
    </row>
    <row r="409" spans="1:45" x14ac:dyDescent="0.3">
      <c r="A409" s="38"/>
      <c r="J409" s="38"/>
      <c r="K409" s="38"/>
      <c r="L409" s="38"/>
      <c r="M409" s="38"/>
      <c r="N409" s="38"/>
      <c r="O409" s="38"/>
      <c r="P409" s="38"/>
      <c r="Q409" s="38"/>
      <c r="R409" s="38"/>
      <c r="S409" s="38"/>
      <c r="T409" s="38"/>
      <c r="U409" s="38"/>
      <c r="V409" s="38"/>
      <c r="W409" s="38"/>
      <c r="X409" s="38"/>
      <c r="Y409" s="38"/>
      <c r="Z409" s="38"/>
      <c r="AA409" s="38"/>
      <c r="AB409" s="38"/>
      <c r="AC409" s="38"/>
      <c r="AD409" s="38"/>
      <c r="AE409" s="38"/>
      <c r="AF409" s="38"/>
      <c r="AG409" s="38"/>
      <c r="AH409" s="38"/>
      <c r="AI409" s="38"/>
      <c r="AJ409" s="38"/>
      <c r="AK409" s="38"/>
      <c r="AL409" s="38"/>
      <c r="AM409" s="38"/>
      <c r="AN409" s="38"/>
      <c r="AO409" s="38"/>
      <c r="AP409" s="38"/>
      <c r="AQ409" s="38"/>
      <c r="AR409" s="38"/>
      <c r="AS409" s="38"/>
    </row>
    <row r="410" spans="1:45" x14ac:dyDescent="0.3">
      <c r="A410" s="38"/>
      <c r="J410" s="38"/>
      <c r="K410" s="38"/>
      <c r="L410" s="38"/>
      <c r="M410" s="38"/>
      <c r="N410" s="38"/>
      <c r="O410" s="38"/>
      <c r="P410" s="38"/>
      <c r="Q410" s="38"/>
      <c r="R410" s="38"/>
      <c r="S410" s="38"/>
      <c r="T410" s="38"/>
      <c r="U410" s="38"/>
      <c r="V410" s="38"/>
      <c r="W410" s="38"/>
      <c r="X410" s="38"/>
      <c r="Y410" s="38"/>
      <c r="Z410" s="38"/>
      <c r="AA410" s="38"/>
      <c r="AB410" s="38"/>
      <c r="AC410" s="38"/>
      <c r="AD410" s="38"/>
      <c r="AE410" s="38"/>
      <c r="AF410" s="38"/>
      <c r="AG410" s="38"/>
      <c r="AH410" s="38"/>
      <c r="AI410" s="38"/>
      <c r="AJ410" s="38"/>
      <c r="AK410" s="38"/>
      <c r="AL410" s="38"/>
      <c r="AM410" s="38"/>
      <c r="AN410" s="38"/>
      <c r="AO410" s="38"/>
      <c r="AP410" s="38"/>
      <c r="AQ410" s="38"/>
      <c r="AR410" s="38"/>
      <c r="AS410" s="38"/>
    </row>
    <row r="411" spans="1:45" x14ac:dyDescent="0.3">
      <c r="A411" s="38"/>
      <c r="J411" s="38"/>
      <c r="K411" s="38"/>
      <c r="L411" s="38"/>
      <c r="M411" s="38"/>
      <c r="N411" s="38"/>
      <c r="O411" s="38"/>
      <c r="P411" s="38"/>
      <c r="Q411" s="38"/>
      <c r="R411" s="38"/>
      <c r="S411" s="38"/>
      <c r="T411" s="38"/>
      <c r="U411" s="38"/>
      <c r="V411" s="38"/>
      <c r="W411" s="38"/>
      <c r="X411" s="38"/>
      <c r="Y411" s="38"/>
      <c r="Z411" s="38"/>
      <c r="AA411" s="38"/>
      <c r="AB411" s="38"/>
      <c r="AC411" s="38"/>
      <c r="AD411" s="38"/>
      <c r="AE411" s="38"/>
      <c r="AF411" s="38"/>
      <c r="AG411" s="38"/>
      <c r="AH411" s="38"/>
      <c r="AI411" s="38"/>
      <c r="AJ411" s="38"/>
      <c r="AK411" s="38"/>
      <c r="AL411" s="38"/>
      <c r="AM411" s="38"/>
      <c r="AN411" s="38"/>
      <c r="AO411" s="38"/>
      <c r="AP411" s="38"/>
      <c r="AQ411" s="38"/>
      <c r="AR411" s="38"/>
      <c r="AS411" s="38"/>
    </row>
    <row r="412" spans="1:45" x14ac:dyDescent="0.3">
      <c r="A412" s="38"/>
      <c r="J412" s="38"/>
      <c r="K412" s="38"/>
      <c r="L412" s="38"/>
      <c r="M412" s="38"/>
      <c r="N412" s="38"/>
      <c r="O412" s="38"/>
      <c r="P412" s="38"/>
      <c r="Q412" s="38"/>
      <c r="R412" s="38"/>
      <c r="S412" s="38"/>
      <c r="T412" s="38"/>
      <c r="U412" s="38"/>
      <c r="V412" s="38"/>
      <c r="W412" s="38"/>
      <c r="X412" s="38"/>
      <c r="Y412" s="38"/>
      <c r="Z412" s="38"/>
      <c r="AA412" s="38"/>
      <c r="AB412" s="38"/>
      <c r="AC412" s="38"/>
      <c r="AD412" s="38"/>
      <c r="AE412" s="38"/>
      <c r="AF412" s="38"/>
      <c r="AG412" s="38"/>
      <c r="AH412" s="38"/>
      <c r="AI412" s="38"/>
      <c r="AJ412" s="38"/>
      <c r="AK412" s="38"/>
      <c r="AL412" s="38"/>
      <c r="AM412" s="38"/>
      <c r="AN412" s="38"/>
      <c r="AO412" s="38"/>
      <c r="AP412" s="38"/>
      <c r="AQ412" s="38"/>
      <c r="AR412" s="38"/>
      <c r="AS412" s="38"/>
    </row>
    <row r="413" spans="1:45" x14ac:dyDescent="0.3">
      <c r="A413" s="38"/>
      <c r="J413" s="38"/>
      <c r="K413" s="38"/>
      <c r="L413" s="38"/>
      <c r="M413" s="38"/>
      <c r="N413" s="38"/>
      <c r="O413" s="38"/>
      <c r="P413" s="38"/>
      <c r="Q413" s="38"/>
      <c r="R413" s="38"/>
      <c r="S413" s="38"/>
      <c r="T413" s="38"/>
      <c r="U413" s="38"/>
      <c r="V413" s="38"/>
      <c r="W413" s="38"/>
      <c r="X413" s="38"/>
      <c r="Y413" s="38"/>
      <c r="Z413" s="38"/>
      <c r="AA413" s="38"/>
      <c r="AB413" s="38"/>
      <c r="AC413" s="38"/>
      <c r="AD413" s="38"/>
      <c r="AE413" s="38"/>
      <c r="AF413" s="38"/>
      <c r="AG413" s="38"/>
      <c r="AH413" s="38"/>
      <c r="AI413" s="38"/>
      <c r="AJ413" s="38"/>
      <c r="AK413" s="38"/>
      <c r="AL413" s="38"/>
      <c r="AM413" s="38"/>
      <c r="AN413" s="38"/>
      <c r="AO413" s="38"/>
      <c r="AP413" s="38"/>
      <c r="AQ413" s="38"/>
      <c r="AR413" s="38"/>
      <c r="AS413" s="38"/>
    </row>
    <row r="414" spans="1:45" x14ac:dyDescent="0.3">
      <c r="A414" s="38"/>
      <c r="J414" s="38"/>
      <c r="K414" s="38"/>
      <c r="L414" s="38"/>
      <c r="M414" s="38"/>
      <c r="N414" s="38"/>
      <c r="O414" s="38"/>
      <c r="P414" s="38"/>
      <c r="Q414" s="38"/>
      <c r="R414" s="38"/>
      <c r="S414" s="38"/>
      <c r="T414" s="38"/>
      <c r="U414" s="38"/>
      <c r="V414" s="38"/>
      <c r="W414" s="38"/>
      <c r="X414" s="38"/>
      <c r="Y414" s="38"/>
      <c r="Z414" s="38"/>
      <c r="AA414" s="38"/>
      <c r="AB414" s="38"/>
      <c r="AC414" s="38"/>
      <c r="AD414" s="38"/>
      <c r="AE414" s="38"/>
      <c r="AF414" s="38"/>
      <c r="AG414" s="38"/>
      <c r="AH414" s="38"/>
      <c r="AI414" s="38"/>
      <c r="AJ414" s="38"/>
      <c r="AK414" s="38"/>
      <c r="AL414" s="38"/>
      <c r="AM414" s="38"/>
      <c r="AN414" s="38"/>
      <c r="AO414" s="38"/>
      <c r="AP414" s="38"/>
      <c r="AQ414" s="38"/>
      <c r="AR414" s="38"/>
      <c r="AS414" s="38"/>
    </row>
    <row r="415" spans="1:45" x14ac:dyDescent="0.3">
      <c r="A415" s="38"/>
    </row>
    <row r="416" spans="1:45" x14ac:dyDescent="0.3">
      <c r="A416" s="38"/>
    </row>
    <row r="417" spans="1:1" x14ac:dyDescent="0.3">
      <c r="A417" s="38"/>
    </row>
    <row r="418" spans="1:1" x14ac:dyDescent="0.3">
      <c r="A418" s="38"/>
    </row>
  </sheetData>
  <mergeCells count="17">
    <mergeCell ref="J226:L231"/>
    <mergeCell ref="M226:O231"/>
    <mergeCell ref="P226:R231"/>
    <mergeCell ref="S226:U231"/>
    <mergeCell ref="V226:X231"/>
    <mergeCell ref="Z50:AE93"/>
    <mergeCell ref="E50:I93"/>
    <mergeCell ref="Z6:AE49"/>
    <mergeCell ref="B2:I4"/>
    <mergeCell ref="J2:X4"/>
    <mergeCell ref="B6:D225"/>
    <mergeCell ref="E6:I49"/>
    <mergeCell ref="E182:I225"/>
    <mergeCell ref="Z138:AE181"/>
    <mergeCell ref="E138:I181"/>
    <mergeCell ref="Z94:AE137"/>
    <mergeCell ref="E94:I13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AZ154"/>
  <sheetViews>
    <sheetView tabSelected="1" topLeftCell="I1" zoomScale="63" zoomScaleNormal="63" workbookViewId="0">
      <pane ySplit="6" topLeftCell="A7" activePane="bottomLeft" state="frozen"/>
      <selection activeCell="A6" sqref="A6"/>
      <selection pane="bottomLeft" sqref="A1:AL2"/>
    </sheetView>
  </sheetViews>
  <sheetFormatPr baseColWidth="10" defaultColWidth="11.44140625" defaultRowHeight="13.8" x14ac:dyDescent="0.3"/>
  <cols>
    <col min="1" max="1" width="4" style="1" bestFit="1" customWidth="1"/>
    <col min="2" max="2" width="21.5546875" style="1" customWidth="1"/>
    <col min="3" max="3" width="25.5546875" style="1" customWidth="1"/>
    <col min="4" max="4" width="20.5546875" style="1" customWidth="1"/>
    <col min="5" max="5" width="15.5546875" style="1" customWidth="1"/>
    <col min="6" max="6" width="24.44140625" style="1" customWidth="1"/>
    <col min="7" max="7" width="21.88671875" style="1" customWidth="1"/>
    <col min="8" max="8" width="32.44140625" style="1" customWidth="1"/>
    <col min="9" max="9" width="19" style="1" customWidth="1"/>
    <col min="10" max="10" width="17.88671875" style="1" customWidth="1"/>
    <col min="11" max="11" width="16.5546875" style="1" customWidth="1"/>
    <col min="12" max="12" width="6.44140625" style="1" customWidth="1"/>
    <col min="13" max="13" width="33" style="1" customWidth="1"/>
    <col min="14" max="14" width="42" style="1" customWidth="1"/>
    <col min="15" max="15" width="15.44140625" style="1" customWidth="1"/>
    <col min="16" max="16" width="6.44140625" style="1" customWidth="1"/>
    <col min="17" max="17" width="16" style="1" customWidth="1"/>
    <col min="18" max="18" width="5.88671875" style="1" customWidth="1"/>
    <col min="19" max="19" width="56.44140625" style="2" customWidth="1"/>
    <col min="20" max="20" width="15.109375" style="1" hidden="1" customWidth="1"/>
    <col min="21" max="21" width="6.88671875" style="1" hidden="1" customWidth="1"/>
    <col min="22" max="22" width="5" style="1" hidden="1" customWidth="1"/>
    <col min="23" max="23" width="5.5546875" style="1" hidden="1" customWidth="1"/>
    <col min="24" max="24" width="7.109375" style="1" hidden="1" customWidth="1"/>
    <col min="25" max="25" width="6.5546875" style="1" hidden="1" customWidth="1"/>
    <col min="26" max="26" width="7.5546875" style="1" hidden="1" customWidth="1"/>
    <col min="27" max="27" width="10.5546875" style="1" hidden="1" customWidth="1"/>
    <col min="28" max="28" width="8.5546875" style="1" hidden="1" customWidth="1"/>
    <col min="29" max="29" width="8.88671875" style="1" hidden="1" customWidth="1"/>
    <col min="30" max="31" width="9.44140625" style="1" hidden="1" customWidth="1"/>
    <col min="32" max="32" width="8.44140625" style="1" hidden="1" customWidth="1"/>
    <col min="33" max="33" width="7.44140625" style="1" hidden="1" customWidth="1"/>
    <col min="34" max="34" width="39" style="2" customWidth="1"/>
    <col min="35" max="35" width="18.88671875" style="1" hidden="1" customWidth="1"/>
    <col min="36" max="36" width="12.5546875" style="86" hidden="1" customWidth="1"/>
    <col min="37" max="37" width="16.109375" style="86" hidden="1" customWidth="1"/>
    <col min="38" max="38" width="43.44140625" style="87" customWidth="1"/>
    <col min="39" max="39" width="74.6640625" style="2" customWidth="1"/>
    <col min="40" max="40" width="58.21875" style="2" customWidth="1"/>
    <col min="41" max="41" width="14.5546875" style="1" customWidth="1"/>
    <col min="42" max="42" width="74.109375" style="1" customWidth="1"/>
    <col min="43" max="43" width="56.6640625" style="1" customWidth="1"/>
    <col min="44" max="46" width="11.44140625" style="1" customWidth="1"/>
    <col min="47" max="47" width="56.44140625" style="2" customWidth="1"/>
    <col min="48" max="48" width="30.33203125" style="2" customWidth="1"/>
    <col min="49" max="49" width="41" style="2" customWidth="1"/>
    <col min="50" max="50" width="56.33203125" style="2" customWidth="1"/>
    <col min="51" max="87" width="11.44140625" style="2" customWidth="1"/>
    <col min="88" max="16384" width="11.44140625" style="2"/>
  </cols>
  <sheetData>
    <row r="1" spans="1:50" ht="16.5" customHeight="1" x14ac:dyDescent="0.3">
      <c r="A1" s="419" t="s">
        <v>538</v>
      </c>
      <c r="B1" s="420"/>
      <c r="C1" s="420"/>
      <c r="D1" s="420"/>
      <c r="E1" s="420"/>
      <c r="F1" s="420"/>
      <c r="G1" s="420"/>
      <c r="H1" s="420"/>
      <c r="I1" s="420"/>
      <c r="J1" s="420"/>
      <c r="K1" s="420"/>
      <c r="L1" s="420"/>
      <c r="M1" s="420"/>
      <c r="N1" s="420"/>
      <c r="O1" s="420"/>
      <c r="P1" s="420"/>
      <c r="Q1" s="420"/>
      <c r="R1" s="420"/>
      <c r="S1" s="420"/>
      <c r="T1" s="420"/>
      <c r="U1" s="420"/>
      <c r="V1" s="420"/>
      <c r="W1" s="420"/>
      <c r="X1" s="420"/>
      <c r="Y1" s="420"/>
      <c r="Z1" s="420"/>
      <c r="AA1" s="420"/>
      <c r="AB1" s="420"/>
      <c r="AC1" s="420"/>
      <c r="AD1" s="420"/>
      <c r="AE1" s="420"/>
      <c r="AF1" s="420"/>
      <c r="AG1" s="420"/>
      <c r="AH1" s="420"/>
      <c r="AI1" s="420"/>
      <c r="AJ1" s="420"/>
      <c r="AK1" s="420"/>
      <c r="AL1" s="420"/>
    </row>
    <row r="2" spans="1:50" ht="24" customHeight="1" x14ac:dyDescent="0.3">
      <c r="A2" s="421"/>
      <c r="B2" s="422"/>
      <c r="C2" s="422"/>
      <c r="D2" s="422"/>
      <c r="E2" s="422"/>
      <c r="F2" s="422"/>
      <c r="G2" s="422"/>
      <c r="H2" s="422"/>
      <c r="I2" s="422"/>
      <c r="J2" s="422"/>
      <c r="K2" s="422"/>
      <c r="L2" s="422"/>
      <c r="M2" s="422"/>
      <c r="N2" s="422"/>
      <c r="O2" s="422"/>
      <c r="P2" s="422"/>
      <c r="Q2" s="422"/>
      <c r="R2" s="422"/>
      <c r="S2" s="422"/>
      <c r="T2" s="422"/>
      <c r="U2" s="422"/>
      <c r="V2" s="422"/>
      <c r="W2" s="422"/>
      <c r="X2" s="422"/>
      <c r="Y2" s="422"/>
      <c r="Z2" s="422"/>
      <c r="AA2" s="422"/>
      <c r="AB2" s="422"/>
      <c r="AC2" s="422"/>
      <c r="AD2" s="422"/>
      <c r="AE2" s="422"/>
      <c r="AF2" s="422"/>
      <c r="AG2" s="422"/>
      <c r="AH2" s="422"/>
      <c r="AI2" s="422"/>
      <c r="AJ2" s="422"/>
      <c r="AK2" s="422"/>
      <c r="AL2" s="422"/>
    </row>
    <row r="3" spans="1:50" x14ac:dyDescent="0.3">
      <c r="A3" s="21"/>
      <c r="B3" s="21"/>
      <c r="C3" s="21"/>
      <c r="D3" s="21"/>
      <c r="E3" s="21"/>
      <c r="F3" s="21"/>
      <c r="G3" s="21"/>
      <c r="H3" s="21"/>
      <c r="I3" s="21"/>
      <c r="J3" s="21"/>
      <c r="K3" s="21"/>
      <c r="L3" s="21"/>
      <c r="M3" s="21"/>
      <c r="N3" s="21"/>
      <c r="O3" s="21"/>
      <c r="P3" s="21"/>
      <c r="Q3" s="21"/>
      <c r="R3" s="21"/>
      <c r="S3" s="20"/>
      <c r="T3" s="21"/>
      <c r="U3" s="21"/>
      <c r="V3" s="21"/>
      <c r="W3" s="21"/>
      <c r="X3" s="21"/>
      <c r="Y3" s="21"/>
      <c r="Z3" s="21"/>
      <c r="AA3" s="21"/>
      <c r="AB3" s="21"/>
      <c r="AC3" s="21"/>
      <c r="AD3" s="21"/>
      <c r="AE3" s="21"/>
      <c r="AF3" s="21"/>
      <c r="AG3" s="21"/>
      <c r="AH3" s="20"/>
      <c r="AI3" s="21"/>
      <c r="AJ3" s="84"/>
      <c r="AK3" s="84"/>
      <c r="AL3" s="85"/>
    </row>
    <row r="4" spans="1:50" x14ac:dyDescent="0.3">
      <c r="A4" s="423" t="s">
        <v>125</v>
      </c>
      <c r="B4" s="424"/>
      <c r="C4" s="424"/>
      <c r="D4" s="424"/>
      <c r="E4" s="424"/>
      <c r="F4" s="424"/>
      <c r="G4" s="424"/>
      <c r="H4" s="424"/>
      <c r="I4" s="424"/>
      <c r="J4" s="425"/>
      <c r="K4" s="423" t="s">
        <v>126</v>
      </c>
      <c r="L4" s="424"/>
      <c r="M4" s="424"/>
      <c r="N4" s="424"/>
      <c r="O4" s="424"/>
      <c r="P4" s="424"/>
      <c r="Q4" s="425"/>
      <c r="R4" s="423" t="s">
        <v>127</v>
      </c>
      <c r="S4" s="424"/>
      <c r="T4" s="424"/>
      <c r="U4" s="424"/>
      <c r="V4" s="424"/>
      <c r="W4" s="424"/>
      <c r="X4" s="424"/>
      <c r="Y4" s="424"/>
      <c r="Z4" s="425"/>
      <c r="AA4" s="423" t="s">
        <v>128</v>
      </c>
      <c r="AB4" s="424"/>
      <c r="AC4" s="424"/>
      <c r="AD4" s="424"/>
      <c r="AE4" s="424"/>
      <c r="AF4" s="424"/>
      <c r="AG4" s="425"/>
      <c r="AH4" s="423" t="s">
        <v>34</v>
      </c>
      <c r="AI4" s="424"/>
      <c r="AJ4" s="424"/>
      <c r="AK4" s="424"/>
      <c r="AL4" s="424"/>
      <c r="AM4" s="438" t="s">
        <v>585</v>
      </c>
      <c r="AN4" s="443"/>
      <c r="AO4" s="443"/>
      <c r="AP4" s="443"/>
      <c r="AQ4" s="443"/>
      <c r="AR4" s="443"/>
      <c r="AS4" s="443"/>
      <c r="AT4" s="443"/>
      <c r="AU4" s="443"/>
      <c r="AV4" s="443"/>
      <c r="AW4" s="443"/>
      <c r="AX4" s="443"/>
    </row>
    <row r="5" spans="1:50" ht="23.4" customHeight="1" x14ac:dyDescent="0.3">
      <c r="A5" s="430" t="s">
        <v>0</v>
      </c>
      <c r="B5" s="433" t="s">
        <v>188</v>
      </c>
      <c r="C5" s="433" t="s">
        <v>189</v>
      </c>
      <c r="D5" s="433" t="s">
        <v>172</v>
      </c>
      <c r="E5" s="435" t="s">
        <v>2</v>
      </c>
      <c r="F5" s="433" t="s">
        <v>3</v>
      </c>
      <c r="G5" s="433" t="s">
        <v>38</v>
      </c>
      <c r="H5" s="434" t="s">
        <v>1</v>
      </c>
      <c r="I5" s="432" t="s">
        <v>44</v>
      </c>
      <c r="J5" s="433" t="s">
        <v>121</v>
      </c>
      <c r="K5" s="436" t="s">
        <v>33</v>
      </c>
      <c r="L5" s="437" t="s">
        <v>5</v>
      </c>
      <c r="M5" s="432" t="s">
        <v>80</v>
      </c>
      <c r="N5" s="432" t="s">
        <v>85</v>
      </c>
      <c r="O5" s="439" t="s">
        <v>39</v>
      </c>
      <c r="P5" s="437" t="s">
        <v>5</v>
      </c>
      <c r="Q5" s="433" t="s">
        <v>42</v>
      </c>
      <c r="R5" s="426" t="s">
        <v>11</v>
      </c>
      <c r="S5" s="429" t="s">
        <v>137</v>
      </c>
      <c r="T5" s="432" t="s">
        <v>12</v>
      </c>
      <c r="U5" s="429" t="s">
        <v>8</v>
      </c>
      <c r="V5" s="429"/>
      <c r="W5" s="429"/>
      <c r="X5" s="429"/>
      <c r="Y5" s="429"/>
      <c r="Z5" s="429"/>
      <c r="AA5" s="428" t="s">
        <v>124</v>
      </c>
      <c r="AB5" s="428" t="s">
        <v>40</v>
      </c>
      <c r="AC5" s="428" t="s">
        <v>5</v>
      </c>
      <c r="AD5" s="428" t="s">
        <v>41</v>
      </c>
      <c r="AE5" s="428" t="s">
        <v>5</v>
      </c>
      <c r="AF5" s="428" t="s">
        <v>43</v>
      </c>
      <c r="AG5" s="426" t="s">
        <v>29</v>
      </c>
      <c r="AH5" s="429" t="s">
        <v>190</v>
      </c>
      <c r="AI5" s="429" t="s">
        <v>196</v>
      </c>
      <c r="AJ5" s="429" t="s">
        <v>191</v>
      </c>
      <c r="AK5" s="429" t="s">
        <v>192</v>
      </c>
      <c r="AL5" s="429" t="s">
        <v>276</v>
      </c>
      <c r="AM5" s="444" t="s">
        <v>570</v>
      </c>
      <c r="AN5" s="445"/>
      <c r="AO5" s="446"/>
      <c r="AP5" s="444" t="s">
        <v>571</v>
      </c>
      <c r="AQ5" s="445"/>
      <c r="AR5" s="446"/>
      <c r="AS5" s="429" t="s">
        <v>572</v>
      </c>
      <c r="AT5" s="429"/>
      <c r="AU5" s="429"/>
      <c r="AV5" s="429" t="s">
        <v>573</v>
      </c>
      <c r="AW5" s="429"/>
      <c r="AX5" s="429" t="s">
        <v>574</v>
      </c>
    </row>
    <row r="6" spans="1:50" s="106" customFormat="1" ht="82.5" customHeight="1" x14ac:dyDescent="0.3">
      <c r="A6" s="431"/>
      <c r="B6" s="429"/>
      <c r="C6" s="429"/>
      <c r="D6" s="429"/>
      <c r="E6" s="435"/>
      <c r="F6" s="429"/>
      <c r="G6" s="429"/>
      <c r="H6" s="435"/>
      <c r="I6" s="433"/>
      <c r="J6" s="429"/>
      <c r="K6" s="433"/>
      <c r="L6" s="438"/>
      <c r="M6" s="433"/>
      <c r="N6" s="433"/>
      <c r="O6" s="438"/>
      <c r="P6" s="438"/>
      <c r="Q6" s="429"/>
      <c r="R6" s="427"/>
      <c r="S6" s="429"/>
      <c r="T6" s="433"/>
      <c r="U6" s="4" t="s">
        <v>13</v>
      </c>
      <c r="V6" s="4" t="s">
        <v>17</v>
      </c>
      <c r="W6" s="4" t="s">
        <v>28</v>
      </c>
      <c r="X6" s="4" t="s">
        <v>18</v>
      </c>
      <c r="Y6" s="4" t="s">
        <v>21</v>
      </c>
      <c r="Z6" s="4" t="s">
        <v>24</v>
      </c>
      <c r="AA6" s="428"/>
      <c r="AB6" s="428"/>
      <c r="AC6" s="428"/>
      <c r="AD6" s="428"/>
      <c r="AE6" s="428"/>
      <c r="AF6" s="428"/>
      <c r="AG6" s="427"/>
      <c r="AH6" s="429"/>
      <c r="AI6" s="429"/>
      <c r="AJ6" s="429"/>
      <c r="AK6" s="429"/>
      <c r="AL6" s="429"/>
      <c r="AM6" s="156" t="s">
        <v>575</v>
      </c>
      <c r="AN6" s="156" t="s">
        <v>576</v>
      </c>
      <c r="AO6" s="156" t="s">
        <v>577</v>
      </c>
      <c r="AP6" s="156" t="s">
        <v>578</v>
      </c>
      <c r="AQ6" s="156" t="s">
        <v>579</v>
      </c>
      <c r="AR6" s="156" t="s">
        <v>577</v>
      </c>
      <c r="AS6" s="156" t="s">
        <v>580</v>
      </c>
      <c r="AT6" s="156" t="s">
        <v>581</v>
      </c>
      <c r="AU6" s="156" t="s">
        <v>582</v>
      </c>
      <c r="AV6" s="156" t="s">
        <v>583</v>
      </c>
      <c r="AW6" s="156" t="s">
        <v>584</v>
      </c>
      <c r="AX6" s="444"/>
    </row>
    <row r="7" spans="1:50" s="93" customFormat="1" ht="362.4" customHeight="1" x14ac:dyDescent="0.3">
      <c r="A7" s="416">
        <v>1</v>
      </c>
      <c r="B7" s="394" t="s">
        <v>277</v>
      </c>
      <c r="C7" s="389" t="s">
        <v>278</v>
      </c>
      <c r="D7" s="389" t="s">
        <v>279</v>
      </c>
      <c r="E7" s="387" t="s">
        <v>118</v>
      </c>
      <c r="F7" s="387" t="s">
        <v>237</v>
      </c>
      <c r="G7" s="387" t="s">
        <v>238</v>
      </c>
      <c r="H7" s="372" t="s">
        <v>280</v>
      </c>
      <c r="I7" s="387" t="s">
        <v>115</v>
      </c>
      <c r="J7" s="380">
        <v>30</v>
      </c>
      <c r="K7" s="382" t="str">
        <f>IF(J7&lt;=0,"",IF(J7&lt;=2,"Muy Baja",IF(J7&lt;=24,"Baja",IF(J7&lt;=500,"Media",IF(J7&lt;=5000,"Alta","Muy Alta")))))</f>
        <v>Media</v>
      </c>
      <c r="L7" s="374">
        <f>IF(K7="","",IF(K7="Muy Baja",0.2,IF(K7="Baja",0.4,IF(K7="Media",0.6,IF(K7="Alta",0.8,IF(K7="Muy Alta",1,))))))</f>
        <v>0.6</v>
      </c>
      <c r="M7" s="385" t="s">
        <v>250</v>
      </c>
      <c r="N7" s="135" t="str">
        <f>IF(NOT(ISERROR(MATCH(M7,'Tabla Impacto'!$B$221:$B$223,0))),'Tabla Impacto'!$F$223&amp;"Por favor no seleccionar los criterios de impacto(Afectación Económica o presupuestal y Pérdida Reputacional)",M7)</f>
        <v xml:space="preserve"> El riesgo afecta la imagen de la entidad con algunos usuarios de relevancia frente al logro de los objetivos</v>
      </c>
      <c r="O7" s="382" t="str">
        <f>IF(OR(N7='Tabla Impacto'!$C$11,N7='Tabla Impacto'!$D$11),"Leve",IF(OR(N7='Tabla Impacto'!$C$12,N7='Tabla Impacto'!$D$12),"Menor",IF(OR(N7='Tabla Impacto'!$C$13,N7='Tabla Impacto'!$D$13),"Moderado",IF(OR(N7='Tabla Impacto'!$C$14,N7='Tabla Impacto'!$D$14),"Mayor",IF(OR(N7='Tabla Impacto'!$C$15,N7='Tabla Impacto'!$D$15),"Catastrófico","")))))</f>
        <v>Moderado</v>
      </c>
      <c r="P7" s="374">
        <f>IF(O7="","",IF(O7="Leve",0.2,IF(O7="Menor",0.4,IF(O7="Moderado",0.6,IF(O7="Mayor",0.8,IF(O7="Catastrófico",1,))))))</f>
        <v>0.6</v>
      </c>
      <c r="Q7" s="377" t="str">
        <f>IF(OR(AND(K7="Muy Baja",O7="Leve"),AND(K7="Muy Baja",O7="Menor"),AND(K7="Baja",O7="Leve")),"Bajo",IF(OR(AND(K7="Muy baja",O7="Moderado"),AND(K7="Baja",O7="Menor"),AND(K7="Baja",O7="Moderado"),AND(K7="Media",O7="Leve"),AND(K7="Media",O7="Menor"),AND(K7="Media",O7="Moderado"),AND(K7="Alta",O7="Leve"),AND(K7="Alta",O7="Menor")),"Moderado",IF(OR(AND(K7="Muy Baja",O7="Mayor"),AND(K7="Baja",O7="Mayor"),AND(K7="Media",O7="Mayor"),AND(K7="Alta",O7="Moderado"),AND(K7="Alta",O7="Mayor"),AND(K7="Muy Alta",O7="Leve"),AND(K7="Muy Alta",O7="Menor"),AND(K7="Muy Alta",O7="Moderado"),AND(K7="Muy Alta",O7="Mayor")),"Alto",IF(OR(AND(K7="Muy Baja",O7="Catastrófico"),AND(K7="Baja",O7="Catastrófico"),AND(K7="Media",O7="Catastrófico"),AND(K7="Alta",O7="Catastrófico"),AND(K7="Muy Alta",O7="Catastrófico")),"Extremo",""))))</f>
        <v>Moderado</v>
      </c>
      <c r="R7" s="89">
        <v>1</v>
      </c>
      <c r="S7" s="195" t="s">
        <v>281</v>
      </c>
      <c r="T7" s="196" t="str">
        <f t="shared" ref="T7:T19" si="0">IF(OR(U7="Preventivo",U7="Detectivo"),"Probabilidad",IF(U7="Correctivo","Impacto",""))</f>
        <v>Probabilidad</v>
      </c>
      <c r="U7" s="197" t="s">
        <v>14</v>
      </c>
      <c r="V7" s="197" t="s">
        <v>9</v>
      </c>
      <c r="W7" s="198" t="str">
        <f>IF(AND(U7="Preventivo",V7="Automático"),"50%",IF(AND(U7="Preventivo",V7="Manual"),"40%",IF(AND(U7="Detectivo",V7="Automático"),"40%",IF(AND(U7="Detectivo",V7="Manual"),"30%",IF(AND(U7="Correctivo",V7="Automático"),"35%",IF(AND(U7="Correctivo",V7="Manual"),"25%",""))))))</f>
        <v>40%</v>
      </c>
      <c r="X7" s="197" t="s">
        <v>19</v>
      </c>
      <c r="Y7" s="197" t="s">
        <v>22</v>
      </c>
      <c r="Z7" s="197" t="s">
        <v>110</v>
      </c>
      <c r="AA7" s="90">
        <f>IFERROR(IF(T7="Probabilidad",($L$7-(+$L$7*W7)),IF(T7="Impacto",$L$7,"")),"")</f>
        <v>0.36</v>
      </c>
      <c r="AB7" s="199" t="str">
        <f t="shared" ref="AB7:AB19" si="1">IFERROR(IF(AA7="","",IF(AA7&lt;=0.2,"Muy Baja",IF(AA7&lt;=0.4,"Baja",IF(AA7&lt;=0.6,"Media",IF(AA7&lt;=0.8,"Alta","Muy Alta"))))),"")</f>
        <v>Baja</v>
      </c>
      <c r="AC7" s="200">
        <f t="shared" ref="AC7:AC19" si="2">+AA7</f>
        <v>0.36</v>
      </c>
      <c r="AD7" s="199" t="str">
        <f t="shared" ref="AD7:AD19" si="3">IFERROR(IF(AE7="","",IF(AE7&lt;=0.2,"Leve",IF(AE7&lt;=0.4,"Menor",IF(AE7&lt;=0.6,"Moderado",IF(AE7&lt;=0.8,"Mayor","Catastrófico"))))),"")</f>
        <v>Moderado</v>
      </c>
      <c r="AE7" s="200">
        <f>IFERROR(IF(T7="Impacto",($P$7-(+$P$7*W7)),IF(T7="Probabilidad",$P$7,"")),"")</f>
        <v>0.6</v>
      </c>
      <c r="AF7" s="201" t="str">
        <f t="shared" ref="AF7:AF19" si="4">IFERROR(IF(OR(AND(AB7="Muy Baja",AD7="Leve"),AND(AB7="Muy Baja",AD7="Menor"),AND(AB7="Baja",AD7="Leve")),"Bajo",IF(OR(AND(AB7="Muy baja",AD7="Moderado"),AND(AB7="Baja",AD7="Menor"),AND(AB7="Baja",AD7="Moderado"),AND(AB7="Media",AD7="Leve"),AND(AB7="Media",AD7="Menor"),AND(AB7="Media",AD7="Moderado"),AND(AB7="Alta",AD7="Leve"),AND(AB7="Alta",AD7="Menor")),"Moderado",IF(OR(AND(AB7="Muy Baja",AD7="Mayor"),AND(AB7="Baja",AD7="Mayor"),AND(AB7="Media",AD7="Mayor"),AND(AB7="Alta",AD7="Moderado"),AND(AB7="Alta",AD7="Mayor"),AND(AB7="Muy Alta",AD7="Leve"),AND(AB7="Muy Alta",AD7="Menor"),AND(AB7="Muy Alta",AD7="Moderado"),AND(AB7="Muy Alta",AD7="Mayor")),"Alto",IF(OR(AND(AB7="Muy Baja",AD7="Catastrófico"),AND(AB7="Baja",AD7="Catastrófico"),AND(AB7="Media",AD7="Catastrófico"),AND(AB7="Alta",AD7="Catastrófico"),AND(AB7="Muy Alta",AD7="Catastrófico")),"Extremo","")))),"")</f>
        <v>Moderado</v>
      </c>
      <c r="AG7" s="202" t="s">
        <v>122</v>
      </c>
      <c r="AH7" s="203" t="s">
        <v>282</v>
      </c>
      <c r="AI7" s="160" t="s">
        <v>197</v>
      </c>
      <c r="AJ7" s="159" t="s">
        <v>283</v>
      </c>
      <c r="AK7" s="159" t="s">
        <v>206</v>
      </c>
      <c r="AL7" s="195" t="s">
        <v>225</v>
      </c>
      <c r="AM7" s="166" t="s">
        <v>756</v>
      </c>
      <c r="AN7" s="166" t="s">
        <v>633</v>
      </c>
      <c r="AO7" s="158">
        <v>1</v>
      </c>
      <c r="AP7" s="166" t="s">
        <v>634</v>
      </c>
      <c r="AQ7" s="166" t="s">
        <v>635</v>
      </c>
      <c r="AR7" s="158">
        <v>1</v>
      </c>
      <c r="AS7" s="160"/>
      <c r="AT7" s="167" t="s">
        <v>587</v>
      </c>
      <c r="AU7" s="160" t="s">
        <v>612</v>
      </c>
      <c r="AV7" s="160" t="s">
        <v>612</v>
      </c>
      <c r="AW7" s="160" t="s">
        <v>612</v>
      </c>
      <c r="AX7" s="161" t="s">
        <v>754</v>
      </c>
    </row>
    <row r="8" spans="1:50" s="93" customFormat="1" ht="228" customHeight="1" x14ac:dyDescent="0.3">
      <c r="A8" s="365"/>
      <c r="B8" s="395"/>
      <c r="C8" s="392"/>
      <c r="D8" s="390"/>
      <c r="E8" s="388"/>
      <c r="F8" s="388"/>
      <c r="G8" s="388"/>
      <c r="H8" s="373"/>
      <c r="I8" s="388"/>
      <c r="J8" s="381"/>
      <c r="K8" s="383"/>
      <c r="L8" s="375"/>
      <c r="M8" s="386"/>
      <c r="N8" s="136"/>
      <c r="O8" s="383"/>
      <c r="P8" s="375"/>
      <c r="Q8" s="378"/>
      <c r="R8" s="89">
        <v>2</v>
      </c>
      <c r="S8" s="195" t="s">
        <v>553</v>
      </c>
      <c r="T8" s="196" t="str">
        <f t="shared" si="0"/>
        <v>Probabilidad</v>
      </c>
      <c r="U8" s="197" t="s">
        <v>14</v>
      </c>
      <c r="V8" s="197" t="s">
        <v>9</v>
      </c>
      <c r="W8" s="198" t="str">
        <f>IF(AND(U8="Preventivo",V8="Automático"),"50%",IF(AND(U8="Preventivo",V8="Manual"),"40%",IF(AND(U8="Detectivo",V8="Automático"),"40%",IF(AND(U8="Detectivo",V8="Manual"),"30%",IF(AND(U8="Correctivo",V8="Automático"),"35%",IF(AND(U8="Correctivo",V8="Manual"),"25%",""))))))</f>
        <v>40%</v>
      </c>
      <c r="X8" s="197" t="s">
        <v>19</v>
      </c>
      <c r="Y8" s="197" t="s">
        <v>22</v>
      </c>
      <c r="Z8" s="197" t="s">
        <v>110</v>
      </c>
      <c r="AA8" s="90">
        <f>IFERROR(IF(T8="Probabilidad",(AA7-(+AA7*W8)),IF(T8="Impacto",$L$7,"")),"")</f>
        <v>0.216</v>
      </c>
      <c r="AB8" s="199" t="str">
        <f t="shared" si="1"/>
        <v>Baja</v>
      </c>
      <c r="AC8" s="200">
        <f t="shared" si="2"/>
        <v>0.216</v>
      </c>
      <c r="AD8" s="199" t="str">
        <f t="shared" si="3"/>
        <v>Moderado</v>
      </c>
      <c r="AE8" s="200">
        <f>IFERROR(IF(T8="Impacto",($P$7-(+$P$7*W8)),IF(T8="Probabilidad",$P$7,"")),"")</f>
        <v>0.6</v>
      </c>
      <c r="AF8" s="201" t="str">
        <f t="shared" si="4"/>
        <v>Moderado</v>
      </c>
      <c r="AG8" s="202" t="s">
        <v>122</v>
      </c>
      <c r="AH8" s="195" t="s">
        <v>686</v>
      </c>
      <c r="AI8" s="160"/>
      <c r="AJ8" s="159"/>
      <c r="AK8" s="159"/>
      <c r="AL8" s="195" t="s">
        <v>686</v>
      </c>
      <c r="AM8" s="166" t="s">
        <v>757</v>
      </c>
      <c r="AN8" s="166" t="s">
        <v>636</v>
      </c>
      <c r="AO8" s="158">
        <v>1</v>
      </c>
      <c r="AP8" s="166" t="s">
        <v>589</v>
      </c>
      <c r="AQ8" s="166" t="s">
        <v>589</v>
      </c>
      <c r="AR8" s="158" t="s">
        <v>589</v>
      </c>
      <c r="AS8" s="160"/>
      <c r="AT8" s="167" t="s">
        <v>587</v>
      </c>
      <c r="AU8" s="160" t="s">
        <v>612</v>
      </c>
      <c r="AV8" s="160" t="s">
        <v>612</v>
      </c>
      <c r="AW8" s="160" t="s">
        <v>612</v>
      </c>
      <c r="AX8" s="161" t="s">
        <v>755</v>
      </c>
    </row>
    <row r="9" spans="1:50" s="93" customFormat="1" ht="167.25" hidden="1" customHeight="1" x14ac:dyDescent="0.3">
      <c r="A9" s="365"/>
      <c r="B9" s="396"/>
      <c r="C9" s="392"/>
      <c r="D9" s="390"/>
      <c r="E9" s="388"/>
      <c r="F9" s="388"/>
      <c r="G9" s="388"/>
      <c r="H9" s="373"/>
      <c r="I9" s="388"/>
      <c r="J9" s="381"/>
      <c r="K9" s="384"/>
      <c r="L9" s="376"/>
      <c r="M9" s="386"/>
      <c r="N9" s="136"/>
      <c r="O9" s="384"/>
      <c r="P9" s="376"/>
      <c r="Q9" s="379"/>
      <c r="R9" s="89">
        <v>3</v>
      </c>
      <c r="S9" s="195"/>
      <c r="T9" s="196" t="str">
        <f t="shared" si="0"/>
        <v/>
      </c>
      <c r="U9" s="197"/>
      <c r="V9" s="197"/>
      <c r="W9" s="198"/>
      <c r="X9" s="197"/>
      <c r="Y9" s="197"/>
      <c r="Z9" s="197"/>
      <c r="AA9" s="90" t="str">
        <f>IFERROR(IF(T9="Probabilidad",(AA8-(+AA8*W9)),IF(T9="Impacto",$L$7,"")),"")</f>
        <v/>
      </c>
      <c r="AB9" s="199" t="str">
        <f t="shared" si="1"/>
        <v/>
      </c>
      <c r="AC9" s="200" t="str">
        <f t="shared" si="2"/>
        <v/>
      </c>
      <c r="AD9" s="199" t="str">
        <f t="shared" si="3"/>
        <v/>
      </c>
      <c r="AE9" s="200" t="str">
        <f>IFERROR(IF(T9="Impacto",($P$7-(+$P$7*W9)),IF(T9="Probabilidad",$P$7,"")),"")</f>
        <v/>
      </c>
      <c r="AF9" s="201" t="str">
        <f t="shared" si="4"/>
        <v/>
      </c>
      <c r="AG9" s="202"/>
      <c r="AH9" s="195"/>
      <c r="AI9" s="160"/>
      <c r="AJ9" s="159"/>
      <c r="AK9" s="159"/>
      <c r="AL9" s="195"/>
      <c r="AM9" s="166"/>
      <c r="AN9" s="166"/>
      <c r="AO9" s="158"/>
      <c r="AP9" s="166"/>
      <c r="AQ9" s="166"/>
      <c r="AR9" s="158"/>
      <c r="AS9" s="160"/>
      <c r="AT9" s="167"/>
      <c r="AU9" s="168"/>
      <c r="AV9" s="168"/>
      <c r="AW9" s="168"/>
      <c r="AX9" s="168" t="s">
        <v>753</v>
      </c>
    </row>
    <row r="10" spans="1:50" s="93" customFormat="1" ht="254.4" customHeight="1" x14ac:dyDescent="0.3">
      <c r="A10" s="365">
        <f>1+A7</f>
        <v>2</v>
      </c>
      <c r="B10" s="394" t="s">
        <v>277</v>
      </c>
      <c r="C10" s="389" t="s">
        <v>278</v>
      </c>
      <c r="D10" s="389" t="s">
        <v>279</v>
      </c>
      <c r="E10" s="387" t="s">
        <v>118</v>
      </c>
      <c r="F10" s="391" t="s">
        <v>286</v>
      </c>
      <c r="G10" s="391" t="s">
        <v>555</v>
      </c>
      <c r="H10" s="372" t="s">
        <v>554</v>
      </c>
      <c r="I10" s="387" t="s">
        <v>218</v>
      </c>
      <c r="J10" s="380">
        <v>97</v>
      </c>
      <c r="K10" s="382" t="str">
        <f>IF(J10&lt;=0,"",IF(J10&lt;=2,"Muy Baja",IF(J10&lt;=24,"Baja",IF(J10&lt;=500,"Media",IF(J10&lt;=5000,"Alta","Muy Alta")))))</f>
        <v>Media</v>
      </c>
      <c r="L10" s="374">
        <f>IF(K10="","",IF(K10="Muy Baja",0.2,IF(K10="Baja",0.4,IF(K10="Media",0.6,IF(K10="Alta",0.8,IF(K10="Muy Alta",1,))))))</f>
        <v>0.6</v>
      </c>
      <c r="M10" s="385" t="s">
        <v>250</v>
      </c>
      <c r="N10" s="135" t="str">
        <f>IF(NOT(ISERROR(MATCH(M10,'Tabla Impacto'!$B$221:$B$223,0))),'Tabla Impacto'!$F$223&amp;"Por favor no seleccionar los criterios de impacto(Afectación Económica o presupuestal y Pérdida Reputacional)",M10)</f>
        <v xml:space="preserve"> El riesgo afecta la imagen de la entidad con algunos usuarios de relevancia frente al logro de los objetivos</v>
      </c>
      <c r="O10" s="382" t="str">
        <f>IF(OR(N10='Tabla Impacto'!$C$11,N10='Tabla Impacto'!$D$11),"Leve",IF(OR(N10='Tabla Impacto'!$C$12,N10='Tabla Impacto'!$D$12),"Menor",IF(OR(N10='Tabla Impacto'!$C$13,N10='Tabla Impacto'!$D$13),"Moderado",IF(OR(N10='Tabla Impacto'!$C$14,N10='Tabla Impacto'!$D$14),"Mayor",IF(OR(N10='Tabla Impacto'!$C$15,N10='Tabla Impacto'!$D$15),"Catastrófico","")))))</f>
        <v>Moderado</v>
      </c>
      <c r="P10" s="374">
        <f>IF(O10="","",IF(O10="Leve",0.2,IF(O10="Menor",0.4,IF(O10="Moderado",0.6,IF(O10="Mayor",0.8,IF(O10="Catastrófico",1,))))))</f>
        <v>0.6</v>
      </c>
      <c r="Q10" s="377" t="str">
        <f>IF(OR(AND(K10="Muy Baja",O10="Leve"),AND(K10="Muy Baja",O10="Menor"),AND(K10="Baja",O10="Leve")),"Bajo",IF(OR(AND(K10="Muy baja",O10="Moderado"),AND(K10="Baja",O10="Menor"),AND(K10="Baja",O10="Moderado"),AND(K10="Media",O10="Leve"),AND(K10="Media",O10="Menor"),AND(K10="Media",O10="Moderado"),AND(K10="Alta",O10="Leve"),AND(K10="Alta",O10="Menor")),"Moderado",IF(OR(AND(K10="Muy Baja",O10="Mayor"),AND(K10="Baja",O10="Mayor"),AND(K10="Media",O10="Mayor"),AND(K10="Alta",O10="Moderado"),AND(K10="Alta",O10="Mayor"),AND(K10="Muy Alta",O10="Leve"),AND(K10="Muy Alta",O10="Menor"),AND(K10="Muy Alta",O10="Moderado"),AND(K10="Muy Alta",O10="Mayor")),"Alto",IF(OR(AND(K10="Muy Baja",O10="Catastrófico"),AND(K10="Baja",O10="Catastrófico"),AND(K10="Media",O10="Catastrófico"),AND(K10="Alta",O10="Catastrófico"),AND(K10="Muy Alta",O10="Catastrófico")),"Extremo",""))))</f>
        <v>Moderado</v>
      </c>
      <c r="R10" s="89">
        <v>1</v>
      </c>
      <c r="S10" s="195" t="s">
        <v>553</v>
      </c>
      <c r="T10" s="196" t="str">
        <f t="shared" si="0"/>
        <v>Probabilidad</v>
      </c>
      <c r="U10" s="197" t="s">
        <v>14</v>
      </c>
      <c r="V10" s="197" t="s">
        <v>9</v>
      </c>
      <c r="W10" s="198" t="str">
        <f>IF(AND(U10="Preventivo",V10="Automático"),"50%",IF(AND(U10="Preventivo",V10="Manual"),"40%",IF(AND(U10="Detectivo",V10="Automático"),"40%",IF(AND(U10="Detectivo",V10="Manual"),"30%",IF(AND(U10="Correctivo",V10="Automático"),"35%",IF(AND(U10="Correctivo",V10="Manual"),"25%",""))))))</f>
        <v>40%</v>
      </c>
      <c r="X10" s="197" t="s">
        <v>19</v>
      </c>
      <c r="Y10" s="197" t="s">
        <v>22</v>
      </c>
      <c r="Z10" s="197" t="s">
        <v>110</v>
      </c>
      <c r="AA10" s="90">
        <f>IFERROR(IF(T10="Probabilidad",(L10-(+L10*W10)),IF(T10="Impacto",L10,"")),"")</f>
        <v>0.36</v>
      </c>
      <c r="AB10" s="199" t="str">
        <f t="shared" si="1"/>
        <v>Baja</v>
      </c>
      <c r="AC10" s="200">
        <f t="shared" si="2"/>
        <v>0.36</v>
      </c>
      <c r="AD10" s="199" t="str">
        <f t="shared" si="3"/>
        <v>Moderado</v>
      </c>
      <c r="AE10" s="200">
        <f>IFERROR(IF(T10="Impacto",(P10-(+P10*W10)),IF(T10="Probabilidad",P10,"")),"")</f>
        <v>0.6</v>
      </c>
      <c r="AF10" s="201" t="str">
        <f t="shared" si="4"/>
        <v>Moderado</v>
      </c>
      <c r="AG10" s="202" t="s">
        <v>122</v>
      </c>
      <c r="AH10" s="195" t="s">
        <v>284</v>
      </c>
      <c r="AI10" s="160" t="s">
        <v>197</v>
      </c>
      <c r="AJ10" s="159" t="s">
        <v>283</v>
      </c>
      <c r="AK10" s="159" t="s">
        <v>206</v>
      </c>
      <c r="AL10" s="195" t="s">
        <v>285</v>
      </c>
      <c r="AM10" s="166" t="s">
        <v>757</v>
      </c>
      <c r="AN10" s="166" t="s">
        <v>636</v>
      </c>
      <c r="AO10" s="158">
        <v>1</v>
      </c>
      <c r="AP10" s="166" t="s">
        <v>637</v>
      </c>
      <c r="AQ10" s="166" t="s">
        <v>638</v>
      </c>
      <c r="AR10" s="158">
        <v>1</v>
      </c>
      <c r="AS10" s="160"/>
      <c r="AT10" s="160" t="s">
        <v>587</v>
      </c>
      <c r="AU10" s="160" t="s">
        <v>612</v>
      </c>
      <c r="AV10" s="160" t="s">
        <v>612</v>
      </c>
      <c r="AW10" s="160" t="s">
        <v>612</v>
      </c>
      <c r="AX10" s="161" t="s">
        <v>754</v>
      </c>
    </row>
    <row r="11" spans="1:50" s="93" customFormat="1" ht="151.5" hidden="1" customHeight="1" x14ac:dyDescent="0.3">
      <c r="A11" s="365"/>
      <c r="B11" s="395"/>
      <c r="C11" s="392"/>
      <c r="D11" s="390"/>
      <c r="E11" s="388"/>
      <c r="F11" s="388"/>
      <c r="G11" s="388"/>
      <c r="H11" s="373"/>
      <c r="I11" s="388"/>
      <c r="J11" s="381"/>
      <c r="K11" s="383"/>
      <c r="L11" s="375"/>
      <c r="M11" s="386"/>
      <c r="N11" s="136"/>
      <c r="O11" s="383"/>
      <c r="P11" s="375"/>
      <c r="Q11" s="378"/>
      <c r="R11" s="89">
        <v>2</v>
      </c>
      <c r="S11" s="195"/>
      <c r="T11" s="196" t="str">
        <f t="shared" si="0"/>
        <v/>
      </c>
      <c r="U11" s="197"/>
      <c r="V11" s="197"/>
      <c r="W11" s="198"/>
      <c r="X11" s="197"/>
      <c r="Y11" s="197"/>
      <c r="Z11" s="197"/>
      <c r="AA11" s="90" t="str">
        <f>IFERROR(IF(T11="Probabilidad",(AA10-(+AA10*W11)),IF(T11="Impacto",L10,"")),"")</f>
        <v/>
      </c>
      <c r="AB11" s="199" t="str">
        <f t="shared" si="1"/>
        <v/>
      </c>
      <c r="AC11" s="200" t="str">
        <f t="shared" si="2"/>
        <v/>
      </c>
      <c r="AD11" s="199" t="str">
        <f t="shared" si="3"/>
        <v/>
      </c>
      <c r="AE11" s="200" t="str">
        <f>IFERROR(IF(T11="Impacto",(P10-(+P10*W11)),IF(T11="Probabilidad",P10,"")),"")</f>
        <v/>
      </c>
      <c r="AF11" s="201" t="str">
        <f t="shared" si="4"/>
        <v/>
      </c>
      <c r="AG11" s="202"/>
      <c r="AH11" s="195"/>
      <c r="AI11" s="160"/>
      <c r="AJ11" s="159"/>
      <c r="AK11" s="159"/>
      <c r="AL11" s="195"/>
      <c r="AM11" s="177"/>
      <c r="AN11" s="177"/>
      <c r="AO11" s="158">
        <v>1</v>
      </c>
      <c r="AP11" s="177"/>
      <c r="AQ11" s="177"/>
      <c r="AR11" s="158">
        <v>1</v>
      </c>
      <c r="AS11" s="160"/>
      <c r="AT11" s="160"/>
      <c r="AU11" s="160"/>
      <c r="AV11" s="160"/>
      <c r="AW11" s="160"/>
      <c r="AX11" s="160"/>
    </row>
    <row r="12" spans="1:50" s="93" customFormat="1" ht="151.5" hidden="1" customHeight="1" x14ac:dyDescent="0.3">
      <c r="A12" s="365"/>
      <c r="B12" s="396"/>
      <c r="C12" s="392"/>
      <c r="D12" s="390"/>
      <c r="E12" s="388"/>
      <c r="F12" s="388"/>
      <c r="G12" s="388"/>
      <c r="H12" s="373"/>
      <c r="I12" s="388"/>
      <c r="J12" s="381"/>
      <c r="K12" s="384"/>
      <c r="L12" s="376"/>
      <c r="M12" s="386"/>
      <c r="N12" s="136"/>
      <c r="O12" s="384"/>
      <c r="P12" s="376"/>
      <c r="Q12" s="379"/>
      <c r="R12" s="89">
        <v>3</v>
      </c>
      <c r="S12" s="195"/>
      <c r="T12" s="196" t="str">
        <f t="shared" si="0"/>
        <v/>
      </c>
      <c r="U12" s="197"/>
      <c r="V12" s="197"/>
      <c r="W12" s="198"/>
      <c r="X12" s="197"/>
      <c r="Y12" s="197"/>
      <c r="Z12" s="197"/>
      <c r="AA12" s="90" t="str">
        <f>IFERROR(IF(T12="Probabilidad",(AA11-(+AA11*W12)),IF(T12="Impacto",L10,"")),"")</f>
        <v/>
      </c>
      <c r="AB12" s="199" t="str">
        <f t="shared" si="1"/>
        <v/>
      </c>
      <c r="AC12" s="200" t="str">
        <f t="shared" si="2"/>
        <v/>
      </c>
      <c r="AD12" s="199" t="str">
        <f t="shared" si="3"/>
        <v/>
      </c>
      <c r="AE12" s="200" t="str">
        <f>IFERROR(IF(T12="Impacto",(P10-(+P10*W12)),IF(T12="Probabilidad",P10,"")),"")</f>
        <v/>
      </c>
      <c r="AF12" s="201" t="str">
        <f t="shared" si="4"/>
        <v/>
      </c>
      <c r="AG12" s="202"/>
      <c r="AH12" s="195"/>
      <c r="AI12" s="160"/>
      <c r="AJ12" s="159"/>
      <c r="AK12" s="159"/>
      <c r="AL12" s="195"/>
      <c r="AM12" s="177"/>
      <c r="AN12" s="177"/>
      <c r="AO12" s="158">
        <v>1</v>
      </c>
      <c r="AP12" s="177"/>
      <c r="AQ12" s="177"/>
      <c r="AR12" s="158">
        <v>1</v>
      </c>
      <c r="AS12" s="160"/>
      <c r="AT12" s="160"/>
      <c r="AU12" s="160"/>
      <c r="AV12" s="160"/>
      <c r="AW12" s="160"/>
      <c r="AX12" s="160"/>
    </row>
    <row r="13" spans="1:50" s="107" customFormat="1" ht="289.2" customHeight="1" x14ac:dyDescent="0.3">
      <c r="A13" s="365">
        <f>1+A10</f>
        <v>3</v>
      </c>
      <c r="B13" s="394" t="s">
        <v>287</v>
      </c>
      <c r="C13" s="389" t="s">
        <v>288</v>
      </c>
      <c r="D13" s="389" t="s">
        <v>289</v>
      </c>
      <c r="E13" s="387" t="s">
        <v>118</v>
      </c>
      <c r="F13" s="387" t="s">
        <v>290</v>
      </c>
      <c r="G13" s="387" t="s">
        <v>194</v>
      </c>
      <c r="H13" s="372" t="s">
        <v>228</v>
      </c>
      <c r="I13" s="387" t="s">
        <v>218</v>
      </c>
      <c r="J13" s="380">
        <v>5000</v>
      </c>
      <c r="K13" s="382" t="str">
        <f>IF(J13&lt;=0,"",IF(J13&lt;=2,"Muy Baja",IF(J13&lt;=24,"Baja",IF(J13&lt;=500,"Media",IF(J13&lt;=5000,"Alta","Muy Alta")))))</f>
        <v>Alta</v>
      </c>
      <c r="L13" s="374">
        <f>IF(K13="","",IF(K13="Muy Baja",0.2,IF(K13="Baja",0.4,IF(K13="Media",0.6,IF(K13="Alta",0.8,IF(K13="Muy Alta",1,))))))</f>
        <v>0.8</v>
      </c>
      <c r="M13" s="385" t="s">
        <v>250</v>
      </c>
      <c r="N13" s="135" t="str">
        <f>IF(NOT(ISERROR(MATCH(M13,'Tabla Impacto'!$B$221:$B$223,0))),'Tabla Impacto'!$F$223&amp;"Por favor no seleccionar los criterios de impacto(Afectación Económica o presupuestal y Pérdida Reputacional)",M13)</f>
        <v xml:space="preserve"> El riesgo afecta la imagen de la entidad con algunos usuarios de relevancia frente al logro de los objetivos</v>
      </c>
      <c r="O13" s="382" t="str">
        <f>IF(OR(N13='Tabla Impacto'!$C$11,N13='Tabla Impacto'!$D$11),"Leve",IF(OR(N13='Tabla Impacto'!$C$12,N13='Tabla Impacto'!$D$12),"Menor",IF(OR(N13='Tabla Impacto'!$C$13,N13='Tabla Impacto'!$D$13),"Moderado",IF(OR(N13='Tabla Impacto'!$C$14,N13='Tabla Impacto'!$D$14),"Mayor",IF(OR(N13='Tabla Impacto'!$C$15,N13='Tabla Impacto'!$D$15),"Catastrófico","")))))</f>
        <v>Moderado</v>
      </c>
      <c r="P13" s="374">
        <f>IF(O13="","",IF(O13="Leve",0.2,IF(O13="Menor",0.4,IF(O13="Moderado",0.6,IF(O13="Mayor",0.8,IF(O13="Catastrófico",1,))))))</f>
        <v>0.6</v>
      </c>
      <c r="Q13" s="377" t="str">
        <f>IF(OR(AND(K13="Muy Baja",O13="Leve"),AND(K13="Muy Baja",O13="Menor"),AND(K13="Baja",O13="Leve")),"Bajo",IF(OR(AND(K13="Muy baja",O13="Moderado"),AND(K13="Baja",O13="Menor"),AND(K13="Baja",O13="Moderado"),AND(K13="Media",O13="Leve"),AND(K13="Media",O13="Menor"),AND(K13="Media",O13="Moderado"),AND(K13="Alta",O13="Leve"),AND(K13="Alta",O13="Menor")),"Moderado",IF(OR(AND(K13="Muy Baja",O13="Mayor"),AND(K13="Baja",O13="Mayor"),AND(K13="Media",O13="Mayor"),AND(K13="Alta",O13="Moderado"),AND(K13="Alta",O13="Mayor"),AND(K13="Muy Alta",O13="Leve"),AND(K13="Muy Alta",O13="Menor"),AND(K13="Muy Alta",O13="Moderado"),AND(K13="Muy Alta",O13="Mayor")),"Alto",IF(OR(AND(K13="Muy Baja",O13="Catastrófico"),AND(K13="Baja",O13="Catastrófico"),AND(K13="Media",O13="Catastrófico"),AND(K13="Alta",O13="Catastrófico"),AND(K13="Muy Alta",O13="Catastrófico")),"Extremo",""))))</f>
        <v>Alto</v>
      </c>
      <c r="R13" s="89">
        <v>1</v>
      </c>
      <c r="S13" s="195" t="s">
        <v>291</v>
      </c>
      <c r="T13" s="196" t="str">
        <f t="shared" si="0"/>
        <v>Probabilidad</v>
      </c>
      <c r="U13" s="197" t="s">
        <v>14</v>
      </c>
      <c r="V13" s="197" t="s">
        <v>9</v>
      </c>
      <c r="W13" s="198" t="str">
        <f>IF(AND(U13="Preventivo",V13="Automático"),"50%",IF(AND(U13="Preventivo",V13="Manual"),"40%",IF(AND(U13="Detectivo",V13="Automático"),"40%",IF(AND(U13="Detectivo",V13="Manual"),"30%",IF(AND(U13="Correctivo",V13="Automático"),"35%",IF(AND(U13="Correctivo",V13="Manual"),"25%",""))))))</f>
        <v>40%</v>
      </c>
      <c r="X13" s="197" t="s">
        <v>19</v>
      </c>
      <c r="Y13" s="197" t="s">
        <v>22</v>
      </c>
      <c r="Z13" s="197" t="s">
        <v>110</v>
      </c>
      <c r="AA13" s="90">
        <f>IFERROR(IF(T13="Probabilidad",(L13-(+L13*W13)),IF(T13="Impacto",L13,"")),"")</f>
        <v>0.48</v>
      </c>
      <c r="AB13" s="199" t="str">
        <f t="shared" si="1"/>
        <v>Media</v>
      </c>
      <c r="AC13" s="200">
        <f t="shared" si="2"/>
        <v>0.48</v>
      </c>
      <c r="AD13" s="199" t="str">
        <f t="shared" si="3"/>
        <v>Moderado</v>
      </c>
      <c r="AE13" s="200">
        <f>IFERROR(IF(T13="Impacto",(P13-(+P13*W13)),IF(T13="Probabilidad",P13,"")),"")</f>
        <v>0.6</v>
      </c>
      <c r="AF13" s="201" t="str">
        <f t="shared" si="4"/>
        <v>Moderado</v>
      </c>
      <c r="AG13" s="202" t="s">
        <v>122</v>
      </c>
      <c r="AH13" s="203" t="s">
        <v>229</v>
      </c>
      <c r="AI13" s="161" t="s">
        <v>197</v>
      </c>
      <c r="AJ13" s="159" t="s">
        <v>283</v>
      </c>
      <c r="AK13" s="159" t="s">
        <v>206</v>
      </c>
      <c r="AL13" s="195" t="s">
        <v>317</v>
      </c>
      <c r="AM13" s="166" t="s">
        <v>758</v>
      </c>
      <c r="AN13" s="178" t="s">
        <v>619</v>
      </c>
      <c r="AO13" s="158">
        <v>1</v>
      </c>
      <c r="AP13" s="166" t="s">
        <v>620</v>
      </c>
      <c r="AQ13" s="178" t="s">
        <v>621</v>
      </c>
      <c r="AR13" s="158">
        <v>1</v>
      </c>
      <c r="AS13" s="160"/>
      <c r="AT13" s="160" t="s">
        <v>587</v>
      </c>
      <c r="AU13" s="160" t="s">
        <v>589</v>
      </c>
      <c r="AV13" s="160" t="s">
        <v>589</v>
      </c>
      <c r="AW13" s="157" t="s">
        <v>589</v>
      </c>
      <c r="AX13" s="161" t="s">
        <v>754</v>
      </c>
    </row>
    <row r="14" spans="1:50" s="107" customFormat="1" ht="151.5" hidden="1" customHeight="1" x14ac:dyDescent="0.3">
      <c r="A14" s="365"/>
      <c r="B14" s="395"/>
      <c r="C14" s="392"/>
      <c r="D14" s="392"/>
      <c r="E14" s="388"/>
      <c r="F14" s="388"/>
      <c r="G14" s="388"/>
      <c r="H14" s="373"/>
      <c r="I14" s="388"/>
      <c r="J14" s="381"/>
      <c r="K14" s="383"/>
      <c r="L14" s="375"/>
      <c r="M14" s="386"/>
      <c r="N14" s="136"/>
      <c r="O14" s="383"/>
      <c r="P14" s="375"/>
      <c r="Q14" s="378"/>
      <c r="R14" s="89">
        <v>2</v>
      </c>
      <c r="S14" s="204"/>
      <c r="T14" s="196" t="str">
        <f t="shared" si="0"/>
        <v/>
      </c>
      <c r="U14" s="197"/>
      <c r="V14" s="197"/>
      <c r="W14" s="198"/>
      <c r="X14" s="197"/>
      <c r="Y14" s="197"/>
      <c r="Z14" s="197"/>
      <c r="AA14" s="90" t="str">
        <f>IFERROR(IF(T14="Probabilidad",(AA13-(+AA13*W14)),IF(T14="Impacto",L13,"")),"")</f>
        <v/>
      </c>
      <c r="AB14" s="199" t="str">
        <f t="shared" si="1"/>
        <v/>
      </c>
      <c r="AC14" s="200" t="str">
        <f t="shared" si="2"/>
        <v/>
      </c>
      <c r="AD14" s="199" t="str">
        <f t="shared" si="3"/>
        <v/>
      </c>
      <c r="AE14" s="200" t="str">
        <f>IFERROR(IF(T14="Impacto",(P13-(+P13*W14)),IF(T14="Probabilidad",P13,"")),"")</f>
        <v/>
      </c>
      <c r="AF14" s="201" t="str">
        <f t="shared" si="4"/>
        <v/>
      </c>
      <c r="AG14" s="202"/>
      <c r="AH14" s="195"/>
      <c r="AI14" s="160"/>
      <c r="AJ14" s="159"/>
      <c r="AK14" s="159"/>
      <c r="AL14" s="195"/>
      <c r="AM14" s="177"/>
      <c r="AN14" s="177"/>
      <c r="AO14" s="158">
        <v>1</v>
      </c>
      <c r="AP14" s="177"/>
      <c r="AQ14" s="177"/>
      <c r="AR14" s="158">
        <v>1</v>
      </c>
      <c r="AS14" s="160"/>
      <c r="AT14" s="160"/>
      <c r="AU14" s="160"/>
      <c r="AV14" s="160"/>
      <c r="AW14" s="160"/>
      <c r="AX14" s="160"/>
    </row>
    <row r="15" spans="1:50" s="107" customFormat="1" ht="151.5" hidden="1" customHeight="1" x14ac:dyDescent="0.3">
      <c r="A15" s="365"/>
      <c r="B15" s="396"/>
      <c r="C15" s="392"/>
      <c r="D15" s="392"/>
      <c r="E15" s="388"/>
      <c r="F15" s="415"/>
      <c r="G15" s="415"/>
      <c r="H15" s="414"/>
      <c r="I15" s="388"/>
      <c r="J15" s="381"/>
      <c r="K15" s="384"/>
      <c r="L15" s="376"/>
      <c r="M15" s="386"/>
      <c r="N15" s="136"/>
      <c r="O15" s="384"/>
      <c r="P15" s="376"/>
      <c r="Q15" s="379"/>
      <c r="R15" s="89">
        <v>3</v>
      </c>
      <c r="S15" s="204"/>
      <c r="T15" s="196" t="str">
        <f t="shared" si="0"/>
        <v/>
      </c>
      <c r="U15" s="197"/>
      <c r="V15" s="197"/>
      <c r="W15" s="198"/>
      <c r="X15" s="197"/>
      <c r="Y15" s="197"/>
      <c r="Z15" s="197"/>
      <c r="AA15" s="90" t="str">
        <f>IFERROR(IF(T15="Probabilidad",(AA14-(+AA14*W15)),IF(T15="Impacto",L13,"")),"")</f>
        <v/>
      </c>
      <c r="AB15" s="199" t="str">
        <f t="shared" si="1"/>
        <v/>
      </c>
      <c r="AC15" s="200" t="str">
        <f t="shared" si="2"/>
        <v/>
      </c>
      <c r="AD15" s="199" t="str">
        <f t="shared" si="3"/>
        <v/>
      </c>
      <c r="AE15" s="200" t="str">
        <f>IFERROR(IF(T15="Impacto",(P13-(+P13*W15)),IF(T15="Probabilidad",P13,"")),"")</f>
        <v/>
      </c>
      <c r="AF15" s="201" t="str">
        <f t="shared" si="4"/>
        <v/>
      </c>
      <c r="AG15" s="202"/>
      <c r="AH15" s="195"/>
      <c r="AI15" s="160"/>
      <c r="AJ15" s="159"/>
      <c r="AK15" s="159"/>
      <c r="AL15" s="195"/>
      <c r="AM15" s="177"/>
      <c r="AN15" s="177"/>
      <c r="AO15" s="158">
        <v>1</v>
      </c>
      <c r="AP15" s="177"/>
      <c r="AQ15" s="177"/>
      <c r="AR15" s="158">
        <v>1</v>
      </c>
      <c r="AS15" s="160"/>
      <c r="AT15" s="160"/>
      <c r="AU15" s="160"/>
      <c r="AV15" s="160"/>
      <c r="AW15" s="160"/>
      <c r="AX15" s="160"/>
    </row>
    <row r="16" spans="1:50" s="109" customFormat="1" ht="282" customHeight="1" x14ac:dyDescent="0.3">
      <c r="A16" s="365">
        <f>1+A13</f>
        <v>4</v>
      </c>
      <c r="B16" s="394" t="s">
        <v>275</v>
      </c>
      <c r="C16" s="389" t="s">
        <v>292</v>
      </c>
      <c r="D16" s="389" t="s">
        <v>293</v>
      </c>
      <c r="E16" s="387" t="s">
        <v>118</v>
      </c>
      <c r="F16" s="387" t="s">
        <v>296</v>
      </c>
      <c r="G16" s="387" t="s">
        <v>295</v>
      </c>
      <c r="H16" s="372" t="s">
        <v>294</v>
      </c>
      <c r="I16" s="387" t="s">
        <v>218</v>
      </c>
      <c r="J16" s="380">
        <v>383</v>
      </c>
      <c r="K16" s="382" t="str">
        <f>IF(J16&lt;=0,"",IF(J16&lt;=2,"Muy Baja",IF(J16&lt;=24,"Baja",IF(J16&lt;=500,"Media",IF(J16&lt;=5000,"Alta","Muy Alta")))))</f>
        <v>Media</v>
      </c>
      <c r="L16" s="374">
        <f>IF(K16="","",IF(K16="Muy Baja",0.2,IF(K16="Baja",0.4,IF(K16="Media",0.6,IF(K16="Alta",0.8,IF(K16="Muy Alta",1,))))))</f>
        <v>0.6</v>
      </c>
      <c r="M16" s="385" t="s">
        <v>255</v>
      </c>
      <c r="N16" s="137" t="str">
        <f>IF(NOT(ISERROR(MATCH(M16,'Tabla Impacto'!$B$221:$B$223,0))),'Tabla Impacto'!$F$223&amp;"Por favor no seleccionar los criterios de impacto(Afectación Económica o presupuestal y Pérdida Reputacional)",M16)</f>
        <v xml:space="preserve"> El riesgo afecta la imagen de la entidad internamente, de conocimiento general, nivel interno, de junta directiva y accionistas y/o de proveedores</v>
      </c>
      <c r="O16" s="382" t="str">
        <f>IF(OR(N16='Tabla Impacto'!$C$11,N16='Tabla Impacto'!$D$11),"Leve",IF(OR(N16='Tabla Impacto'!$C$12,N16='Tabla Impacto'!$D$12),"Menor",IF(OR(N16='Tabla Impacto'!$C$13,N16='Tabla Impacto'!$D$13),"Moderado",IF(OR(N16='Tabla Impacto'!$C$14,N16='Tabla Impacto'!$D$14),"Mayor",IF(OR(N16='Tabla Impacto'!$C$15,N16='Tabla Impacto'!$D$15),"Catastrófico","")))))</f>
        <v>Menor</v>
      </c>
      <c r="P16" s="374">
        <f>IF(O16="","",IF(O16="Leve",0.2,IF(O16="Menor",0.4,IF(O16="Moderado",0.6,IF(O16="Mayor",0.8,IF(O16="Catastrófico",1,))))))</f>
        <v>0.4</v>
      </c>
      <c r="Q16" s="377" t="str">
        <f>IF(OR(AND(K16="Muy Baja",O16="Leve"),AND(K16="Muy Baja",O16="Menor"),AND(K16="Baja",O16="Leve")),"Bajo",IF(OR(AND(K16="Muy baja",O16="Moderado"),AND(K16="Baja",O16="Menor"),AND(K16="Baja",O16="Moderado"),AND(K16="Media",O16="Leve"),AND(K16="Media",O16="Menor"),AND(K16="Media",O16="Moderado"),AND(K16="Alta",O16="Leve"),AND(K16="Alta",O16="Menor")),"Moderado",IF(OR(AND(K16="Muy Baja",O16="Mayor"),AND(K16="Baja",O16="Mayor"),AND(K16="Media",O16="Mayor"),AND(K16="Alta",O16="Moderado"),AND(K16="Alta",O16="Mayor"),AND(K16="Muy Alta",O16="Leve"),AND(K16="Muy Alta",O16="Menor"),AND(K16="Muy Alta",O16="Moderado"),AND(K16="Muy Alta",O16="Mayor")),"Alto",IF(OR(AND(K16="Muy Baja",O16="Catastrófico"),AND(K16="Baja",O16="Catastrófico"),AND(K16="Media",O16="Catastrófico"),AND(K16="Alta",O16="Catastrófico"),AND(K16="Muy Alta",O16="Catastrófico")),"Extremo",""))))</f>
        <v>Moderado</v>
      </c>
      <c r="R16" s="105">
        <v>1</v>
      </c>
      <c r="S16" s="203" t="s">
        <v>546</v>
      </c>
      <c r="T16" s="205" t="str">
        <f t="shared" si="0"/>
        <v/>
      </c>
      <c r="U16" s="206" t="s">
        <v>761</v>
      </c>
      <c r="V16" s="206" t="s">
        <v>9</v>
      </c>
      <c r="W16" s="207" t="str">
        <f>IF(AND(U16="Preventivo",V16="Automático"),"50%",IF(AND(U16="Preventivo",V16="Manual"),"40%",IF(AND(U16="Detectivo",V16="Automático"),"40%",IF(AND(U16="Detectivo",V16="Manual"),"30%",IF(AND(U16="Correctivo",V16="Automático"),"35%",IF(AND(U16="Correctivo",V16="Manual"),"25%",""))))))</f>
        <v/>
      </c>
      <c r="X16" s="206" t="s">
        <v>19</v>
      </c>
      <c r="Y16" s="206" t="s">
        <v>22</v>
      </c>
      <c r="Z16" s="206" t="s">
        <v>110</v>
      </c>
      <c r="AA16" s="92" t="str">
        <f>IFERROR(IF(T16="Probabilidad",(L16-(+L16*W16)),IF(T16="Impacto",L16,"")),"")</f>
        <v/>
      </c>
      <c r="AB16" s="208" t="str">
        <f t="shared" si="1"/>
        <v/>
      </c>
      <c r="AC16" s="209" t="str">
        <f t="shared" si="2"/>
        <v/>
      </c>
      <c r="AD16" s="208" t="str">
        <f t="shared" si="3"/>
        <v/>
      </c>
      <c r="AE16" s="209" t="str">
        <f>IFERROR(IF(T16="Impacto",(P16-(+P16*W16)),IF(T16="Probabilidad",P16,"")),"")</f>
        <v/>
      </c>
      <c r="AF16" s="210" t="str">
        <f t="shared" si="4"/>
        <v/>
      </c>
      <c r="AG16" s="211" t="s">
        <v>122</v>
      </c>
      <c r="AH16" s="203" t="s">
        <v>547</v>
      </c>
      <c r="AI16" s="174" t="s">
        <v>193</v>
      </c>
      <c r="AJ16" s="173" t="s">
        <v>297</v>
      </c>
      <c r="AK16" s="173" t="s">
        <v>206</v>
      </c>
      <c r="AL16" s="203" t="s">
        <v>298</v>
      </c>
      <c r="AM16" s="166" t="s">
        <v>759</v>
      </c>
      <c r="AN16" s="166" t="s">
        <v>639</v>
      </c>
      <c r="AO16" s="158">
        <v>1</v>
      </c>
      <c r="AP16" s="178" t="s">
        <v>640</v>
      </c>
      <c r="AQ16" s="178" t="s">
        <v>641</v>
      </c>
      <c r="AR16" s="158">
        <v>1</v>
      </c>
      <c r="AS16" s="160"/>
      <c r="AT16" s="159" t="s">
        <v>587</v>
      </c>
      <c r="AU16" s="160" t="s">
        <v>589</v>
      </c>
      <c r="AV16" s="160" t="s">
        <v>589</v>
      </c>
      <c r="AW16" s="160" t="s">
        <v>589</v>
      </c>
      <c r="AX16" s="161" t="s">
        <v>754</v>
      </c>
    </row>
    <row r="17" spans="1:50" s="109" customFormat="1" ht="151.5" hidden="1" customHeight="1" x14ac:dyDescent="0.3">
      <c r="A17" s="365"/>
      <c r="B17" s="395"/>
      <c r="C17" s="390"/>
      <c r="D17" s="392"/>
      <c r="E17" s="388"/>
      <c r="F17" s="388"/>
      <c r="G17" s="388"/>
      <c r="H17" s="373"/>
      <c r="I17" s="388"/>
      <c r="J17" s="381"/>
      <c r="K17" s="383"/>
      <c r="L17" s="375"/>
      <c r="M17" s="386"/>
      <c r="N17" s="138"/>
      <c r="O17" s="383"/>
      <c r="P17" s="375"/>
      <c r="Q17" s="378"/>
      <c r="R17" s="105">
        <v>2</v>
      </c>
      <c r="S17" s="203"/>
      <c r="T17" s="205" t="str">
        <f t="shared" si="0"/>
        <v/>
      </c>
      <c r="U17" s="206"/>
      <c r="V17" s="206"/>
      <c r="W17" s="207"/>
      <c r="X17" s="206"/>
      <c r="Y17" s="206"/>
      <c r="Z17" s="206"/>
      <c r="AA17" s="92" t="str">
        <f>IFERROR(IF(T17="Probabilidad",(AA16-(+AA16*W17)),IF(T17="Impacto",L17,"")),"")</f>
        <v/>
      </c>
      <c r="AB17" s="208" t="str">
        <f t="shared" si="1"/>
        <v/>
      </c>
      <c r="AC17" s="209" t="str">
        <f t="shared" si="2"/>
        <v/>
      </c>
      <c r="AD17" s="208" t="str">
        <f t="shared" si="3"/>
        <v/>
      </c>
      <c r="AE17" s="209" t="str">
        <f>IFERROR(IF(T17="Impacto",(P17-(+P17*W17)),IF(T17="Probabilidad",P17,"")),"")</f>
        <v/>
      </c>
      <c r="AF17" s="210" t="str">
        <f t="shared" si="4"/>
        <v/>
      </c>
      <c r="AG17" s="211"/>
      <c r="AH17" s="203"/>
      <c r="AI17" s="174"/>
      <c r="AJ17" s="173"/>
      <c r="AK17" s="173"/>
      <c r="AL17" s="203"/>
      <c r="AM17" s="177"/>
      <c r="AN17" s="177"/>
      <c r="AO17" s="158">
        <v>1</v>
      </c>
      <c r="AP17" s="177"/>
      <c r="AQ17" s="177"/>
      <c r="AR17" s="160"/>
      <c r="AS17" s="160"/>
      <c r="AT17" s="159" t="s">
        <v>587</v>
      </c>
      <c r="AU17" s="160" t="s">
        <v>589</v>
      </c>
      <c r="AV17" s="160" t="s">
        <v>589</v>
      </c>
      <c r="AW17" s="160" t="s">
        <v>589</v>
      </c>
      <c r="AX17" s="160" t="s">
        <v>589</v>
      </c>
    </row>
    <row r="18" spans="1:50" s="93" customFormat="1" ht="151.5" hidden="1" customHeight="1" x14ac:dyDescent="0.3">
      <c r="A18" s="365"/>
      <c r="B18" s="396"/>
      <c r="C18" s="390"/>
      <c r="D18" s="392"/>
      <c r="E18" s="388"/>
      <c r="F18" s="388"/>
      <c r="G18" s="388"/>
      <c r="H18" s="373"/>
      <c r="I18" s="388"/>
      <c r="J18" s="381"/>
      <c r="K18" s="384"/>
      <c r="L18" s="376"/>
      <c r="M18" s="386"/>
      <c r="N18" s="136"/>
      <c r="O18" s="384"/>
      <c r="P18" s="376"/>
      <c r="Q18" s="379"/>
      <c r="R18" s="89">
        <v>3</v>
      </c>
      <c r="S18" s="195"/>
      <c r="T18" s="196" t="str">
        <f t="shared" si="0"/>
        <v/>
      </c>
      <c r="U18" s="197"/>
      <c r="V18" s="197"/>
      <c r="W18" s="198"/>
      <c r="X18" s="197"/>
      <c r="Y18" s="197"/>
      <c r="Z18" s="197"/>
      <c r="AA18" s="90" t="str">
        <f>IFERROR(IF(T18="Probabilidad",(AA17-(+AA17*W18)),IF(T18="Impacto",L18,"")),"")</f>
        <v/>
      </c>
      <c r="AB18" s="199" t="str">
        <f t="shared" si="1"/>
        <v/>
      </c>
      <c r="AC18" s="200" t="str">
        <f t="shared" si="2"/>
        <v/>
      </c>
      <c r="AD18" s="199" t="str">
        <f t="shared" si="3"/>
        <v/>
      </c>
      <c r="AE18" s="200" t="str">
        <f>IFERROR(IF(T18="Impacto",(P18-(+P18*W18)),IF(T18="Probabilidad",P18,"")),"")</f>
        <v/>
      </c>
      <c r="AF18" s="201" t="str">
        <f t="shared" si="4"/>
        <v/>
      </c>
      <c r="AG18" s="202"/>
      <c r="AH18" s="195"/>
      <c r="AI18" s="160"/>
      <c r="AJ18" s="159"/>
      <c r="AK18" s="159"/>
      <c r="AL18" s="195"/>
      <c r="AM18" s="177"/>
      <c r="AN18" s="177"/>
      <c r="AO18" s="158">
        <v>1</v>
      </c>
      <c r="AP18" s="177"/>
      <c r="AQ18" s="177"/>
      <c r="AR18" s="160"/>
      <c r="AS18" s="160"/>
      <c r="AT18" s="159" t="s">
        <v>587</v>
      </c>
      <c r="AU18" s="160" t="s">
        <v>589</v>
      </c>
      <c r="AV18" s="160" t="s">
        <v>589</v>
      </c>
      <c r="AW18" s="160" t="s">
        <v>589</v>
      </c>
      <c r="AX18" s="160" t="s">
        <v>589</v>
      </c>
    </row>
    <row r="19" spans="1:50" s="93" customFormat="1" ht="171.9" customHeight="1" x14ac:dyDescent="0.3">
      <c r="A19" s="365">
        <f>1+A16</f>
        <v>5</v>
      </c>
      <c r="B19" s="394" t="s">
        <v>301</v>
      </c>
      <c r="C19" s="389" t="s">
        <v>302</v>
      </c>
      <c r="D19" s="389" t="s">
        <v>303</v>
      </c>
      <c r="E19" s="387" t="s">
        <v>120</v>
      </c>
      <c r="F19" s="391" t="s">
        <v>198</v>
      </c>
      <c r="G19" s="387" t="s">
        <v>432</v>
      </c>
      <c r="H19" s="372" t="s">
        <v>272</v>
      </c>
      <c r="I19" s="387" t="s">
        <v>115</v>
      </c>
      <c r="J19" s="380">
        <v>1460</v>
      </c>
      <c r="K19" s="382" t="str">
        <f>IF(J19&lt;=0,"",IF(J19&lt;=2,"Muy Baja",IF(J19&lt;=24,"Baja",IF(J19&lt;=500,"Media",IF(J19&lt;=5000,"Alta","Muy Alta")))))</f>
        <v>Alta</v>
      </c>
      <c r="L19" s="374">
        <f>IF(K19="","",IF(K19="Muy Baja",0.2,IF(K19="Baja",0.4,IF(K19="Media",0.6,IF(K19="Alta",0.8,IF(K19="Muy Alta",1,))))))</f>
        <v>0.8</v>
      </c>
      <c r="M19" s="385" t="s">
        <v>250</v>
      </c>
      <c r="N19" s="135" t="str">
        <f>IF(NOT(ISERROR(MATCH(M19,'Tabla Impacto'!$B$221:$B$223,0))),'Tabla Impacto'!$F$223&amp;"Por favor no seleccionar los criterios de impacto(Afectación Económica o presupuestal y Pérdida Reputacional)",M19)</f>
        <v xml:space="preserve"> El riesgo afecta la imagen de la entidad con algunos usuarios de relevancia frente al logro de los objetivos</v>
      </c>
      <c r="O19" s="382" t="str">
        <f>IF(OR(N19='Tabla Impacto'!$C$11,N19='Tabla Impacto'!$D$11),"Leve",IF(OR(N19='Tabla Impacto'!$C$12,N19='Tabla Impacto'!$D$12),"Menor",IF(OR(N19='Tabla Impacto'!$C$13,N19='Tabla Impacto'!$D$13),"Moderado",IF(OR(N19='Tabla Impacto'!$C$14,N19='Tabla Impacto'!$D$14),"Mayor",IF(OR(N19='Tabla Impacto'!$C$15,N19='Tabla Impacto'!$D$15),"Catastrófico","")))))</f>
        <v>Moderado</v>
      </c>
      <c r="P19" s="374">
        <f>IF(O19="","",IF(O19="Leve",0.2,IF(O19="Menor",0.4,IF(O19="Moderado",0.6,IF(O19="Mayor",0.8,IF(O19="Catastrófico",1,))))))</f>
        <v>0.6</v>
      </c>
      <c r="Q19" s="377" t="str">
        <f>IF(OR(AND(K19="Muy Baja",O19="Leve"),AND(K19="Muy Baja",O19="Menor"),AND(K19="Baja",O19="Leve")),"Bajo",IF(OR(AND(K19="Muy baja",O19="Moderado"),AND(K19="Baja",O19="Menor"),AND(K19="Baja",O19="Moderado"),AND(K19="Media",O19="Leve"),AND(K19="Media",O19="Menor"),AND(K19="Media",O19="Moderado"),AND(K19="Alta",O19="Leve"),AND(K19="Alta",O19="Menor")),"Moderado",IF(OR(AND(K19="Muy Baja",O19="Mayor"),AND(K19="Baja",O19="Mayor"),AND(K19="Media",O19="Mayor"),AND(K19="Alta",O19="Moderado"),AND(K19="Alta",O19="Mayor"),AND(K19="Muy Alta",O19="Leve"),AND(K19="Muy Alta",O19="Menor"),AND(K19="Muy Alta",O19="Moderado"),AND(K19="Muy Alta",O19="Mayor")),"Alto",IF(OR(AND(K19="Muy Baja",O19="Catastrófico"),AND(K19="Baja",O19="Catastrófico"),AND(K19="Media",O19="Catastrófico"),AND(K19="Alta",O19="Catastrófico"),AND(K19="Muy Alta",O19="Catastrófico")),"Extremo",""))))</f>
        <v>Alto</v>
      </c>
      <c r="R19" s="89">
        <v>1</v>
      </c>
      <c r="S19" s="195" t="s">
        <v>304</v>
      </c>
      <c r="T19" s="196" t="str">
        <f t="shared" si="0"/>
        <v>Probabilidad</v>
      </c>
      <c r="U19" s="197" t="s">
        <v>14</v>
      </c>
      <c r="V19" s="197" t="s">
        <v>9</v>
      </c>
      <c r="W19" s="198" t="str">
        <f>IF(AND(U19="Preventivo",V19="Automático"),"50%",IF(AND(U19="Preventivo",V19="Manual"),"40%",IF(AND(U19="Detectivo",V19="Automático"),"40%",IF(AND(U19="Detectivo",V19="Manual"),"30%",IF(AND(U19="Correctivo",V19="Automático"),"35%",IF(AND(U19="Correctivo",V19="Manual"),"25%",""))))))</f>
        <v>40%</v>
      </c>
      <c r="X19" s="197" t="s">
        <v>19</v>
      </c>
      <c r="Y19" s="197" t="s">
        <v>22</v>
      </c>
      <c r="Z19" s="197" t="s">
        <v>110</v>
      </c>
      <c r="AA19" s="90">
        <f>IFERROR(IF(T19="Probabilidad",(L19-(+L19*W19)),IF(T19="Impacto",L19,"")),"")</f>
        <v>0.48</v>
      </c>
      <c r="AB19" s="199" t="str">
        <f t="shared" si="1"/>
        <v>Media</v>
      </c>
      <c r="AC19" s="200">
        <f t="shared" si="2"/>
        <v>0.48</v>
      </c>
      <c r="AD19" s="199" t="str">
        <f t="shared" si="3"/>
        <v>Moderado</v>
      </c>
      <c r="AE19" s="200">
        <f>IFERROR(IF(T19="Impacto",(P19-(+P19*W19)),IF(T19="Probabilidad",P19,"")),"")</f>
        <v>0.6</v>
      </c>
      <c r="AF19" s="201" t="str">
        <f t="shared" si="4"/>
        <v>Moderado</v>
      </c>
      <c r="AG19" s="202" t="s">
        <v>122</v>
      </c>
      <c r="AH19" s="195" t="s">
        <v>305</v>
      </c>
      <c r="AI19" s="160" t="s">
        <v>197</v>
      </c>
      <c r="AJ19" s="173">
        <v>45444</v>
      </c>
      <c r="AK19" s="173">
        <v>45808</v>
      </c>
      <c r="AL19" s="195" t="s">
        <v>225</v>
      </c>
      <c r="AM19" s="179" t="s">
        <v>673</v>
      </c>
      <c r="AN19" s="180" t="s">
        <v>674</v>
      </c>
      <c r="AO19" s="158">
        <v>1</v>
      </c>
      <c r="AP19" s="166" t="s">
        <v>675</v>
      </c>
      <c r="AQ19" s="166" t="s">
        <v>676</v>
      </c>
      <c r="AR19" s="158">
        <v>1</v>
      </c>
      <c r="AS19" s="160"/>
      <c r="AT19" s="159" t="s">
        <v>587</v>
      </c>
      <c r="AU19" s="160" t="s">
        <v>589</v>
      </c>
      <c r="AV19" s="160" t="s">
        <v>589</v>
      </c>
      <c r="AW19" s="160" t="s">
        <v>589</v>
      </c>
      <c r="AX19" s="161" t="s">
        <v>754</v>
      </c>
    </row>
    <row r="20" spans="1:50" s="93" customFormat="1" ht="151.5" hidden="1" customHeight="1" x14ac:dyDescent="0.3">
      <c r="A20" s="365"/>
      <c r="B20" s="395"/>
      <c r="C20" s="390"/>
      <c r="D20" s="392"/>
      <c r="E20" s="388"/>
      <c r="F20" s="388"/>
      <c r="G20" s="388"/>
      <c r="H20" s="373"/>
      <c r="I20" s="388"/>
      <c r="J20" s="381"/>
      <c r="K20" s="383"/>
      <c r="L20" s="375"/>
      <c r="M20" s="386"/>
      <c r="N20" s="136"/>
      <c r="O20" s="383"/>
      <c r="P20" s="375"/>
      <c r="Q20" s="378"/>
      <c r="R20" s="89">
        <v>2</v>
      </c>
      <c r="S20" s="195"/>
      <c r="T20" s="196" t="str">
        <f t="shared" ref="T20:T51" si="5">IF(OR(U20="Preventivo",U20="Detectivo"),"Probabilidad",IF(U20="Correctivo","Impacto",""))</f>
        <v/>
      </c>
      <c r="U20" s="197"/>
      <c r="V20" s="197"/>
      <c r="W20" s="198" t="str">
        <f t="shared" ref="W20:W50" si="6">IF(AND(U20="Preventivo",V20="Automático"),"50%",IF(AND(U20="Preventivo",V20="Manual"),"40%",IF(AND(U20="Detectivo",V20="Automático"),"40%",IF(AND(U20="Detectivo",V20="Manual"),"30%",IF(AND(U20="Correctivo",V20="Automático"),"35%",IF(AND(U20="Correctivo",V20="Manual"),"25%",""))))))</f>
        <v/>
      </c>
      <c r="X20" s="197"/>
      <c r="Y20" s="197"/>
      <c r="Z20" s="197"/>
      <c r="AA20" s="90" t="str">
        <f>IFERROR(IF(T20="Probabilidad",(AA19-(+AA19*W20)),IF(T20="Impacto",L20,"")),"")</f>
        <v/>
      </c>
      <c r="AB20" s="199" t="str">
        <f t="shared" ref="AB20:AB51" si="7">IFERROR(IF(AA20="","",IF(AA20&lt;=0.2,"Muy Baja",IF(AA20&lt;=0.4,"Baja",IF(AA20&lt;=0.6,"Media",IF(AA20&lt;=0.8,"Alta","Muy Alta"))))),"")</f>
        <v/>
      </c>
      <c r="AC20" s="200" t="str">
        <f t="shared" ref="AC20:AC51" si="8">+AA20</f>
        <v/>
      </c>
      <c r="AD20" s="199" t="str">
        <f t="shared" ref="AD20:AD51" si="9">IFERROR(IF(AE20="","",IF(AE20&lt;=0.2,"Leve",IF(AE20&lt;=0.4,"Menor",IF(AE20&lt;=0.6,"Moderado",IF(AE20&lt;=0.8,"Mayor","Catastrófico"))))),"")</f>
        <v/>
      </c>
      <c r="AE20" s="200" t="str">
        <f t="shared" ref="AE20:AE51" si="10">IFERROR(IF(T20="Impacto",(P20-(+P20*W20)),IF(T20="Probabilidad",P20,"")),"")</f>
        <v/>
      </c>
      <c r="AF20" s="201" t="str">
        <f t="shared" ref="AF20:AF51" si="11">IFERROR(IF(OR(AND(AB20="Muy Baja",AD20="Leve"),AND(AB20="Muy Baja",AD20="Menor"),AND(AB20="Baja",AD20="Leve")),"Bajo",IF(OR(AND(AB20="Muy baja",AD20="Moderado"),AND(AB20="Baja",AD20="Menor"),AND(AB20="Baja",AD20="Moderado"),AND(AB20="Media",AD20="Leve"),AND(AB20="Media",AD20="Menor"),AND(AB20="Media",AD20="Moderado"),AND(AB20="Alta",AD20="Leve"),AND(AB20="Alta",AD20="Menor")),"Moderado",IF(OR(AND(AB20="Muy Baja",AD20="Mayor"),AND(AB20="Baja",AD20="Mayor"),AND(AB20="Media",AD20="Mayor"),AND(AB20="Alta",AD20="Moderado"),AND(AB20="Alta",AD20="Mayor"),AND(AB20="Muy Alta",AD20="Leve"),AND(AB20="Muy Alta",AD20="Menor"),AND(AB20="Muy Alta",AD20="Moderado"),AND(AB20="Muy Alta",AD20="Mayor")),"Alto",IF(OR(AND(AB20="Muy Baja",AD20="Catastrófico"),AND(AB20="Baja",AD20="Catastrófico"),AND(AB20="Media",AD20="Catastrófico"),AND(AB20="Alta",AD20="Catastrófico"),AND(AB20="Muy Alta",AD20="Catastrófico")),"Extremo","")))),"")</f>
        <v/>
      </c>
      <c r="AG20" s="202"/>
      <c r="AH20" s="195"/>
      <c r="AI20" s="160"/>
      <c r="AJ20" s="159"/>
      <c r="AK20" s="159"/>
      <c r="AL20" s="195"/>
      <c r="AM20" s="166"/>
      <c r="AN20" s="166"/>
      <c r="AO20" s="158"/>
      <c r="AP20" s="166"/>
      <c r="AQ20" s="166"/>
      <c r="AR20" s="158"/>
      <c r="AS20" s="160"/>
      <c r="AT20" s="159" t="s">
        <v>587</v>
      </c>
      <c r="AU20" s="160" t="s">
        <v>589</v>
      </c>
      <c r="AV20" s="160" t="s">
        <v>589</v>
      </c>
      <c r="AW20" s="160" t="s">
        <v>589</v>
      </c>
      <c r="AX20" s="160" t="s">
        <v>589</v>
      </c>
    </row>
    <row r="21" spans="1:50" s="93" customFormat="1" ht="151.5" hidden="1" customHeight="1" x14ac:dyDescent="0.3">
      <c r="A21" s="365"/>
      <c r="B21" s="396"/>
      <c r="C21" s="390"/>
      <c r="D21" s="392"/>
      <c r="E21" s="388"/>
      <c r="F21" s="388"/>
      <c r="G21" s="388"/>
      <c r="H21" s="373"/>
      <c r="I21" s="388"/>
      <c r="J21" s="381"/>
      <c r="K21" s="384"/>
      <c r="L21" s="376"/>
      <c r="M21" s="386"/>
      <c r="N21" s="136"/>
      <c r="O21" s="384"/>
      <c r="P21" s="376"/>
      <c r="Q21" s="379"/>
      <c r="R21" s="89">
        <v>3</v>
      </c>
      <c r="S21" s="195"/>
      <c r="T21" s="196" t="str">
        <f t="shared" si="5"/>
        <v/>
      </c>
      <c r="U21" s="197"/>
      <c r="V21" s="197"/>
      <c r="W21" s="198" t="str">
        <f t="shared" si="6"/>
        <v/>
      </c>
      <c r="X21" s="197"/>
      <c r="Y21" s="197"/>
      <c r="Z21" s="197"/>
      <c r="AA21" s="90" t="str">
        <f>IFERROR(IF(T21="Probabilidad",(AA20-(+AA20*W21)),IF(T21="Impacto",L21,"")),"")</f>
        <v/>
      </c>
      <c r="AB21" s="199" t="str">
        <f t="shared" si="7"/>
        <v/>
      </c>
      <c r="AC21" s="200" t="str">
        <f t="shared" si="8"/>
        <v/>
      </c>
      <c r="AD21" s="199" t="str">
        <f t="shared" si="9"/>
        <v/>
      </c>
      <c r="AE21" s="200" t="str">
        <f t="shared" si="10"/>
        <v/>
      </c>
      <c r="AF21" s="201" t="str">
        <f t="shared" si="11"/>
        <v/>
      </c>
      <c r="AG21" s="202"/>
      <c r="AH21" s="195"/>
      <c r="AI21" s="160"/>
      <c r="AJ21" s="159"/>
      <c r="AK21" s="159"/>
      <c r="AL21" s="195"/>
      <c r="AM21" s="166"/>
      <c r="AN21" s="166"/>
      <c r="AO21" s="158"/>
      <c r="AP21" s="166"/>
      <c r="AQ21" s="166"/>
      <c r="AR21" s="158"/>
      <c r="AS21" s="160"/>
      <c r="AT21" s="159" t="s">
        <v>587</v>
      </c>
      <c r="AU21" s="160" t="s">
        <v>589</v>
      </c>
      <c r="AV21" s="160" t="s">
        <v>589</v>
      </c>
      <c r="AW21" s="160" t="s">
        <v>589</v>
      </c>
      <c r="AX21" s="160" t="s">
        <v>589</v>
      </c>
    </row>
    <row r="22" spans="1:50" s="93" customFormat="1" ht="201" customHeight="1" x14ac:dyDescent="0.3">
      <c r="A22" s="365">
        <f>1+A19</f>
        <v>6</v>
      </c>
      <c r="B22" s="394" t="s">
        <v>301</v>
      </c>
      <c r="C22" s="389" t="s">
        <v>302</v>
      </c>
      <c r="D22" s="389" t="s">
        <v>303</v>
      </c>
      <c r="E22" s="387" t="s">
        <v>118</v>
      </c>
      <c r="F22" s="391" t="s">
        <v>199</v>
      </c>
      <c r="G22" s="387" t="s">
        <v>239</v>
      </c>
      <c r="H22" s="372" t="s">
        <v>200</v>
      </c>
      <c r="I22" s="387" t="s">
        <v>218</v>
      </c>
      <c r="J22" s="380">
        <v>1460</v>
      </c>
      <c r="K22" s="382" t="str">
        <f>IF(J22&lt;=0,"",IF(J22&lt;=2,"Muy Baja",IF(J22&lt;=24,"Baja",IF(J22&lt;=500,"Media",IF(J22&lt;=5000,"Alta","Muy Alta")))))</f>
        <v>Alta</v>
      </c>
      <c r="L22" s="374">
        <f>IF(K22="","",IF(K22="Muy Baja",0.2,IF(K22="Baja",0.4,IF(K22="Media",0.6,IF(K22="Alta",0.8,IF(K22="Muy Alta",1,))))))</f>
        <v>0.8</v>
      </c>
      <c r="M22" s="385" t="s">
        <v>257</v>
      </c>
      <c r="N22" s="135" t="str">
        <f>IF(NOT(ISERROR(MATCH(M22,'Tabla Impacto'!$B$221:$B$223,0))),'Tabla Impacto'!$F$223&amp;"Por favor no seleccionar los criterios de impacto(Afectación Económica o presupuestal y Pérdida Reputacional)",M22)</f>
        <v xml:space="preserve"> El riesgo afecta la imagen de la entidad con efecto publicitario sostenido a nivel de sector administrativo, nivel departamental o municipal</v>
      </c>
      <c r="O22" s="382" t="str">
        <f>IF(OR(N22='Tabla Impacto'!$C$11,N22='Tabla Impacto'!$D$11),"Leve",IF(OR(N22='Tabla Impacto'!$C$12,N22='Tabla Impacto'!$D$12),"Menor",IF(OR(N22='Tabla Impacto'!$C$13,N22='Tabla Impacto'!$D$13),"Moderado",IF(OR(N22='Tabla Impacto'!$C$14,N22='Tabla Impacto'!$D$14),"Mayor",IF(OR(N22='Tabla Impacto'!$C$15,N22='Tabla Impacto'!$D$15),"Catastrófico","")))))</f>
        <v>Mayor</v>
      </c>
      <c r="P22" s="374">
        <f>IF(O22="","",IF(O22="Leve",0.2,IF(O22="Menor",0.4,IF(O22="Moderado",0.6,IF(O22="Mayor",0.8,IF(O22="Catastrófico",1,))))))</f>
        <v>0.8</v>
      </c>
      <c r="Q22" s="377" t="str">
        <f>IF(OR(AND(K22="Muy Baja",O22="Leve"),AND(K22="Muy Baja",O22="Menor"),AND(K22="Baja",O22="Leve")),"Bajo",IF(OR(AND(K22="Muy baja",O22="Moderado"),AND(K22="Baja",O22="Menor"),AND(K22="Baja",O22="Moderado"),AND(K22="Media",O22="Leve"),AND(K22="Media",O22="Menor"),AND(K22="Media",O22="Moderado"),AND(K22="Alta",O22="Leve"),AND(K22="Alta",O22="Menor")),"Moderado",IF(OR(AND(K22="Muy Baja",O22="Mayor"),AND(K22="Baja",O22="Mayor"),AND(K22="Media",O22="Mayor"),AND(K22="Alta",O22="Moderado"),AND(K22="Alta",O22="Mayor"),AND(K22="Muy Alta",O22="Leve"),AND(K22="Muy Alta",O22="Menor"),AND(K22="Muy Alta",O22="Moderado"),AND(K22="Muy Alta",O22="Mayor")),"Alto",IF(OR(AND(K22="Muy Baja",O22="Catastrófico"),AND(K22="Baja",O22="Catastrófico"),AND(K22="Media",O22="Catastrófico"),AND(K22="Alta",O22="Catastrófico"),AND(K22="Muy Alta",O22="Catastrófico")),"Extremo",""))))</f>
        <v>Alto</v>
      </c>
      <c r="R22" s="89">
        <v>1</v>
      </c>
      <c r="S22" s="195" t="s">
        <v>306</v>
      </c>
      <c r="T22" s="196" t="str">
        <f t="shared" si="5"/>
        <v>Probabilidad</v>
      </c>
      <c r="U22" s="197" t="s">
        <v>14</v>
      </c>
      <c r="V22" s="197" t="s">
        <v>9</v>
      </c>
      <c r="W22" s="198" t="str">
        <f>IF(AND(U22="Preventivo",V22="Automático"),"50%",IF(AND(U22="Preventivo",V22="Manual"),"40%",IF(AND(U22="Detectivo",V22="Automático"),"40%",IF(AND(U22="Detectivo",V22="Manual"),"30%",IF(AND(U22="Correctivo",V22="Automático"),"35%",IF(AND(U22="Correctivo",V22="Manual"),"25%",""))))))</f>
        <v>40%</v>
      </c>
      <c r="X22" s="197" t="s">
        <v>19</v>
      </c>
      <c r="Y22" s="197" t="s">
        <v>22</v>
      </c>
      <c r="Z22" s="197" t="s">
        <v>110</v>
      </c>
      <c r="AA22" s="90">
        <f>IFERROR(IF(T22="Probabilidad",(L22-(+L22*W22)),IF(T22="Impacto",L22,"")),"")</f>
        <v>0.48</v>
      </c>
      <c r="AB22" s="199" t="str">
        <f t="shared" si="7"/>
        <v>Media</v>
      </c>
      <c r="AC22" s="200">
        <f t="shared" si="8"/>
        <v>0.48</v>
      </c>
      <c r="AD22" s="199" t="str">
        <f t="shared" si="9"/>
        <v>Mayor</v>
      </c>
      <c r="AE22" s="200">
        <f>IFERROR(IF(T22="Impacto",(P22-(+P22*W22)),IF(T22="Probabilidad",P22,"")),"")</f>
        <v>0.8</v>
      </c>
      <c r="AF22" s="201" t="str">
        <f t="shared" si="11"/>
        <v>Alto</v>
      </c>
      <c r="AG22" s="202" t="s">
        <v>122</v>
      </c>
      <c r="AH22" s="195" t="s">
        <v>307</v>
      </c>
      <c r="AI22" s="160" t="s">
        <v>197</v>
      </c>
      <c r="AJ22" s="173">
        <v>45444</v>
      </c>
      <c r="AK22" s="173">
        <v>45808</v>
      </c>
      <c r="AL22" s="203" t="s">
        <v>308</v>
      </c>
      <c r="AM22" s="176" t="s">
        <v>677</v>
      </c>
      <c r="AN22" s="166" t="s">
        <v>678</v>
      </c>
      <c r="AO22" s="169">
        <v>1</v>
      </c>
      <c r="AP22" s="176" t="s">
        <v>307</v>
      </c>
      <c r="AQ22" s="166" t="s">
        <v>679</v>
      </c>
      <c r="AR22" s="158">
        <v>1</v>
      </c>
      <c r="AS22" s="160"/>
      <c r="AT22" s="159" t="s">
        <v>587</v>
      </c>
      <c r="AU22" s="160" t="s">
        <v>589</v>
      </c>
      <c r="AV22" s="160" t="s">
        <v>589</v>
      </c>
      <c r="AW22" s="160" t="s">
        <v>589</v>
      </c>
      <c r="AX22" s="161" t="s">
        <v>754</v>
      </c>
    </row>
    <row r="23" spans="1:50" s="93" customFormat="1" ht="151.5" hidden="1" customHeight="1" x14ac:dyDescent="0.3">
      <c r="A23" s="365"/>
      <c r="B23" s="395"/>
      <c r="C23" s="390"/>
      <c r="D23" s="392"/>
      <c r="E23" s="388"/>
      <c r="F23" s="440"/>
      <c r="G23" s="388"/>
      <c r="H23" s="373"/>
      <c r="I23" s="388"/>
      <c r="J23" s="381"/>
      <c r="K23" s="383"/>
      <c r="L23" s="375"/>
      <c r="M23" s="386"/>
      <c r="N23" s="136"/>
      <c r="O23" s="383"/>
      <c r="P23" s="375"/>
      <c r="Q23" s="378"/>
      <c r="R23" s="89">
        <v>2</v>
      </c>
      <c r="S23" s="195"/>
      <c r="T23" s="196" t="str">
        <f t="shared" ref="T23:T24" si="12">IF(OR(U23="Preventivo",U23="Detectivo"),"Probabilidad",IF(U23="Correctivo","Impacto",""))</f>
        <v/>
      </c>
      <c r="U23" s="197"/>
      <c r="V23" s="197"/>
      <c r="W23" s="198" t="str">
        <f t="shared" ref="W23:W24" si="13">IF(AND(U23="Preventivo",V23="Automático"),"50%",IF(AND(U23="Preventivo",V23="Manual"),"40%",IF(AND(U23="Detectivo",V23="Automático"),"40%",IF(AND(U23="Detectivo",V23="Manual"),"30%",IF(AND(U23="Correctivo",V23="Automático"),"35%",IF(AND(U23="Correctivo",V23="Manual"),"25%",""))))))</f>
        <v/>
      </c>
      <c r="X23" s="197"/>
      <c r="Y23" s="197"/>
      <c r="Z23" s="197"/>
      <c r="AA23" s="90" t="str">
        <f>IFERROR(IF(T23="Probabilidad",(AA22-(+AA22*W23)),IF(T23="Impacto",L23,"")),"")</f>
        <v/>
      </c>
      <c r="AB23" s="199" t="str">
        <f t="shared" ref="AB23:AB24" si="14">IFERROR(IF(AA23="","",IF(AA23&lt;=0.2,"Muy Baja",IF(AA23&lt;=0.4,"Baja",IF(AA23&lt;=0.6,"Media",IF(AA23&lt;=0.8,"Alta","Muy Alta"))))),"")</f>
        <v/>
      </c>
      <c r="AC23" s="200" t="str">
        <f t="shared" ref="AC23:AC24" si="15">+AA23</f>
        <v/>
      </c>
      <c r="AD23" s="199" t="str">
        <f t="shared" ref="AD23:AD24" si="16">IFERROR(IF(AE23="","",IF(AE23&lt;=0.2,"Leve",IF(AE23&lt;=0.4,"Menor",IF(AE23&lt;=0.6,"Moderado",IF(AE23&lt;=0.8,"Mayor","Catastrófico"))))),"")</f>
        <v/>
      </c>
      <c r="AE23" s="200" t="str">
        <f t="shared" ref="AE23:AE24" si="17">IFERROR(IF(T23="Impacto",(P23-(+P23*W23)),IF(T23="Probabilidad",P23,"")),"")</f>
        <v/>
      </c>
      <c r="AF23" s="201" t="str">
        <f t="shared" ref="AF23:AF24" si="18">IFERROR(IF(OR(AND(AB23="Muy Baja",AD23="Leve"),AND(AB23="Muy Baja",AD23="Menor"),AND(AB23="Baja",AD23="Leve")),"Bajo",IF(OR(AND(AB23="Muy baja",AD23="Moderado"),AND(AB23="Baja",AD23="Menor"),AND(AB23="Baja",AD23="Moderado"),AND(AB23="Media",AD23="Leve"),AND(AB23="Media",AD23="Menor"),AND(AB23="Media",AD23="Moderado"),AND(AB23="Alta",AD23="Leve"),AND(AB23="Alta",AD23="Menor")),"Moderado",IF(OR(AND(AB23="Muy Baja",AD23="Mayor"),AND(AB23="Baja",AD23="Mayor"),AND(AB23="Media",AD23="Mayor"),AND(AB23="Alta",AD23="Moderado"),AND(AB23="Alta",AD23="Mayor"),AND(AB23="Muy Alta",AD23="Leve"),AND(AB23="Muy Alta",AD23="Menor"),AND(AB23="Muy Alta",AD23="Moderado"),AND(AB23="Muy Alta",AD23="Mayor")),"Alto",IF(OR(AND(AB23="Muy Baja",AD23="Catastrófico"),AND(AB23="Baja",AD23="Catastrófico"),AND(AB23="Media",AD23="Catastrófico"),AND(AB23="Alta",AD23="Catastrófico"),AND(AB23="Muy Alta",AD23="Catastrófico")),"Extremo","")))),"")</f>
        <v/>
      </c>
      <c r="AG23" s="202"/>
      <c r="AH23" s="195"/>
      <c r="AI23" s="160"/>
      <c r="AJ23" s="159"/>
      <c r="AK23" s="159"/>
      <c r="AL23" s="195"/>
      <c r="AM23" s="177"/>
      <c r="AN23" s="177"/>
      <c r="AO23" s="160"/>
      <c r="AP23" s="177"/>
      <c r="AQ23" s="177"/>
      <c r="AR23" s="160"/>
      <c r="AS23" s="160"/>
      <c r="AT23" s="160"/>
      <c r="AU23" s="160"/>
      <c r="AV23" s="160"/>
      <c r="AW23" s="160"/>
      <c r="AX23" s="160"/>
    </row>
    <row r="24" spans="1:50" s="93" customFormat="1" ht="151.5" hidden="1" customHeight="1" x14ac:dyDescent="0.3">
      <c r="A24" s="365"/>
      <c r="B24" s="396"/>
      <c r="C24" s="390"/>
      <c r="D24" s="392"/>
      <c r="E24" s="388"/>
      <c r="F24" s="441"/>
      <c r="G24" s="415"/>
      <c r="H24" s="414"/>
      <c r="I24" s="415"/>
      <c r="J24" s="381"/>
      <c r="K24" s="384"/>
      <c r="L24" s="376"/>
      <c r="M24" s="386"/>
      <c r="N24" s="136"/>
      <c r="O24" s="384"/>
      <c r="P24" s="376"/>
      <c r="Q24" s="379"/>
      <c r="R24" s="89">
        <v>3</v>
      </c>
      <c r="S24" s="195"/>
      <c r="T24" s="196" t="str">
        <f t="shared" si="12"/>
        <v/>
      </c>
      <c r="U24" s="197"/>
      <c r="V24" s="197"/>
      <c r="W24" s="198" t="str">
        <f t="shared" si="13"/>
        <v/>
      </c>
      <c r="X24" s="197"/>
      <c r="Y24" s="197"/>
      <c r="Z24" s="197"/>
      <c r="AA24" s="90" t="str">
        <f>IFERROR(IF(T24="Probabilidad",(AA23-(+AA23*W24)),IF(T24="Impacto",L24,"")),"")</f>
        <v/>
      </c>
      <c r="AB24" s="199" t="str">
        <f t="shared" si="14"/>
        <v/>
      </c>
      <c r="AC24" s="200" t="str">
        <f t="shared" si="15"/>
        <v/>
      </c>
      <c r="AD24" s="199" t="str">
        <f t="shared" si="16"/>
        <v/>
      </c>
      <c r="AE24" s="200" t="str">
        <f t="shared" si="17"/>
        <v/>
      </c>
      <c r="AF24" s="201" t="str">
        <f t="shared" si="18"/>
        <v/>
      </c>
      <c r="AG24" s="202"/>
      <c r="AH24" s="195"/>
      <c r="AI24" s="160"/>
      <c r="AJ24" s="159"/>
      <c r="AK24" s="159"/>
      <c r="AL24" s="195"/>
      <c r="AM24" s="177"/>
      <c r="AN24" s="177"/>
      <c r="AO24" s="160"/>
      <c r="AP24" s="177"/>
      <c r="AQ24" s="177"/>
      <c r="AR24" s="160"/>
      <c r="AS24" s="160"/>
      <c r="AT24" s="160"/>
      <c r="AU24" s="160"/>
      <c r="AV24" s="160"/>
      <c r="AW24" s="160"/>
      <c r="AX24" s="160"/>
    </row>
    <row r="25" spans="1:50" s="93" customFormat="1" ht="226.5" customHeight="1" x14ac:dyDescent="0.3">
      <c r="A25" s="365">
        <f>1+A22</f>
        <v>7</v>
      </c>
      <c r="B25" s="394" t="s">
        <v>309</v>
      </c>
      <c r="C25" s="389" t="s">
        <v>310</v>
      </c>
      <c r="D25" s="389" t="s">
        <v>311</v>
      </c>
      <c r="E25" s="387" t="s">
        <v>120</v>
      </c>
      <c r="F25" s="391" t="s">
        <v>313</v>
      </c>
      <c r="G25" s="387" t="s">
        <v>314</v>
      </c>
      <c r="H25" s="372" t="s">
        <v>312</v>
      </c>
      <c r="I25" s="387" t="s">
        <v>218</v>
      </c>
      <c r="J25" s="380">
        <v>12</v>
      </c>
      <c r="K25" s="382" t="str">
        <f>IF(J25&lt;=0,"",IF(J25&lt;=2,"Muy Baja",IF(J25&lt;=24,"Baja",IF(J25&lt;=500,"Media",IF(J25&lt;=5000,"Alta","Muy Alta")))))</f>
        <v>Baja</v>
      </c>
      <c r="L25" s="374">
        <f>IF(K25="","",IF(K25="Muy Baja",0.2,IF(K25="Baja",0.4,IF(K25="Media",0.6,IF(K25="Alta",0.8,IF(K25="Muy Alta",1,))))))</f>
        <v>0.4</v>
      </c>
      <c r="M25" s="385" t="s">
        <v>257</v>
      </c>
      <c r="N25" s="135" t="str">
        <f>IF(NOT(ISERROR(MATCH(M25,'Tabla Impacto'!$B$221:$B$223,0))),'Tabla Impacto'!$F$223&amp;"Por favor no seleccionar los criterios de impacto(Afectación Económica o presupuestal y Pérdida Reputacional)",M25)</f>
        <v xml:space="preserve"> El riesgo afecta la imagen de la entidad con efecto publicitario sostenido a nivel de sector administrativo, nivel departamental o municipal</v>
      </c>
      <c r="O25" s="382" t="str">
        <f>IF(OR(N25='Tabla Impacto'!$C$11,N25='Tabla Impacto'!$D$11),"Leve",IF(OR(N25='Tabla Impacto'!$C$12,N25='Tabla Impacto'!$D$12),"Menor",IF(OR(N25='Tabla Impacto'!$C$13,N25='Tabla Impacto'!$D$13),"Moderado",IF(OR(N25='Tabla Impacto'!$C$14,N25='Tabla Impacto'!$D$14),"Mayor",IF(OR(N25='Tabla Impacto'!$C$15,N25='Tabla Impacto'!$D$15),"Catastrófico","")))))</f>
        <v>Mayor</v>
      </c>
      <c r="P25" s="374">
        <f>IF(O25="","",IF(O25="Leve",0.2,IF(O25="Menor",0.4,IF(O25="Moderado",0.6,IF(O25="Mayor",0.8,IF(O25="Catastrófico",1,))))))</f>
        <v>0.8</v>
      </c>
      <c r="Q25" s="377" t="str">
        <f>IF(OR(AND(K25="Muy Baja",O25="Leve"),AND(K25="Muy Baja",O25="Menor"),AND(K25="Baja",O25="Leve")),"Bajo",IF(OR(AND(K25="Muy baja",O25="Moderado"),AND(K25="Baja",O25="Menor"),AND(K25="Baja",O25="Moderado"),AND(K25="Media",O25="Leve"),AND(K25="Media",O25="Menor"),AND(K25="Media",O25="Moderado"),AND(K25="Alta",O25="Leve"),AND(K25="Alta",O25="Menor")),"Moderado",IF(OR(AND(K25="Muy Baja",O25="Mayor"),AND(K25="Baja",O25="Mayor"),AND(K25="Media",O25="Mayor"),AND(K25="Alta",O25="Moderado"),AND(K25="Alta",O25="Mayor"),AND(K25="Muy Alta",O25="Leve"),AND(K25="Muy Alta",O25="Menor"),AND(K25="Muy Alta",O25="Moderado"),AND(K25="Muy Alta",O25="Mayor")),"Alto",IF(OR(AND(K25="Muy Baja",O25="Catastrófico"),AND(K25="Baja",O25="Catastrófico"),AND(K25="Media",O25="Catastrófico"),AND(K25="Alta",O25="Catastrófico"),AND(K25="Muy Alta",O25="Catastrófico")),"Extremo",""))))</f>
        <v>Alto</v>
      </c>
      <c r="R25" s="89">
        <v>1</v>
      </c>
      <c r="S25" s="195" t="s">
        <v>315</v>
      </c>
      <c r="T25" s="196" t="str">
        <f t="shared" si="5"/>
        <v>Probabilidad</v>
      </c>
      <c r="U25" s="197" t="s">
        <v>14</v>
      </c>
      <c r="V25" s="197" t="s">
        <v>9</v>
      </c>
      <c r="W25" s="198" t="str">
        <f t="shared" si="6"/>
        <v>40%</v>
      </c>
      <c r="X25" s="197" t="s">
        <v>20</v>
      </c>
      <c r="Y25" s="197" t="s">
        <v>22</v>
      </c>
      <c r="Z25" s="197" t="s">
        <v>111</v>
      </c>
      <c r="AA25" s="90">
        <f>IFERROR(IF(T25="Probabilidad",(L25-(+L25*W25)),IF(T25="Impacto",L25,"")),"")</f>
        <v>0.24</v>
      </c>
      <c r="AB25" s="199" t="str">
        <f t="shared" si="7"/>
        <v>Baja</v>
      </c>
      <c r="AC25" s="200">
        <f t="shared" si="8"/>
        <v>0.24</v>
      </c>
      <c r="AD25" s="199" t="str">
        <f t="shared" si="9"/>
        <v>Mayor</v>
      </c>
      <c r="AE25" s="200">
        <f t="shared" si="10"/>
        <v>0.8</v>
      </c>
      <c r="AF25" s="201" t="str">
        <f t="shared" si="11"/>
        <v>Alto</v>
      </c>
      <c r="AG25" s="202" t="s">
        <v>122</v>
      </c>
      <c r="AH25" s="212" t="s">
        <v>316</v>
      </c>
      <c r="AI25" s="213" t="s">
        <v>299</v>
      </c>
      <c r="AJ25" s="173">
        <v>45444</v>
      </c>
      <c r="AK25" s="173">
        <v>45626</v>
      </c>
      <c r="AL25" s="212" t="s">
        <v>318</v>
      </c>
      <c r="AM25" s="166" t="s">
        <v>622</v>
      </c>
      <c r="AN25" s="166" t="s">
        <v>623</v>
      </c>
      <c r="AO25" s="170">
        <v>1</v>
      </c>
      <c r="AP25" s="166" t="s">
        <v>624</v>
      </c>
      <c r="AQ25" s="166" t="s">
        <v>672</v>
      </c>
      <c r="AR25" s="170">
        <v>1</v>
      </c>
      <c r="AS25" s="160"/>
      <c r="AT25" s="159" t="s">
        <v>587</v>
      </c>
      <c r="AU25" s="160" t="s">
        <v>589</v>
      </c>
      <c r="AV25" s="160" t="s">
        <v>589</v>
      </c>
      <c r="AW25" s="160" t="s">
        <v>589</v>
      </c>
      <c r="AX25" s="161" t="s">
        <v>754</v>
      </c>
    </row>
    <row r="26" spans="1:50" s="93" customFormat="1" ht="151.5" hidden="1" customHeight="1" x14ac:dyDescent="0.3">
      <c r="A26" s="365"/>
      <c r="B26" s="395"/>
      <c r="C26" s="390"/>
      <c r="D26" s="392"/>
      <c r="E26" s="388"/>
      <c r="F26" s="388"/>
      <c r="G26" s="388"/>
      <c r="H26" s="373"/>
      <c r="I26" s="388"/>
      <c r="J26" s="381"/>
      <c r="K26" s="383"/>
      <c r="L26" s="375"/>
      <c r="M26" s="386"/>
      <c r="N26" s="136"/>
      <c r="O26" s="383"/>
      <c r="P26" s="375"/>
      <c r="Q26" s="378"/>
      <c r="R26" s="89">
        <v>2</v>
      </c>
      <c r="S26" s="195"/>
      <c r="T26" s="196" t="str">
        <f t="shared" si="5"/>
        <v/>
      </c>
      <c r="U26" s="197"/>
      <c r="V26" s="197"/>
      <c r="W26" s="198"/>
      <c r="X26" s="197"/>
      <c r="Y26" s="197"/>
      <c r="Z26" s="197"/>
      <c r="AA26" s="90" t="str">
        <f>IFERROR(IF(T26="Probabilidad",(AA25-(+AA25*W26)),IF(T26="Impacto",L26,"")),"")</f>
        <v/>
      </c>
      <c r="AB26" s="199" t="str">
        <f t="shared" si="7"/>
        <v/>
      </c>
      <c r="AC26" s="200" t="str">
        <f t="shared" si="8"/>
        <v/>
      </c>
      <c r="AD26" s="199" t="str">
        <f t="shared" si="9"/>
        <v/>
      </c>
      <c r="AE26" s="200" t="str">
        <f t="shared" si="10"/>
        <v/>
      </c>
      <c r="AF26" s="201" t="str">
        <f t="shared" si="11"/>
        <v/>
      </c>
      <c r="AG26" s="202"/>
      <c r="AH26" s="195"/>
      <c r="AI26" s="160"/>
      <c r="AJ26" s="159"/>
      <c r="AK26" s="159"/>
      <c r="AL26" s="195"/>
      <c r="AM26" s="177"/>
      <c r="AN26" s="177"/>
      <c r="AO26" s="160"/>
      <c r="AP26" s="177"/>
      <c r="AQ26" s="177"/>
      <c r="AR26" s="160"/>
      <c r="AS26" s="160"/>
      <c r="AT26" s="160"/>
      <c r="AU26" s="160"/>
      <c r="AV26" s="160"/>
      <c r="AW26" s="160"/>
      <c r="AX26" s="160"/>
    </row>
    <row r="27" spans="1:50" s="93" customFormat="1" ht="151.5" hidden="1" customHeight="1" x14ac:dyDescent="0.3">
      <c r="A27" s="365"/>
      <c r="B27" s="396"/>
      <c r="C27" s="390"/>
      <c r="D27" s="392"/>
      <c r="E27" s="388"/>
      <c r="F27" s="388"/>
      <c r="G27" s="388"/>
      <c r="H27" s="373"/>
      <c r="I27" s="388"/>
      <c r="J27" s="381"/>
      <c r="K27" s="384"/>
      <c r="L27" s="376"/>
      <c r="M27" s="386"/>
      <c r="N27" s="136"/>
      <c r="O27" s="384"/>
      <c r="P27" s="376"/>
      <c r="Q27" s="379"/>
      <c r="R27" s="89">
        <v>3</v>
      </c>
      <c r="S27" s="195"/>
      <c r="T27" s="196" t="str">
        <f t="shared" si="5"/>
        <v/>
      </c>
      <c r="U27" s="197"/>
      <c r="V27" s="197"/>
      <c r="W27" s="198"/>
      <c r="X27" s="197"/>
      <c r="Y27" s="197"/>
      <c r="Z27" s="197"/>
      <c r="AA27" s="90" t="str">
        <f>IFERROR(IF(T27="Probabilidad",(AA26-(+AA26*W27)),IF(T27="Impacto",L27,"")),"")</f>
        <v/>
      </c>
      <c r="AB27" s="199" t="str">
        <f t="shared" si="7"/>
        <v/>
      </c>
      <c r="AC27" s="200" t="str">
        <f t="shared" si="8"/>
        <v/>
      </c>
      <c r="AD27" s="199" t="str">
        <f t="shared" si="9"/>
        <v/>
      </c>
      <c r="AE27" s="200" t="str">
        <f t="shared" si="10"/>
        <v/>
      </c>
      <c r="AF27" s="201" t="str">
        <f t="shared" si="11"/>
        <v/>
      </c>
      <c r="AG27" s="202"/>
      <c r="AH27" s="195"/>
      <c r="AI27" s="160"/>
      <c r="AJ27" s="159"/>
      <c r="AK27" s="159"/>
      <c r="AL27" s="195"/>
      <c r="AM27" s="177"/>
      <c r="AN27" s="177"/>
      <c r="AO27" s="160"/>
      <c r="AP27" s="177"/>
      <c r="AQ27" s="177"/>
      <c r="AR27" s="160"/>
      <c r="AS27" s="160"/>
      <c r="AT27" s="160"/>
      <c r="AU27" s="160"/>
      <c r="AV27" s="160"/>
      <c r="AW27" s="160"/>
      <c r="AX27" s="160"/>
    </row>
    <row r="28" spans="1:50" s="93" customFormat="1" ht="151.5" customHeight="1" x14ac:dyDescent="0.3">
      <c r="A28" s="365">
        <f>1+A25</f>
        <v>8</v>
      </c>
      <c r="B28" s="394" t="s">
        <v>319</v>
      </c>
      <c r="C28" s="389" t="s">
        <v>320</v>
      </c>
      <c r="D28" s="389" t="s">
        <v>321</v>
      </c>
      <c r="E28" s="387" t="s">
        <v>118</v>
      </c>
      <c r="F28" s="387" t="s">
        <v>322</v>
      </c>
      <c r="G28" s="387" t="s">
        <v>323</v>
      </c>
      <c r="H28" s="372" t="s">
        <v>430</v>
      </c>
      <c r="I28" s="387" t="s">
        <v>115</v>
      </c>
      <c r="J28" s="380">
        <v>24</v>
      </c>
      <c r="K28" s="382" t="str">
        <f>IF(J28&lt;=0,"",IF(J28&lt;=2,"Muy Baja",IF(J28&lt;=24,"Baja",IF(J28&lt;=500,"Media",IF(J28&lt;=5000,"Alta","Muy Alta")))))</f>
        <v>Baja</v>
      </c>
      <c r="L28" s="374">
        <f>IF(K28="","",IF(K28="Muy Baja",0.2,IF(K28="Baja",0.4,IF(K28="Media",0.6,IF(K28="Alta",0.8,IF(K28="Muy Alta",1,))))))</f>
        <v>0.4</v>
      </c>
      <c r="M28" s="385" t="s">
        <v>250</v>
      </c>
      <c r="N28" s="135" t="str">
        <f>IF(NOT(ISERROR(MATCH(M28,'Tabla Impacto'!$B$221:$B$223,0))),'Tabla Impacto'!$F$223&amp;"Por favor no seleccionar los criterios de impacto(Afectación Económica o presupuestal y Pérdida Reputacional)",M28)</f>
        <v xml:space="preserve"> El riesgo afecta la imagen de la entidad con algunos usuarios de relevancia frente al logro de los objetivos</v>
      </c>
      <c r="O28" s="382" t="str">
        <f>IF(OR(N28='Tabla Impacto'!$C$11,N28='Tabla Impacto'!$D$11),"Leve",IF(OR(N28='Tabla Impacto'!$C$12,N28='Tabla Impacto'!$D$12),"Menor",IF(OR(N28='Tabla Impacto'!$C$13,N28='Tabla Impacto'!$D$13),"Moderado",IF(OR(N28='Tabla Impacto'!$C$14,N28='Tabla Impacto'!$D$14),"Mayor",IF(OR(N28='Tabla Impacto'!$C$15,N28='Tabla Impacto'!$D$15),"Catastrófico","")))))</f>
        <v>Moderado</v>
      </c>
      <c r="P28" s="374">
        <f>IF(O28="","",IF(O28="Leve",0.2,IF(O28="Menor",0.4,IF(O28="Moderado",0.6,IF(O28="Mayor",0.8,IF(O28="Catastrófico",1,))))))</f>
        <v>0.6</v>
      </c>
      <c r="Q28" s="377" t="str">
        <f>IF(OR(AND(K28="Muy Baja",O28="Leve"),AND(K28="Muy Baja",O28="Menor"),AND(K28="Baja",O28="Leve")),"Bajo",IF(OR(AND(K28="Muy baja",O28="Moderado"),AND(K28="Baja",O28="Menor"),AND(K28="Baja",O28="Moderado"),AND(K28="Media",O28="Leve"),AND(K28="Media",O28="Menor"),AND(K28="Media",O28="Moderado"),AND(K28="Alta",O28="Leve"),AND(K28="Alta",O28="Menor")),"Moderado",IF(OR(AND(K28="Muy Baja",O28="Mayor"),AND(K28="Baja",O28="Mayor"),AND(K28="Media",O28="Mayor"),AND(K28="Alta",O28="Moderado"),AND(K28="Alta",O28="Mayor"),AND(K28="Muy Alta",O28="Leve"),AND(K28="Muy Alta",O28="Menor"),AND(K28="Muy Alta",O28="Moderado"),AND(K28="Muy Alta",O28="Mayor")),"Alto",IF(OR(AND(K28="Muy Baja",O28="Catastrófico"),AND(K28="Baja",O28="Catastrófico"),AND(K28="Media",O28="Catastrófico"),AND(K28="Alta",O28="Catastrófico"),AND(K28="Muy Alta",O28="Catastrófico")),"Extremo",""))))</f>
        <v>Moderado</v>
      </c>
      <c r="R28" s="89">
        <v>1</v>
      </c>
      <c r="S28" s="212" t="s">
        <v>539</v>
      </c>
      <c r="T28" s="196" t="str">
        <f t="shared" si="5"/>
        <v>Probabilidad</v>
      </c>
      <c r="U28" s="197" t="s">
        <v>14</v>
      </c>
      <c r="V28" s="197" t="s">
        <v>9</v>
      </c>
      <c r="W28" s="198" t="str">
        <f t="shared" si="6"/>
        <v>40%</v>
      </c>
      <c r="X28" s="197" t="s">
        <v>19</v>
      </c>
      <c r="Y28" s="197" t="s">
        <v>22</v>
      </c>
      <c r="Z28" s="197" t="s">
        <v>110</v>
      </c>
      <c r="AA28" s="90">
        <f>IFERROR(IF(T28="Probabilidad",(L28-(+L28*W28)),IF(T28="Impacto",L28,"")),"")</f>
        <v>0.24</v>
      </c>
      <c r="AB28" s="199" t="str">
        <f t="shared" si="7"/>
        <v>Baja</v>
      </c>
      <c r="AC28" s="200">
        <f t="shared" si="8"/>
        <v>0.24</v>
      </c>
      <c r="AD28" s="199" t="str">
        <f t="shared" si="9"/>
        <v>Moderado</v>
      </c>
      <c r="AE28" s="200">
        <f t="shared" si="10"/>
        <v>0.6</v>
      </c>
      <c r="AF28" s="201" t="str">
        <f t="shared" si="11"/>
        <v>Moderado</v>
      </c>
      <c r="AG28" s="202" t="s">
        <v>122</v>
      </c>
      <c r="AH28" s="195" t="s">
        <v>431</v>
      </c>
      <c r="AI28" s="160" t="s">
        <v>197</v>
      </c>
      <c r="AJ28" s="173">
        <v>45444</v>
      </c>
      <c r="AK28" s="173">
        <v>45657</v>
      </c>
      <c r="AL28" s="212" t="s">
        <v>540</v>
      </c>
      <c r="AM28" s="166" t="s">
        <v>625</v>
      </c>
      <c r="AN28" s="166" t="s">
        <v>626</v>
      </c>
      <c r="AO28" s="170">
        <v>1</v>
      </c>
      <c r="AP28" s="166" t="s">
        <v>627</v>
      </c>
      <c r="AQ28" s="166" t="s">
        <v>628</v>
      </c>
      <c r="AR28" s="170">
        <v>1</v>
      </c>
      <c r="AS28" s="160"/>
      <c r="AT28" s="160" t="s">
        <v>587</v>
      </c>
      <c r="AU28" s="160" t="s">
        <v>612</v>
      </c>
      <c r="AV28" s="160" t="s">
        <v>612</v>
      </c>
      <c r="AW28" s="160" t="s">
        <v>612</v>
      </c>
      <c r="AX28" s="161" t="s">
        <v>754</v>
      </c>
    </row>
    <row r="29" spans="1:50" s="93" customFormat="1" ht="151.5" hidden="1" customHeight="1" x14ac:dyDescent="0.3">
      <c r="A29" s="365"/>
      <c r="B29" s="395"/>
      <c r="C29" s="390"/>
      <c r="D29" s="392"/>
      <c r="E29" s="388"/>
      <c r="F29" s="388"/>
      <c r="G29" s="388"/>
      <c r="H29" s="373"/>
      <c r="I29" s="388"/>
      <c r="J29" s="381"/>
      <c r="K29" s="383"/>
      <c r="L29" s="375"/>
      <c r="M29" s="386"/>
      <c r="N29" s="136"/>
      <c r="O29" s="383"/>
      <c r="P29" s="375"/>
      <c r="Q29" s="378"/>
      <c r="R29" s="89">
        <v>2</v>
      </c>
      <c r="S29" s="212"/>
      <c r="T29" s="196" t="str">
        <f t="shared" si="5"/>
        <v/>
      </c>
      <c r="U29" s="197"/>
      <c r="V29" s="197"/>
      <c r="W29" s="198" t="str">
        <f t="shared" si="6"/>
        <v/>
      </c>
      <c r="X29" s="197"/>
      <c r="Y29" s="197"/>
      <c r="Z29" s="197"/>
      <c r="AA29" s="90" t="str">
        <f t="shared" ref="AA29:AA36" si="19">IFERROR(IF(T29="Probabilidad",(AA28-(+AA28*W29)),IF(T29="Impacto",L29,"")),"")</f>
        <v/>
      </c>
      <c r="AB29" s="199" t="str">
        <f t="shared" si="7"/>
        <v/>
      </c>
      <c r="AC29" s="200" t="str">
        <f t="shared" si="8"/>
        <v/>
      </c>
      <c r="AD29" s="199" t="str">
        <f t="shared" si="9"/>
        <v/>
      </c>
      <c r="AE29" s="200" t="str">
        <f t="shared" si="10"/>
        <v/>
      </c>
      <c r="AF29" s="201" t="str">
        <f t="shared" si="11"/>
        <v/>
      </c>
      <c r="AG29" s="202"/>
      <c r="AH29" s="212" t="s">
        <v>324</v>
      </c>
      <c r="AI29" s="213" t="s">
        <v>193</v>
      </c>
      <c r="AJ29" s="173">
        <v>45444</v>
      </c>
      <c r="AK29" s="173">
        <v>45657</v>
      </c>
      <c r="AL29" s="212"/>
      <c r="AM29" s="166" t="s">
        <v>629</v>
      </c>
      <c r="AN29" s="166" t="s">
        <v>630</v>
      </c>
      <c r="AO29" s="158">
        <v>0.5</v>
      </c>
      <c r="AP29" s="166" t="s">
        <v>631</v>
      </c>
      <c r="AQ29" s="166" t="s">
        <v>632</v>
      </c>
      <c r="AR29" s="170">
        <v>0.5</v>
      </c>
      <c r="AS29" s="160"/>
      <c r="AT29" s="160" t="s">
        <v>587</v>
      </c>
      <c r="AU29" s="160" t="s">
        <v>612</v>
      </c>
      <c r="AV29" s="160" t="s">
        <v>612</v>
      </c>
      <c r="AW29" s="160" t="s">
        <v>612</v>
      </c>
      <c r="AX29" s="160" t="s">
        <v>612</v>
      </c>
    </row>
    <row r="30" spans="1:50" s="93" customFormat="1" ht="151.5" hidden="1" customHeight="1" x14ac:dyDescent="0.3">
      <c r="A30" s="365"/>
      <c r="B30" s="396"/>
      <c r="C30" s="390"/>
      <c r="D30" s="392"/>
      <c r="E30" s="388"/>
      <c r="F30" s="388"/>
      <c r="G30" s="388"/>
      <c r="H30" s="373"/>
      <c r="I30" s="388"/>
      <c r="J30" s="381"/>
      <c r="K30" s="384"/>
      <c r="L30" s="376"/>
      <c r="M30" s="386"/>
      <c r="N30" s="136"/>
      <c r="O30" s="384"/>
      <c r="P30" s="376"/>
      <c r="Q30" s="379"/>
      <c r="R30" s="89">
        <v>3</v>
      </c>
      <c r="S30" s="195"/>
      <c r="T30" s="196" t="str">
        <f t="shared" si="5"/>
        <v/>
      </c>
      <c r="U30" s="197"/>
      <c r="V30" s="197"/>
      <c r="W30" s="198"/>
      <c r="X30" s="197"/>
      <c r="Y30" s="197"/>
      <c r="Z30" s="197"/>
      <c r="AA30" s="90" t="str">
        <f t="shared" si="19"/>
        <v/>
      </c>
      <c r="AB30" s="199" t="str">
        <f t="shared" si="7"/>
        <v/>
      </c>
      <c r="AC30" s="200" t="str">
        <f t="shared" si="8"/>
        <v/>
      </c>
      <c r="AD30" s="199" t="str">
        <f t="shared" si="9"/>
        <v/>
      </c>
      <c r="AE30" s="200" t="str">
        <f t="shared" si="10"/>
        <v/>
      </c>
      <c r="AF30" s="201" t="str">
        <f t="shared" si="11"/>
        <v/>
      </c>
      <c r="AG30" s="202"/>
      <c r="AH30" s="195"/>
      <c r="AI30" s="160"/>
      <c r="AJ30" s="159"/>
      <c r="AK30" s="159"/>
      <c r="AL30" s="195"/>
      <c r="AM30" s="177"/>
      <c r="AN30" s="177"/>
      <c r="AO30" s="160"/>
      <c r="AP30" s="177"/>
      <c r="AQ30" s="177"/>
      <c r="AR30" s="160"/>
      <c r="AS30" s="160"/>
      <c r="AT30" s="160"/>
      <c r="AU30" s="160"/>
      <c r="AV30" s="160"/>
      <c r="AW30" s="160"/>
      <c r="AX30" s="160"/>
    </row>
    <row r="31" spans="1:50" s="93" customFormat="1" ht="151.5" customHeight="1" x14ac:dyDescent="0.3">
      <c r="A31" s="365">
        <f>1+A28</f>
        <v>9</v>
      </c>
      <c r="B31" s="394" t="s">
        <v>319</v>
      </c>
      <c r="C31" s="389" t="s">
        <v>320</v>
      </c>
      <c r="D31" s="389" t="s">
        <v>321</v>
      </c>
      <c r="E31" s="387" t="s">
        <v>120</v>
      </c>
      <c r="F31" s="393" t="s">
        <v>543</v>
      </c>
      <c r="G31" s="372" t="s">
        <v>541</v>
      </c>
      <c r="H31" s="372" t="s">
        <v>542</v>
      </c>
      <c r="I31" s="387" t="s">
        <v>117</v>
      </c>
      <c r="J31" s="380">
        <v>24</v>
      </c>
      <c r="K31" s="382" t="str">
        <f>IF(J31&lt;=0,"",IF(J31&lt;=2,"Muy Baja",IF(J31&lt;=24,"Baja",IF(J31&lt;=500,"Media",IF(J31&lt;=5000,"Alta","Muy Alta")))))</f>
        <v>Baja</v>
      </c>
      <c r="L31" s="374">
        <f>IF(K31="","",IF(K31="Muy Baja",0.2,IF(K31="Baja",0.4,IF(K31="Media",0.6,IF(K31="Alta",0.8,IF(K31="Muy Alta",1,))))))</f>
        <v>0.4</v>
      </c>
      <c r="M31" s="385" t="s">
        <v>250</v>
      </c>
      <c r="N31" s="135" t="str">
        <f>IF(NOT(ISERROR(MATCH(M31,'Tabla Impacto'!$B$221:$B$223,0))),'Tabla Impacto'!$F$223&amp;"Por favor no seleccionar los criterios de impacto(Afectación Económica o presupuestal y Pérdida Reputacional)",M31)</f>
        <v xml:space="preserve"> El riesgo afecta la imagen de la entidad con algunos usuarios de relevancia frente al logro de los objetivos</v>
      </c>
      <c r="O31" s="382" t="str">
        <f>IF(OR(N31='Tabla Impacto'!$C$11,N31='Tabla Impacto'!$D$11),"Leve",IF(OR(N31='Tabla Impacto'!$C$12,N31='Tabla Impacto'!$D$12),"Menor",IF(OR(N31='Tabla Impacto'!$C$13,N31='Tabla Impacto'!$D$13),"Moderado",IF(OR(N31='Tabla Impacto'!$C$14,N31='Tabla Impacto'!$D$14),"Mayor",IF(OR(N31='Tabla Impacto'!$C$15,N31='Tabla Impacto'!$D$15),"Catastrófico","")))))</f>
        <v>Moderado</v>
      </c>
      <c r="P31" s="374">
        <f>IF(O31="","",IF(O31="Leve",0.2,IF(O31="Menor",0.4,IF(O31="Moderado",0.6,IF(O31="Mayor",0.8,IF(O31="Catastrófico",1,))))))</f>
        <v>0.6</v>
      </c>
      <c r="Q31" s="377" t="str">
        <f>IF(OR(AND(K31="Muy Baja",O31="Leve"),AND(K31="Muy Baja",O31="Menor"),AND(K31="Baja",O31="Leve")),"Bajo",IF(OR(AND(K31="Muy baja",O31="Moderado"),AND(K31="Baja",O31="Menor"),AND(K31="Baja",O31="Moderado"),AND(K31="Media",O31="Leve"),AND(K31="Media",O31="Menor"),AND(K31="Media",O31="Moderado"),AND(K31="Alta",O31="Leve"),AND(K31="Alta",O31="Menor")),"Moderado",IF(OR(AND(K31="Muy Baja",O31="Mayor"),AND(K31="Baja",O31="Mayor"),AND(K31="Media",O31="Mayor"),AND(K31="Alta",O31="Moderado"),AND(K31="Alta",O31="Mayor"),AND(K31="Muy Alta",O31="Leve"),AND(K31="Muy Alta",O31="Menor"),AND(K31="Muy Alta",O31="Moderado"),AND(K31="Muy Alta",O31="Mayor")),"Alto",IF(OR(AND(K31="Muy Baja",O31="Catastrófico"),AND(K31="Baja",O31="Catastrófico"),AND(K31="Media",O31="Catastrófico"),AND(K31="Alta",O31="Catastrófico"),AND(K31="Muy Alta",O31="Catastrófico")),"Extremo",""))))</f>
        <v>Moderado</v>
      </c>
      <c r="R31" s="89">
        <v>1</v>
      </c>
      <c r="S31" s="195" t="s">
        <v>544</v>
      </c>
      <c r="T31" s="196" t="str">
        <f t="shared" si="5"/>
        <v>Probabilidad</v>
      </c>
      <c r="U31" s="197" t="s">
        <v>14</v>
      </c>
      <c r="V31" s="197" t="s">
        <v>9</v>
      </c>
      <c r="W31" s="198" t="str">
        <f t="shared" si="6"/>
        <v>40%</v>
      </c>
      <c r="X31" s="197" t="s">
        <v>19</v>
      </c>
      <c r="Y31" s="197" t="s">
        <v>22</v>
      </c>
      <c r="Z31" s="197" t="s">
        <v>110</v>
      </c>
      <c r="AA31" s="90">
        <f>IFERROR(IF(T31="Probabilidad",(L31-(+L31*W31)),IF(T31="Impacto",L31,"")),"")</f>
        <v>0.24</v>
      </c>
      <c r="AB31" s="199" t="str">
        <f t="shared" si="7"/>
        <v>Baja</v>
      </c>
      <c r="AC31" s="200">
        <f t="shared" si="8"/>
        <v>0.24</v>
      </c>
      <c r="AD31" s="199" t="str">
        <f t="shared" si="9"/>
        <v>Moderado</v>
      </c>
      <c r="AE31" s="200">
        <f t="shared" si="10"/>
        <v>0.6</v>
      </c>
      <c r="AF31" s="201" t="str">
        <f t="shared" si="11"/>
        <v>Moderado</v>
      </c>
      <c r="AG31" s="202" t="s">
        <v>122</v>
      </c>
      <c r="AH31" s="212" t="s">
        <v>560</v>
      </c>
      <c r="AI31" s="213" t="s">
        <v>197</v>
      </c>
      <c r="AJ31" s="173">
        <v>45444</v>
      </c>
      <c r="AK31" s="173">
        <v>45657</v>
      </c>
      <c r="AL31" s="212" t="s">
        <v>545</v>
      </c>
      <c r="AM31" s="166" t="s">
        <v>629</v>
      </c>
      <c r="AN31" s="166" t="s">
        <v>630</v>
      </c>
      <c r="AO31" s="158">
        <v>1</v>
      </c>
      <c r="AP31" s="166" t="s">
        <v>631</v>
      </c>
      <c r="AQ31" s="166" t="s">
        <v>632</v>
      </c>
      <c r="AR31" s="170">
        <v>1</v>
      </c>
      <c r="AS31" s="160"/>
      <c r="AT31" s="160" t="s">
        <v>587</v>
      </c>
      <c r="AU31" s="160" t="s">
        <v>612</v>
      </c>
      <c r="AV31" s="160" t="s">
        <v>612</v>
      </c>
      <c r="AW31" s="160" t="s">
        <v>612</v>
      </c>
      <c r="AX31" s="161" t="s">
        <v>754</v>
      </c>
    </row>
    <row r="32" spans="1:50" s="93" customFormat="1" ht="151.5" hidden="1" customHeight="1" x14ac:dyDescent="0.3">
      <c r="A32" s="365"/>
      <c r="B32" s="395"/>
      <c r="C32" s="390"/>
      <c r="D32" s="392"/>
      <c r="E32" s="388"/>
      <c r="F32" s="373"/>
      <c r="G32" s="373"/>
      <c r="H32" s="373"/>
      <c r="I32" s="388"/>
      <c r="J32" s="381"/>
      <c r="K32" s="383"/>
      <c r="L32" s="375"/>
      <c r="M32" s="386"/>
      <c r="N32" s="136"/>
      <c r="O32" s="383"/>
      <c r="P32" s="375"/>
      <c r="Q32" s="378"/>
      <c r="R32" s="89">
        <v>2</v>
      </c>
      <c r="S32" s="195"/>
      <c r="T32" s="196" t="str">
        <f t="shared" si="5"/>
        <v/>
      </c>
      <c r="U32" s="197"/>
      <c r="V32" s="197"/>
      <c r="W32" s="198" t="str">
        <f t="shared" si="6"/>
        <v/>
      </c>
      <c r="X32" s="197"/>
      <c r="Y32" s="197"/>
      <c r="Z32" s="197"/>
      <c r="AA32" s="90" t="str">
        <f t="shared" si="19"/>
        <v/>
      </c>
      <c r="AB32" s="199" t="str">
        <f t="shared" si="7"/>
        <v/>
      </c>
      <c r="AC32" s="200" t="str">
        <f t="shared" si="8"/>
        <v/>
      </c>
      <c r="AD32" s="199" t="str">
        <f t="shared" ref="AD32:AD34" si="20">IFERROR(IF(AE32="","",IF(AE32&lt;=0.2,"Leve",IF(AE32&lt;=0.4,"Menor",IF(AE32&lt;=0.6,"Moderado",IF(AE32&lt;=0.8,"Mayor","Catastrófico"))))),"")</f>
        <v/>
      </c>
      <c r="AE32" s="200" t="str">
        <f t="shared" ref="AE32:AE34" si="21">IFERROR(IF(T32="Impacto",(P32-(+P32*W32)),IF(T32="Probabilidad",P32,"")),"")</f>
        <v/>
      </c>
      <c r="AF32" s="201" t="str">
        <f t="shared" si="11"/>
        <v/>
      </c>
      <c r="AG32" s="202"/>
      <c r="AH32" s="212"/>
      <c r="AI32" s="213"/>
      <c r="AJ32" s="173"/>
      <c r="AK32" s="173"/>
      <c r="AL32" s="212"/>
      <c r="AM32" s="177"/>
      <c r="AN32" s="177"/>
      <c r="AO32" s="160"/>
      <c r="AP32" s="177"/>
      <c r="AQ32" s="177"/>
      <c r="AR32" s="160"/>
      <c r="AS32" s="160"/>
      <c r="AT32" s="160"/>
      <c r="AU32" s="160"/>
      <c r="AV32" s="160"/>
      <c r="AW32" s="160"/>
      <c r="AX32" s="160"/>
    </row>
    <row r="33" spans="1:52" s="93" customFormat="1" ht="151.5" hidden="1" customHeight="1" x14ac:dyDescent="0.3">
      <c r="A33" s="365"/>
      <c r="B33" s="396"/>
      <c r="C33" s="390"/>
      <c r="D33" s="392"/>
      <c r="E33" s="388"/>
      <c r="F33" s="373"/>
      <c r="G33" s="373"/>
      <c r="H33" s="373"/>
      <c r="I33" s="388"/>
      <c r="J33" s="381"/>
      <c r="K33" s="384"/>
      <c r="L33" s="376"/>
      <c r="M33" s="386"/>
      <c r="N33" s="136"/>
      <c r="O33" s="384"/>
      <c r="P33" s="376"/>
      <c r="Q33" s="379"/>
      <c r="R33" s="89">
        <v>3</v>
      </c>
      <c r="S33" s="195"/>
      <c r="T33" s="196" t="str">
        <f t="shared" si="5"/>
        <v/>
      </c>
      <c r="U33" s="197"/>
      <c r="V33" s="197"/>
      <c r="W33" s="198" t="str">
        <f t="shared" si="6"/>
        <v/>
      </c>
      <c r="X33" s="197"/>
      <c r="Y33" s="197"/>
      <c r="Z33" s="197"/>
      <c r="AA33" s="90" t="str">
        <f t="shared" si="19"/>
        <v/>
      </c>
      <c r="AB33" s="199" t="str">
        <f t="shared" si="7"/>
        <v/>
      </c>
      <c r="AC33" s="200" t="str">
        <f t="shared" si="8"/>
        <v/>
      </c>
      <c r="AD33" s="199" t="str">
        <f t="shared" si="20"/>
        <v/>
      </c>
      <c r="AE33" s="200" t="str">
        <f t="shared" si="21"/>
        <v/>
      </c>
      <c r="AF33" s="201" t="str">
        <f t="shared" si="11"/>
        <v/>
      </c>
      <c r="AG33" s="202"/>
      <c r="AH33" s="212"/>
      <c r="AI33" s="213"/>
      <c r="AJ33" s="173"/>
      <c r="AK33" s="173"/>
      <c r="AL33" s="212"/>
      <c r="AM33" s="177"/>
      <c r="AN33" s="177"/>
      <c r="AO33" s="160"/>
      <c r="AP33" s="177"/>
      <c r="AQ33" s="177"/>
      <c r="AR33" s="160"/>
      <c r="AS33" s="160"/>
      <c r="AT33" s="160"/>
      <c r="AU33" s="160"/>
      <c r="AV33" s="160"/>
      <c r="AW33" s="160"/>
      <c r="AX33" s="160"/>
    </row>
    <row r="34" spans="1:52" s="93" customFormat="1" ht="151.5" customHeight="1" x14ac:dyDescent="0.3">
      <c r="A34" s="365">
        <f>1+A31</f>
        <v>10</v>
      </c>
      <c r="B34" s="394" t="s">
        <v>325</v>
      </c>
      <c r="C34" s="389" t="s">
        <v>326</v>
      </c>
      <c r="D34" s="389" t="s">
        <v>327</v>
      </c>
      <c r="E34" s="387" t="s">
        <v>118</v>
      </c>
      <c r="F34" s="387" t="s">
        <v>502</v>
      </c>
      <c r="G34" s="387" t="s">
        <v>505</v>
      </c>
      <c r="H34" s="372" t="s">
        <v>503</v>
      </c>
      <c r="I34" s="387" t="s">
        <v>117</v>
      </c>
      <c r="J34" s="380">
        <v>360</v>
      </c>
      <c r="K34" s="382" t="str">
        <f>IF(J34&lt;=0,"",IF(J34&lt;=2,"Muy Baja",IF(J34&lt;=24,"Baja",IF(J34&lt;=500,"Media",IF(J34&lt;=5000,"Alta","Muy Alta")))))</f>
        <v>Media</v>
      </c>
      <c r="L34" s="374">
        <f>IF(K34="","",IF(K34="Muy Baja",0.2,IF(K34="Baja",0.4,IF(K34="Media",0.6,IF(K34="Alta",0.8,IF(K34="Muy Alta",1,))))))</f>
        <v>0.6</v>
      </c>
      <c r="M34" s="385" t="s">
        <v>250</v>
      </c>
      <c r="N34" s="135" t="str">
        <f>IF(NOT(ISERROR(MATCH(M34,'Tabla Impacto'!$B$221:$B$223,0))),'Tabla Impacto'!$F$223&amp;"Por favor no seleccionar los criterios de impacto(Afectación Económica o presupuestal y Pérdida Reputacional)",M34)</f>
        <v xml:space="preserve"> El riesgo afecta la imagen de la entidad con algunos usuarios de relevancia frente al logro de los objetivos</v>
      </c>
      <c r="O34" s="382" t="str">
        <f>IF(OR(N34='Tabla Impacto'!$C$11,N34='Tabla Impacto'!$D$11),"Leve",IF(OR(N34='Tabla Impacto'!$C$12,N34='Tabla Impacto'!$D$12),"Menor",IF(OR(N34='Tabla Impacto'!$C$13,N34='Tabla Impacto'!$D$13),"Moderado",IF(OR(N34='Tabla Impacto'!$C$14,N34='Tabla Impacto'!$D$14),"Mayor",IF(OR(N34='Tabla Impacto'!$C$15,N34='Tabla Impacto'!$D$15),"Catastrófico","")))))</f>
        <v>Moderado</v>
      </c>
      <c r="P34" s="374">
        <f>IF(O34="","",IF(O34="Leve",0.2,IF(O34="Menor",0.4,IF(O34="Moderado",0.6,IF(O34="Mayor",0.8,IF(O34="Catastrófico",1,))))))</f>
        <v>0.6</v>
      </c>
      <c r="Q34" s="377" t="str">
        <f>IF(OR(AND(K34="Muy Baja",O34="Leve"),AND(K34="Muy Baja",O34="Menor"),AND(K34="Baja",O34="Leve")),"Bajo",IF(OR(AND(K34="Muy baja",O34="Moderado"),AND(K34="Baja",O34="Menor"),AND(K34="Baja",O34="Moderado"),AND(K34="Media",O34="Leve"),AND(K34="Media",O34="Menor"),AND(K34="Media",O34="Moderado"),AND(K34="Alta",O34="Leve"),AND(K34="Alta",O34="Menor")),"Moderado",IF(OR(AND(K34="Muy Baja",O34="Mayor"),AND(K34="Baja",O34="Mayor"),AND(K34="Media",O34="Mayor"),AND(K34="Alta",O34="Moderado"),AND(K34="Alta",O34="Mayor"),AND(K34="Muy Alta",O34="Leve"),AND(K34="Muy Alta",O34="Menor"),AND(K34="Muy Alta",O34="Moderado"),AND(K34="Muy Alta",O34="Mayor")),"Alto",IF(OR(AND(K34="Muy Baja",O34="Catastrófico"),AND(K34="Baja",O34="Catastrófico"),AND(K34="Media",O34="Catastrófico"),AND(K34="Alta",O34="Catastrófico"),AND(K34="Muy Alta",O34="Catastrófico")),"Extremo",""))))</f>
        <v>Moderado</v>
      </c>
      <c r="R34" s="89">
        <v>1</v>
      </c>
      <c r="S34" s="195" t="s">
        <v>504</v>
      </c>
      <c r="T34" s="196" t="str">
        <f t="shared" ref="T34:T36" si="22">IF(OR(U34="Preventivo",U34="Detectivo"),"Probabilidad",IF(U34="Correctivo","Impacto",""))</f>
        <v/>
      </c>
      <c r="U34" s="197" t="s">
        <v>761</v>
      </c>
      <c r="V34" s="197" t="s">
        <v>9</v>
      </c>
      <c r="W34" s="198" t="str">
        <f t="shared" ref="W34:W36" si="23">IF(AND(U34="Preventivo",V34="Automático"),"50%",IF(AND(U34="Preventivo",V34="Manual"),"40%",IF(AND(U34="Detectivo",V34="Automático"),"40%",IF(AND(U34="Detectivo",V34="Manual"),"30%",IF(AND(U34="Correctivo",V34="Automático"),"35%",IF(AND(U34="Correctivo",V34="Manual"),"25%",""))))))</f>
        <v/>
      </c>
      <c r="X34" s="197" t="s">
        <v>20</v>
      </c>
      <c r="Y34" s="197" t="s">
        <v>22</v>
      </c>
      <c r="Z34" s="197" t="s">
        <v>110</v>
      </c>
      <c r="AA34" s="90" t="str">
        <f>IFERROR(IF(T34="Probabilidad",(L34-(+L34*W34)),IF(T34="Impacto",L34,"")),"")</f>
        <v/>
      </c>
      <c r="AB34" s="199" t="str">
        <f t="shared" ref="AB34:AB36" si="24">IFERROR(IF(AA34="","",IF(AA34&lt;=0.2,"Muy Baja",IF(AA34&lt;=0.4,"Baja",IF(AA34&lt;=0.6,"Media",IF(AA34&lt;=0.8,"Alta","Muy Alta"))))),"")</f>
        <v/>
      </c>
      <c r="AC34" s="200" t="str">
        <f t="shared" ref="AC34:AC36" si="25">+AA34</f>
        <v/>
      </c>
      <c r="AD34" s="199" t="str">
        <f t="shared" si="20"/>
        <v/>
      </c>
      <c r="AE34" s="200" t="str">
        <f t="shared" si="21"/>
        <v/>
      </c>
      <c r="AF34" s="201" t="str">
        <f t="shared" ref="AF34:AF36" si="26">IFERROR(IF(OR(AND(AB34="Muy Baja",AD34="Leve"),AND(AB34="Muy Baja",AD34="Menor"),AND(AB34="Baja",AD34="Leve")),"Bajo",IF(OR(AND(AB34="Muy baja",AD34="Moderado"),AND(AB34="Baja",AD34="Menor"),AND(AB34="Baja",AD34="Moderado"),AND(AB34="Media",AD34="Leve"),AND(AB34="Media",AD34="Menor"),AND(AB34="Media",AD34="Moderado"),AND(AB34="Alta",AD34="Leve"),AND(AB34="Alta",AD34="Menor")),"Moderado",IF(OR(AND(AB34="Muy Baja",AD34="Mayor"),AND(AB34="Baja",AD34="Mayor"),AND(AB34="Media",AD34="Mayor"),AND(AB34="Alta",AD34="Moderado"),AND(AB34="Alta",AD34="Mayor"),AND(AB34="Muy Alta",AD34="Leve"),AND(AB34="Muy Alta",AD34="Menor"),AND(AB34="Muy Alta",AD34="Moderado"),AND(AB34="Muy Alta",AD34="Mayor")),"Alto",IF(OR(AND(AB34="Muy Baja",AD34="Catastrófico"),AND(AB34="Baja",AD34="Catastrófico"),AND(AB34="Media",AD34="Catastrófico"),AND(AB34="Alta",AD34="Catastrófico"),AND(AB34="Muy Alta",AD34="Catastrófico")),"Extremo","")))),"")</f>
        <v/>
      </c>
      <c r="AG34" s="202" t="s">
        <v>122</v>
      </c>
      <c r="AH34" s="212" t="s">
        <v>506</v>
      </c>
      <c r="AI34" s="213" t="s">
        <v>328</v>
      </c>
      <c r="AJ34" s="173">
        <v>45444</v>
      </c>
      <c r="AK34" s="173">
        <v>45657</v>
      </c>
      <c r="AL34" s="212" t="s">
        <v>492</v>
      </c>
      <c r="AM34" s="166" t="s">
        <v>653</v>
      </c>
      <c r="AN34" s="166" t="s">
        <v>654</v>
      </c>
      <c r="AO34" s="158">
        <v>1</v>
      </c>
      <c r="AP34" s="166" t="s">
        <v>655</v>
      </c>
      <c r="AQ34" s="166" t="s">
        <v>656</v>
      </c>
      <c r="AR34" s="158">
        <v>1</v>
      </c>
      <c r="AS34" s="160"/>
      <c r="AT34" s="160" t="s">
        <v>587</v>
      </c>
      <c r="AU34" s="160" t="s">
        <v>612</v>
      </c>
      <c r="AV34" s="160" t="s">
        <v>612</v>
      </c>
      <c r="AW34" s="160" t="s">
        <v>612</v>
      </c>
      <c r="AX34" s="161" t="s">
        <v>754</v>
      </c>
    </row>
    <row r="35" spans="1:52" s="93" customFormat="1" ht="151.5" hidden="1" customHeight="1" x14ac:dyDescent="0.3">
      <c r="A35" s="365"/>
      <c r="B35" s="395"/>
      <c r="C35" s="390"/>
      <c r="D35" s="392"/>
      <c r="E35" s="388"/>
      <c r="F35" s="388"/>
      <c r="G35" s="388"/>
      <c r="H35" s="373"/>
      <c r="I35" s="388"/>
      <c r="J35" s="381"/>
      <c r="K35" s="383"/>
      <c r="L35" s="375"/>
      <c r="M35" s="386"/>
      <c r="N35" s="136"/>
      <c r="O35" s="383"/>
      <c r="P35" s="375"/>
      <c r="Q35" s="378"/>
      <c r="R35" s="89">
        <v>2</v>
      </c>
      <c r="S35" s="195"/>
      <c r="T35" s="196" t="str">
        <f t="shared" si="22"/>
        <v/>
      </c>
      <c r="U35" s="197"/>
      <c r="V35" s="197"/>
      <c r="W35" s="198" t="str">
        <f t="shared" si="23"/>
        <v/>
      </c>
      <c r="X35" s="197"/>
      <c r="Y35" s="197"/>
      <c r="Z35" s="197"/>
      <c r="AA35" s="90" t="str">
        <f t="shared" si="19"/>
        <v/>
      </c>
      <c r="AB35" s="199" t="str">
        <f t="shared" si="24"/>
        <v/>
      </c>
      <c r="AC35" s="200" t="str">
        <f t="shared" si="25"/>
        <v/>
      </c>
      <c r="AD35" s="199" t="str">
        <f t="shared" ref="AD35:AD36" si="27">IFERROR(IF(AE35="","",IF(AE35&lt;=0.2,"Leve",IF(AE35&lt;=0.4,"Menor",IF(AE35&lt;=0.6,"Moderado",IF(AE35&lt;=0.8,"Mayor","Catastrófico"))))),"")</f>
        <v/>
      </c>
      <c r="AE35" s="200" t="str">
        <f t="shared" ref="AE35:AE36" si="28">IFERROR(IF(T35="Impacto",(P35-(+P35*W35)),IF(T35="Probabilidad",P35,"")),"")</f>
        <v/>
      </c>
      <c r="AF35" s="201" t="str">
        <f t="shared" si="26"/>
        <v/>
      </c>
      <c r="AG35" s="202"/>
      <c r="AH35" s="212"/>
      <c r="AI35" s="213"/>
      <c r="AJ35" s="173"/>
      <c r="AK35" s="173"/>
      <c r="AL35" s="212"/>
      <c r="AM35" s="166"/>
      <c r="AN35" s="166"/>
      <c r="AO35" s="158"/>
      <c r="AP35" s="166"/>
      <c r="AQ35" s="166"/>
      <c r="AR35" s="170"/>
      <c r="AS35" s="160"/>
      <c r="AT35" s="160"/>
      <c r="AU35" s="160"/>
      <c r="AV35" s="160"/>
      <c r="AW35" s="160"/>
      <c r="AX35" s="160"/>
    </row>
    <row r="36" spans="1:52" s="93" customFormat="1" ht="151.5" hidden="1" customHeight="1" x14ac:dyDescent="0.3">
      <c r="A36" s="365"/>
      <c r="B36" s="396"/>
      <c r="C36" s="390"/>
      <c r="D36" s="392"/>
      <c r="E36" s="388"/>
      <c r="F36" s="388"/>
      <c r="G36" s="388"/>
      <c r="H36" s="373"/>
      <c r="I36" s="388"/>
      <c r="J36" s="381"/>
      <c r="K36" s="384"/>
      <c r="L36" s="376"/>
      <c r="M36" s="386"/>
      <c r="N36" s="136"/>
      <c r="O36" s="384"/>
      <c r="P36" s="376"/>
      <c r="Q36" s="379"/>
      <c r="R36" s="89">
        <v>3</v>
      </c>
      <c r="S36" s="195"/>
      <c r="T36" s="196" t="str">
        <f t="shared" si="22"/>
        <v/>
      </c>
      <c r="U36" s="197"/>
      <c r="V36" s="197"/>
      <c r="W36" s="198" t="str">
        <f t="shared" si="23"/>
        <v/>
      </c>
      <c r="X36" s="197"/>
      <c r="Y36" s="197"/>
      <c r="Z36" s="197"/>
      <c r="AA36" s="90" t="str">
        <f t="shared" si="19"/>
        <v/>
      </c>
      <c r="AB36" s="199" t="str">
        <f t="shared" si="24"/>
        <v/>
      </c>
      <c r="AC36" s="200" t="str">
        <f t="shared" si="25"/>
        <v/>
      </c>
      <c r="AD36" s="199" t="str">
        <f t="shared" si="27"/>
        <v/>
      </c>
      <c r="AE36" s="200" t="str">
        <f t="shared" si="28"/>
        <v/>
      </c>
      <c r="AF36" s="201" t="str">
        <f t="shared" si="26"/>
        <v/>
      </c>
      <c r="AG36" s="202"/>
      <c r="AH36" s="212"/>
      <c r="AI36" s="213"/>
      <c r="AJ36" s="173"/>
      <c r="AK36" s="173"/>
      <c r="AL36" s="212"/>
      <c r="AM36" s="166"/>
      <c r="AN36" s="166"/>
      <c r="AO36" s="158"/>
      <c r="AP36" s="166"/>
      <c r="AQ36" s="166"/>
      <c r="AR36" s="170"/>
      <c r="AS36" s="160"/>
      <c r="AT36" s="160"/>
      <c r="AU36" s="160"/>
      <c r="AV36" s="160"/>
      <c r="AW36" s="160"/>
      <c r="AX36" s="160"/>
    </row>
    <row r="37" spans="1:52" s="93" customFormat="1" ht="176.25" customHeight="1" x14ac:dyDescent="0.3">
      <c r="A37" s="365">
        <f>1+A34</f>
        <v>11</v>
      </c>
      <c r="B37" s="394" t="s">
        <v>329</v>
      </c>
      <c r="C37" s="389" t="s">
        <v>330</v>
      </c>
      <c r="D37" s="389" t="s">
        <v>331</v>
      </c>
      <c r="E37" s="387" t="s">
        <v>120</v>
      </c>
      <c r="F37" s="391" t="s">
        <v>464</v>
      </c>
      <c r="G37" s="391" t="s">
        <v>224</v>
      </c>
      <c r="H37" s="372" t="s">
        <v>465</v>
      </c>
      <c r="I37" s="387" t="s">
        <v>115</v>
      </c>
      <c r="J37" s="380">
        <v>98</v>
      </c>
      <c r="K37" s="382" t="str">
        <f>IF(J37&lt;=0,"",IF(J37&lt;=2,"Muy Baja",IF(J37&lt;=24,"Baja",IF(J37&lt;=500,"Media",IF(J37&lt;=5000,"Alta","Muy Alta")))))</f>
        <v>Media</v>
      </c>
      <c r="L37" s="374">
        <f>IF(K37="","",IF(K37="Muy Baja",0.2,IF(K37="Baja",0.4,IF(K37="Media",0.6,IF(K37="Alta",0.8,IF(K37="Muy Alta",1,))))))</f>
        <v>0.6</v>
      </c>
      <c r="M37" s="385" t="s">
        <v>250</v>
      </c>
      <c r="N37" s="135" t="str">
        <f>IF(NOT(ISERROR(MATCH(M37,'Tabla Impacto'!$B$221:$B$223,0))),'Tabla Impacto'!$F$223&amp;"Por favor no seleccionar los criterios de impacto(Afectación Económica o presupuestal y Pérdida Reputacional)",M37)</f>
        <v xml:space="preserve"> El riesgo afecta la imagen de la entidad con algunos usuarios de relevancia frente al logro de los objetivos</v>
      </c>
      <c r="O37" s="382" t="str">
        <f>IF(OR(N37='Tabla Impacto'!$C$11,N37='Tabla Impacto'!$D$11),"Leve",IF(OR(N37='Tabla Impacto'!$C$12,N37='Tabla Impacto'!$D$12),"Menor",IF(OR(N37='Tabla Impacto'!$C$13,N37='Tabla Impacto'!$D$13),"Moderado",IF(OR(N37='Tabla Impacto'!$C$14,N37='Tabla Impacto'!$D$14),"Mayor",IF(OR(N37='Tabla Impacto'!$C$15,N37='Tabla Impacto'!$D$15),"Catastrófico","")))))</f>
        <v>Moderado</v>
      </c>
      <c r="P37" s="374">
        <v>0</v>
      </c>
      <c r="Q37" s="377" t="str">
        <f>IF(OR(AND(K37="Muy Baja",O37="Leve"),AND(K37="Muy Baja",O37="Menor"),AND(K37="Baja",O37="Leve")),"Bajo",IF(OR(AND(K37="Muy baja",O37="Moderado"),AND(K37="Baja",O37="Menor"),AND(K37="Baja",O37="Moderado"),AND(K37="Media",O37="Leve"),AND(K37="Media",O37="Menor"),AND(K37="Media",O37="Moderado"),AND(K37="Alta",O37="Leve"),AND(K37="Alta",O37="Menor")),"Moderado",IF(OR(AND(K37="Muy Baja",O37="Mayor"),AND(K37="Baja",O37="Mayor"),AND(K37="Media",O37="Mayor"),AND(K37="Alta",O37="Moderado"),AND(K37="Alta",O37="Mayor"),AND(K37="Muy Alta",O37="Leve"),AND(K37="Muy Alta",O37="Menor"),AND(K37="Muy Alta",O37="Moderado"),AND(K37="Muy Alta",O37="Mayor")),"Alto",IF(OR(AND(K37="Muy Baja",O37="Catastrófico"),AND(K37="Baja",O37="Catastrófico"),AND(K37="Media",O37="Catastrófico"),AND(K37="Alta",O37="Catastrófico"),AND(K37="Muy Alta",O37="Catastrófico")),"Extremo",""))))</f>
        <v>Moderado</v>
      </c>
      <c r="R37" s="89">
        <v>1</v>
      </c>
      <c r="S37" s="195" t="s">
        <v>466</v>
      </c>
      <c r="T37" s="196" t="str">
        <f t="shared" si="5"/>
        <v>Probabilidad</v>
      </c>
      <c r="U37" s="197" t="s">
        <v>14</v>
      </c>
      <c r="V37" s="197" t="s">
        <v>9</v>
      </c>
      <c r="W37" s="198" t="str">
        <f t="shared" si="6"/>
        <v>40%</v>
      </c>
      <c r="X37" s="197" t="s">
        <v>19</v>
      </c>
      <c r="Y37" s="197" t="s">
        <v>22</v>
      </c>
      <c r="Z37" s="197" t="s">
        <v>110</v>
      </c>
      <c r="AA37" s="90">
        <f>IFERROR(IF(T37="Probabilidad",(L37-(+L37*W37)),IF(T37="Impacto",L37,"")),"")</f>
        <v>0.36</v>
      </c>
      <c r="AB37" s="199" t="str">
        <f t="shared" si="7"/>
        <v>Baja</v>
      </c>
      <c r="AC37" s="200">
        <f t="shared" si="8"/>
        <v>0.36</v>
      </c>
      <c r="AD37" s="199" t="str">
        <f t="shared" si="9"/>
        <v>Leve</v>
      </c>
      <c r="AE37" s="200">
        <f t="shared" si="10"/>
        <v>0</v>
      </c>
      <c r="AF37" s="201" t="str">
        <f t="shared" si="11"/>
        <v>Bajo</v>
      </c>
      <c r="AG37" s="202" t="s">
        <v>122</v>
      </c>
      <c r="AH37" s="558" t="s">
        <v>823</v>
      </c>
      <c r="AI37" s="160" t="s">
        <v>195</v>
      </c>
      <c r="AJ37" s="173">
        <v>45450</v>
      </c>
      <c r="AK37" s="173">
        <v>45657</v>
      </c>
      <c r="AL37" s="195" t="s">
        <v>225</v>
      </c>
      <c r="AM37" s="162" t="s">
        <v>650</v>
      </c>
      <c r="AN37" s="162" t="s">
        <v>651</v>
      </c>
      <c r="AO37" s="164">
        <v>1</v>
      </c>
      <c r="AP37" s="162" t="s">
        <v>762</v>
      </c>
      <c r="AQ37" s="162" t="s">
        <v>665</v>
      </c>
      <c r="AR37" s="163">
        <v>0.75</v>
      </c>
      <c r="AS37" s="160"/>
      <c r="AT37" s="160" t="s">
        <v>587</v>
      </c>
      <c r="AU37" s="160" t="s">
        <v>612</v>
      </c>
      <c r="AV37" s="160" t="s">
        <v>612</v>
      </c>
      <c r="AW37" s="160" t="s">
        <v>612</v>
      </c>
      <c r="AX37" s="161" t="s">
        <v>824</v>
      </c>
      <c r="AZ37" s="557"/>
    </row>
    <row r="38" spans="1:52" s="93" customFormat="1" ht="151.5" customHeight="1" x14ac:dyDescent="0.3">
      <c r="A38" s="365"/>
      <c r="B38" s="395"/>
      <c r="C38" s="392"/>
      <c r="D38" s="392"/>
      <c r="E38" s="388"/>
      <c r="F38" s="388"/>
      <c r="G38" s="388"/>
      <c r="H38" s="373"/>
      <c r="I38" s="388"/>
      <c r="J38" s="381"/>
      <c r="K38" s="383"/>
      <c r="L38" s="375"/>
      <c r="M38" s="386"/>
      <c r="N38" s="136"/>
      <c r="O38" s="383"/>
      <c r="P38" s="375"/>
      <c r="Q38" s="378"/>
      <c r="R38" s="89">
        <v>2</v>
      </c>
      <c r="S38" s="195" t="s">
        <v>429</v>
      </c>
      <c r="T38" s="196" t="str">
        <f t="shared" si="5"/>
        <v>Probabilidad</v>
      </c>
      <c r="U38" s="197" t="s">
        <v>14</v>
      </c>
      <c r="V38" s="197" t="s">
        <v>9</v>
      </c>
      <c r="W38" s="198"/>
      <c r="X38" s="197" t="s">
        <v>19</v>
      </c>
      <c r="Y38" s="197" t="s">
        <v>22</v>
      </c>
      <c r="Z38" s="197" t="s">
        <v>110</v>
      </c>
      <c r="AA38" s="90">
        <f>IFERROR(IF(T38="Probabilidad",(L38-(+L38*W38)),IF(T38="Impacto",L38,"")),"")</f>
        <v>0</v>
      </c>
      <c r="AB38" s="199" t="str">
        <f t="shared" ref="AB38" si="29">IFERROR(IF(AA38="","",IF(AA38&lt;=0.2,"Muy Baja",IF(AA38&lt;=0.4,"Baja",IF(AA38&lt;=0.6,"Media",IF(AA38&lt;=0.8,"Alta","Muy Alta"))))),"")</f>
        <v>Muy Baja</v>
      </c>
      <c r="AC38" s="200">
        <f t="shared" ref="AC38" si="30">+AA38</f>
        <v>0</v>
      </c>
      <c r="AD38" s="199" t="str">
        <f t="shared" ref="AD38" si="31">IFERROR(IF(AE38="","",IF(AE38&lt;=0.2,"Leve",IF(AE38&lt;=0.4,"Menor",IF(AE38&lt;=0.6,"Moderado",IF(AE38&lt;=0.8,"Mayor","Catastrófico"))))),"")</f>
        <v>Leve</v>
      </c>
      <c r="AE38" s="200">
        <f t="shared" ref="AE38" si="32">IFERROR(IF(T38="Impacto",(P38-(+P38*W38)),IF(T38="Probabilidad",P38,"")),"")</f>
        <v>0</v>
      </c>
      <c r="AF38" s="201" t="str">
        <f t="shared" ref="AF38" si="33">IFERROR(IF(OR(AND(AB38="Muy Baja",AD38="Leve"),AND(AB38="Muy Baja",AD38="Menor"),AND(AB38="Baja",AD38="Leve")),"Bajo",IF(OR(AND(AB38="Muy baja",AD38="Moderado"),AND(AB38="Baja",AD38="Menor"),AND(AB38="Baja",AD38="Moderado"),AND(AB38="Media",AD38="Leve"),AND(AB38="Media",AD38="Menor"),AND(AB38="Media",AD38="Moderado"),AND(AB38="Alta",AD38="Leve"),AND(AB38="Alta",AD38="Menor")),"Moderado",IF(OR(AND(AB38="Muy Baja",AD38="Mayor"),AND(AB38="Baja",AD38="Mayor"),AND(AB38="Media",AD38="Mayor"),AND(AB38="Alta",AD38="Moderado"),AND(AB38="Alta",AD38="Mayor"),AND(AB38="Muy Alta",AD38="Leve"),AND(AB38="Muy Alta",AD38="Menor"),AND(AB38="Muy Alta",AD38="Moderado"),AND(AB38="Muy Alta",AD38="Mayor")),"Alto",IF(OR(AND(AB38="Muy Baja",AD38="Catastrófico"),AND(AB38="Baja",AD38="Catastrófico"),AND(AB38="Media",AD38="Catastrófico"),AND(AB38="Alta",AD38="Catastrófico"),AND(AB38="Muy Alta",AD38="Catastrófico")),"Extremo","")))),"")</f>
        <v>Bajo</v>
      </c>
      <c r="AG38" s="202" t="s">
        <v>122</v>
      </c>
      <c r="AH38" s="195" t="s">
        <v>686</v>
      </c>
      <c r="AI38" s="160"/>
      <c r="AJ38" s="159"/>
      <c r="AK38" s="159"/>
      <c r="AL38" s="195" t="s">
        <v>686</v>
      </c>
      <c r="AM38" s="162" t="s">
        <v>652</v>
      </c>
      <c r="AN38" s="162" t="s">
        <v>651</v>
      </c>
      <c r="AO38" s="163">
        <v>1</v>
      </c>
      <c r="AP38" s="177" t="s">
        <v>589</v>
      </c>
      <c r="AQ38" s="177" t="s">
        <v>589</v>
      </c>
      <c r="AR38" s="163" t="s">
        <v>686</v>
      </c>
      <c r="AS38" s="160"/>
      <c r="AT38" s="160" t="s">
        <v>587</v>
      </c>
      <c r="AU38" s="160" t="s">
        <v>612</v>
      </c>
      <c r="AV38" s="160" t="s">
        <v>612</v>
      </c>
      <c r="AW38" s="160" t="s">
        <v>612</v>
      </c>
      <c r="AX38" s="161" t="s">
        <v>755</v>
      </c>
    </row>
    <row r="39" spans="1:52" s="93" customFormat="1" ht="151.5" customHeight="1" x14ac:dyDescent="0.3">
      <c r="A39" s="365"/>
      <c r="B39" s="395"/>
      <c r="C39" s="392"/>
      <c r="D39" s="392"/>
      <c r="E39" s="388"/>
      <c r="F39" s="388"/>
      <c r="G39" s="388"/>
      <c r="H39" s="373"/>
      <c r="I39" s="388"/>
      <c r="J39" s="381"/>
      <c r="K39" s="383"/>
      <c r="L39" s="375"/>
      <c r="M39" s="386"/>
      <c r="N39" s="136"/>
      <c r="O39" s="383"/>
      <c r="P39" s="375"/>
      <c r="Q39" s="378"/>
      <c r="R39" s="89">
        <v>3</v>
      </c>
      <c r="S39" s="195" t="s">
        <v>467</v>
      </c>
      <c r="T39" s="196" t="str">
        <f t="shared" ref="T39" si="34">IF(OR(U39="Preventivo",U39="Detectivo"),"Probabilidad",IF(U39="Correctivo","Impacto",""))</f>
        <v>Probabilidad</v>
      </c>
      <c r="U39" s="197" t="s">
        <v>14</v>
      </c>
      <c r="V39" s="197" t="s">
        <v>9</v>
      </c>
      <c r="W39" s="198"/>
      <c r="X39" s="197" t="s">
        <v>19</v>
      </c>
      <c r="Y39" s="197" t="s">
        <v>22</v>
      </c>
      <c r="Z39" s="197" t="s">
        <v>110</v>
      </c>
      <c r="AA39" s="90">
        <f t="shared" ref="AA39:AA40" si="35">IFERROR(IF(T39="Probabilidad",(L39-(+L39*W39)),IF(T39="Impacto",L39,"")),"")</f>
        <v>0</v>
      </c>
      <c r="AB39" s="199" t="str">
        <f t="shared" ref="AB39" si="36">IFERROR(IF(AA39="","",IF(AA39&lt;=0.2,"Muy Baja",IF(AA39&lt;=0.4,"Baja",IF(AA39&lt;=0.6,"Media",IF(AA39&lt;=0.8,"Alta","Muy Alta"))))),"")</f>
        <v>Muy Baja</v>
      </c>
      <c r="AC39" s="200">
        <f t="shared" ref="AC39" si="37">+AA39</f>
        <v>0</v>
      </c>
      <c r="AD39" s="199" t="str">
        <f t="shared" ref="AD39" si="38">IFERROR(IF(AE39="","",IF(AE39&lt;=0.2,"Leve",IF(AE39&lt;=0.4,"Menor",IF(AE39&lt;=0.6,"Moderado",IF(AE39&lt;=0.8,"Mayor","Catastrófico"))))),"")</f>
        <v>Leve</v>
      </c>
      <c r="AE39" s="200">
        <f t="shared" ref="AE39" si="39">IFERROR(IF(T39="Impacto",(P39-(+P39*W39)),IF(T39="Probabilidad",P39,"")),"")</f>
        <v>0</v>
      </c>
      <c r="AF39" s="201" t="str">
        <f t="shared" ref="AF39" si="40">IFERROR(IF(OR(AND(AB39="Muy Baja",AD39="Leve"),AND(AB39="Muy Baja",AD39="Menor"),AND(AB39="Baja",AD39="Leve")),"Bajo",IF(OR(AND(AB39="Muy baja",AD39="Moderado"),AND(AB39="Baja",AD39="Menor"),AND(AB39="Baja",AD39="Moderado"),AND(AB39="Media",AD39="Leve"),AND(AB39="Media",AD39="Menor"),AND(AB39="Media",AD39="Moderado"),AND(AB39="Alta",AD39="Leve"),AND(AB39="Alta",AD39="Menor")),"Moderado",IF(OR(AND(AB39="Muy Baja",AD39="Mayor"),AND(AB39="Baja",AD39="Mayor"),AND(AB39="Media",AD39="Mayor"),AND(AB39="Alta",AD39="Moderado"),AND(AB39="Alta",AD39="Mayor"),AND(AB39="Muy Alta",AD39="Leve"),AND(AB39="Muy Alta",AD39="Menor"),AND(AB39="Muy Alta",AD39="Moderado"),AND(AB39="Muy Alta",AD39="Mayor")),"Alto",IF(OR(AND(AB39="Muy Baja",AD39="Catastrófico"),AND(AB39="Baja",AD39="Catastrófico"),AND(AB39="Media",AD39="Catastrófico"),AND(AB39="Alta",AD39="Catastrófico"),AND(AB39="Muy Alta",AD39="Catastrófico")),"Extremo","")))),"")</f>
        <v>Bajo</v>
      </c>
      <c r="AG39" s="202" t="s">
        <v>122</v>
      </c>
      <c r="AH39" s="195" t="s">
        <v>686</v>
      </c>
      <c r="AI39" s="160"/>
      <c r="AJ39" s="159"/>
      <c r="AK39" s="159"/>
      <c r="AL39" s="195" t="s">
        <v>686</v>
      </c>
      <c r="AM39" s="162" t="s">
        <v>652</v>
      </c>
      <c r="AN39" s="162" t="s">
        <v>651</v>
      </c>
      <c r="AO39" s="163">
        <v>1</v>
      </c>
      <c r="AP39" s="177" t="s">
        <v>589</v>
      </c>
      <c r="AQ39" s="177" t="s">
        <v>589</v>
      </c>
      <c r="AR39" s="163" t="s">
        <v>686</v>
      </c>
      <c r="AS39" s="160"/>
      <c r="AT39" s="160" t="s">
        <v>587</v>
      </c>
      <c r="AU39" s="160" t="s">
        <v>612</v>
      </c>
      <c r="AV39" s="160" t="s">
        <v>612</v>
      </c>
      <c r="AW39" s="160" t="s">
        <v>612</v>
      </c>
      <c r="AX39" s="161" t="s">
        <v>755</v>
      </c>
    </row>
    <row r="40" spans="1:52" s="93" customFormat="1" ht="151.5" customHeight="1" x14ac:dyDescent="0.3">
      <c r="A40" s="365"/>
      <c r="B40" s="396"/>
      <c r="C40" s="392"/>
      <c r="D40" s="392"/>
      <c r="E40" s="388"/>
      <c r="F40" s="388"/>
      <c r="G40" s="388"/>
      <c r="H40" s="373"/>
      <c r="I40" s="388"/>
      <c r="J40" s="381"/>
      <c r="K40" s="384"/>
      <c r="L40" s="376"/>
      <c r="M40" s="386"/>
      <c r="N40" s="136"/>
      <c r="O40" s="384"/>
      <c r="P40" s="376"/>
      <c r="Q40" s="379"/>
      <c r="R40" s="89">
        <v>4</v>
      </c>
      <c r="S40" s="195" t="s">
        <v>468</v>
      </c>
      <c r="T40" s="196" t="str">
        <f t="shared" si="5"/>
        <v>Probabilidad</v>
      </c>
      <c r="U40" s="197" t="s">
        <v>14</v>
      </c>
      <c r="V40" s="197" t="s">
        <v>9</v>
      </c>
      <c r="W40" s="198"/>
      <c r="X40" s="197" t="s">
        <v>19</v>
      </c>
      <c r="Y40" s="197" t="s">
        <v>22</v>
      </c>
      <c r="Z40" s="197" t="s">
        <v>110</v>
      </c>
      <c r="AA40" s="90">
        <f t="shared" si="35"/>
        <v>0</v>
      </c>
      <c r="AB40" s="199" t="str">
        <f t="shared" si="7"/>
        <v>Muy Baja</v>
      </c>
      <c r="AC40" s="200">
        <f t="shared" si="8"/>
        <v>0</v>
      </c>
      <c r="AD40" s="199" t="str">
        <f t="shared" si="9"/>
        <v>Leve</v>
      </c>
      <c r="AE40" s="200">
        <f t="shared" si="10"/>
        <v>0</v>
      </c>
      <c r="AF40" s="201" t="str">
        <f t="shared" si="11"/>
        <v>Bajo</v>
      </c>
      <c r="AG40" s="202" t="s">
        <v>122</v>
      </c>
      <c r="AH40" s="195" t="s">
        <v>686</v>
      </c>
      <c r="AI40" s="160"/>
      <c r="AJ40" s="159"/>
      <c r="AK40" s="159"/>
      <c r="AL40" s="195" t="s">
        <v>686</v>
      </c>
      <c r="AM40" s="162" t="s">
        <v>652</v>
      </c>
      <c r="AN40" s="162" t="s">
        <v>651</v>
      </c>
      <c r="AO40" s="163">
        <v>1</v>
      </c>
      <c r="AP40" s="166"/>
      <c r="AQ40" s="177" t="s">
        <v>589</v>
      </c>
      <c r="AR40" s="163" t="s">
        <v>686</v>
      </c>
      <c r="AS40" s="160"/>
      <c r="AT40" s="160" t="s">
        <v>587</v>
      </c>
      <c r="AU40" s="160" t="s">
        <v>612</v>
      </c>
      <c r="AV40" s="160" t="s">
        <v>612</v>
      </c>
      <c r="AW40" s="160" t="s">
        <v>612</v>
      </c>
      <c r="AX40" s="161" t="s">
        <v>755</v>
      </c>
    </row>
    <row r="41" spans="1:52" s="93" customFormat="1" ht="183.75" customHeight="1" x14ac:dyDescent="0.3">
      <c r="A41" s="365">
        <f>1+A37</f>
        <v>12</v>
      </c>
      <c r="B41" s="394" t="s">
        <v>329</v>
      </c>
      <c r="C41" s="389" t="s">
        <v>330</v>
      </c>
      <c r="D41" s="389" t="s">
        <v>331</v>
      </c>
      <c r="E41" s="387" t="s">
        <v>120</v>
      </c>
      <c r="F41" s="388" t="s">
        <v>332</v>
      </c>
      <c r="G41" s="388" t="s">
        <v>333</v>
      </c>
      <c r="H41" s="372" t="s">
        <v>334</v>
      </c>
      <c r="I41" s="387" t="s">
        <v>218</v>
      </c>
      <c r="J41" s="380">
        <v>49</v>
      </c>
      <c r="K41" s="382" t="str">
        <f>IF(J41&lt;=0,"",IF(J41&lt;=2,"Muy Baja",IF(J41&lt;=24,"Baja",IF(J41&lt;=500,"Media",IF(J41&lt;=5000,"Alta","Muy Alta")))))</f>
        <v>Media</v>
      </c>
      <c r="L41" s="374">
        <f>IF(K41="","",IF(K41="Muy Baja",0.2,IF(K41="Baja",0.4,IF(K41="Media",0.6,IF(K41="Alta",0.8,IF(K41="Muy Alta",1,))))))</f>
        <v>0.6</v>
      </c>
      <c r="M41" s="385" t="s">
        <v>250</v>
      </c>
      <c r="N41" s="135" t="str">
        <f>IF(NOT(ISERROR(MATCH(M41,'Tabla Impacto'!$B$221:$B$223,0))),'Tabla Impacto'!$F$223&amp;"Por favor no seleccionar los criterios de impacto(Afectación Económica o presupuestal y Pérdida Reputacional)",M41)</f>
        <v xml:space="preserve"> El riesgo afecta la imagen de la entidad con algunos usuarios de relevancia frente al logro de los objetivos</v>
      </c>
      <c r="O41" s="382" t="str">
        <f>IF(OR(N41='Tabla Impacto'!$C$11,N41='Tabla Impacto'!$D$11),"Leve",IF(OR(N41='Tabla Impacto'!$C$12,N41='Tabla Impacto'!$D$12),"Menor",IF(OR(N41='Tabla Impacto'!$C$13,N41='Tabla Impacto'!$D$13),"Moderado",IF(OR(N41='Tabla Impacto'!$C$14,N41='Tabla Impacto'!$D$14),"Mayor",IF(OR(N41='Tabla Impacto'!$C$15,N41='Tabla Impacto'!$D$15),"Catastrófico","")))))</f>
        <v>Moderado</v>
      </c>
      <c r="P41" s="374">
        <f>IF(O41="","",IF(O41="Leve",0.2,IF(O41="Menor",0.4,IF(O41="Moderado",0.6,IF(O41="Mayor",0.8,IF(O41="Catastrófico",1,))))))</f>
        <v>0.6</v>
      </c>
      <c r="Q41" s="377" t="str">
        <f>IF(OR(AND(K41="Muy Baja",O41="Leve"),AND(K41="Muy Baja",O41="Menor"),AND(K41="Baja",O41="Leve")),"Bajo",IF(OR(AND(K41="Muy baja",O41="Moderado"),AND(K41="Baja",O41="Menor"),AND(K41="Baja",O41="Moderado"),AND(K41="Media",O41="Leve"),AND(K41="Media",O41="Menor"),AND(K41="Media",O41="Moderado"),AND(K41="Alta",O41="Leve"),AND(K41="Alta",O41="Menor")),"Moderado",IF(OR(AND(K41="Muy Baja",O41="Mayor"),AND(K41="Baja",O41="Mayor"),AND(K41="Media",O41="Mayor"),AND(K41="Alta",O41="Moderado"),AND(K41="Alta",O41="Mayor"),AND(K41="Muy Alta",O41="Leve"),AND(K41="Muy Alta",O41="Menor"),AND(K41="Muy Alta",O41="Moderado"),AND(K41="Muy Alta",O41="Mayor")),"Alto",IF(OR(AND(K41="Muy Baja",O41="Catastrófico"),AND(K41="Baja",O41="Catastrófico"),AND(K41="Media",O41="Catastrófico"),AND(K41="Alta",O41="Catastrófico"),AND(K41="Muy Alta",O41="Catastrófico")),"Extremo",""))))</f>
        <v>Moderado</v>
      </c>
      <c r="R41" s="89">
        <v>1</v>
      </c>
      <c r="S41" s="195" t="s">
        <v>335</v>
      </c>
      <c r="T41" s="196" t="str">
        <f t="shared" si="5"/>
        <v>Probabilidad</v>
      </c>
      <c r="U41" s="197" t="s">
        <v>14</v>
      </c>
      <c r="V41" s="197" t="s">
        <v>9</v>
      </c>
      <c r="W41" s="198" t="str">
        <f t="shared" si="6"/>
        <v>40%</v>
      </c>
      <c r="X41" s="197" t="s">
        <v>19</v>
      </c>
      <c r="Y41" s="197" t="s">
        <v>22</v>
      </c>
      <c r="Z41" s="197" t="s">
        <v>110</v>
      </c>
      <c r="AA41" s="90">
        <f>IFERROR(IF(T41="Probabilidad",(L41-(+L41*W41)),IF(T41="Impacto",L41,"")),"")</f>
        <v>0.36</v>
      </c>
      <c r="AB41" s="199" t="str">
        <f t="shared" si="7"/>
        <v>Baja</v>
      </c>
      <c r="AC41" s="200">
        <f t="shared" si="8"/>
        <v>0.36</v>
      </c>
      <c r="AD41" s="199" t="str">
        <f t="shared" si="9"/>
        <v>Moderado</v>
      </c>
      <c r="AE41" s="200">
        <f t="shared" si="10"/>
        <v>0.6</v>
      </c>
      <c r="AF41" s="201" t="str">
        <f t="shared" si="11"/>
        <v>Moderado</v>
      </c>
      <c r="AG41" s="202" t="s">
        <v>122</v>
      </c>
      <c r="AH41" s="195" t="s">
        <v>226</v>
      </c>
      <c r="AI41" s="160" t="s">
        <v>195</v>
      </c>
      <c r="AJ41" s="173">
        <v>45450</v>
      </c>
      <c r="AK41" s="173">
        <v>45657</v>
      </c>
      <c r="AL41" s="195" t="s">
        <v>227</v>
      </c>
      <c r="AM41" s="162" t="s">
        <v>763</v>
      </c>
      <c r="AN41" s="165" t="s">
        <v>671</v>
      </c>
      <c r="AO41" s="158">
        <v>1</v>
      </c>
      <c r="AP41" s="162" t="s">
        <v>648</v>
      </c>
      <c r="AQ41" s="162" t="s">
        <v>649</v>
      </c>
      <c r="AR41" s="163">
        <v>1</v>
      </c>
      <c r="AS41" s="160"/>
      <c r="AT41" s="160" t="s">
        <v>587</v>
      </c>
      <c r="AU41" s="160" t="s">
        <v>612</v>
      </c>
      <c r="AV41" s="160" t="s">
        <v>612</v>
      </c>
      <c r="AW41" s="160" t="s">
        <v>612</v>
      </c>
      <c r="AX41" s="161" t="s">
        <v>754</v>
      </c>
    </row>
    <row r="42" spans="1:52" s="93" customFormat="1" ht="151.5" hidden="1" customHeight="1" x14ac:dyDescent="0.3">
      <c r="A42" s="365"/>
      <c r="B42" s="395"/>
      <c r="C42" s="392"/>
      <c r="D42" s="392"/>
      <c r="E42" s="388"/>
      <c r="F42" s="388" t="s">
        <v>201</v>
      </c>
      <c r="G42" s="388" t="s">
        <v>202</v>
      </c>
      <c r="H42" s="373"/>
      <c r="I42" s="388"/>
      <c r="J42" s="381"/>
      <c r="K42" s="383"/>
      <c r="L42" s="375"/>
      <c r="M42" s="386"/>
      <c r="N42" s="136"/>
      <c r="O42" s="383"/>
      <c r="P42" s="375"/>
      <c r="Q42" s="378"/>
      <c r="R42" s="89">
        <v>2</v>
      </c>
      <c r="S42" s="195"/>
      <c r="T42" s="196" t="str">
        <f t="shared" si="5"/>
        <v/>
      </c>
      <c r="U42" s="197"/>
      <c r="V42" s="197"/>
      <c r="W42" s="198"/>
      <c r="X42" s="197"/>
      <c r="Y42" s="197"/>
      <c r="Z42" s="197"/>
      <c r="AA42" s="90"/>
      <c r="AB42" s="199"/>
      <c r="AC42" s="200"/>
      <c r="AD42" s="199"/>
      <c r="AE42" s="200"/>
      <c r="AF42" s="201"/>
      <c r="AG42" s="202"/>
      <c r="AH42" s="195"/>
      <c r="AI42" s="160"/>
      <c r="AJ42" s="159"/>
      <c r="AK42" s="159"/>
      <c r="AL42" s="195"/>
      <c r="AM42" s="166"/>
      <c r="AN42" s="166"/>
      <c r="AO42" s="158"/>
      <c r="AP42" s="166"/>
      <c r="AQ42" s="166"/>
      <c r="AR42" s="163" t="s">
        <v>686</v>
      </c>
      <c r="AS42" s="160"/>
      <c r="AT42" s="160"/>
      <c r="AU42" s="160"/>
      <c r="AV42" s="160"/>
      <c r="AW42" s="160"/>
      <c r="AX42" s="160"/>
    </row>
    <row r="43" spans="1:52" s="93" customFormat="1" ht="151.5" hidden="1" customHeight="1" x14ac:dyDescent="0.3">
      <c r="A43" s="365"/>
      <c r="B43" s="396"/>
      <c r="C43" s="392"/>
      <c r="D43" s="392"/>
      <c r="E43" s="388"/>
      <c r="F43" s="388" t="s">
        <v>201</v>
      </c>
      <c r="G43" s="388" t="s">
        <v>202</v>
      </c>
      <c r="H43" s="373"/>
      <c r="I43" s="388"/>
      <c r="J43" s="381"/>
      <c r="K43" s="384"/>
      <c r="L43" s="376"/>
      <c r="M43" s="386"/>
      <c r="N43" s="136"/>
      <c r="O43" s="384"/>
      <c r="P43" s="376"/>
      <c r="Q43" s="379"/>
      <c r="R43" s="89">
        <v>3</v>
      </c>
      <c r="S43" s="195"/>
      <c r="T43" s="196" t="str">
        <f t="shared" si="5"/>
        <v/>
      </c>
      <c r="U43" s="197"/>
      <c r="V43" s="197"/>
      <c r="W43" s="198"/>
      <c r="X43" s="197"/>
      <c r="Y43" s="197"/>
      <c r="Z43" s="197"/>
      <c r="AA43" s="90"/>
      <c r="AB43" s="199"/>
      <c r="AC43" s="200"/>
      <c r="AD43" s="199"/>
      <c r="AE43" s="200"/>
      <c r="AF43" s="201"/>
      <c r="AG43" s="202"/>
      <c r="AH43" s="195"/>
      <c r="AI43" s="160"/>
      <c r="AJ43" s="159"/>
      <c r="AK43" s="159"/>
      <c r="AL43" s="195"/>
      <c r="AM43" s="166"/>
      <c r="AN43" s="166"/>
      <c r="AO43" s="158"/>
      <c r="AP43" s="166"/>
      <c r="AQ43" s="166"/>
      <c r="AR43" s="163" t="s">
        <v>686</v>
      </c>
      <c r="AS43" s="160"/>
      <c r="AT43" s="160"/>
      <c r="AU43" s="160"/>
      <c r="AV43" s="160"/>
      <c r="AW43" s="160"/>
      <c r="AX43" s="160"/>
    </row>
    <row r="44" spans="1:52" s="93" customFormat="1" ht="176.25" customHeight="1" x14ac:dyDescent="0.3">
      <c r="A44" s="365">
        <f>1+A41</f>
        <v>13</v>
      </c>
      <c r="B44" s="394" t="s">
        <v>329</v>
      </c>
      <c r="C44" s="389" t="s">
        <v>330</v>
      </c>
      <c r="D44" s="389" t="s">
        <v>331</v>
      </c>
      <c r="E44" s="387" t="s">
        <v>120</v>
      </c>
      <c r="F44" s="391" t="s">
        <v>336</v>
      </c>
      <c r="G44" s="391" t="s">
        <v>342</v>
      </c>
      <c r="H44" s="372" t="s">
        <v>469</v>
      </c>
      <c r="I44" s="387" t="s">
        <v>218</v>
      </c>
      <c r="J44" s="380">
        <v>231</v>
      </c>
      <c r="K44" s="382" t="str">
        <f>IF(J44&lt;=0,"",IF(J44&lt;=2,"Muy Baja",IF(J44&lt;=24,"Baja",IF(J44&lt;=500,"Media",IF(J44&lt;=5000,"Alta","Muy Alta")))))</f>
        <v>Media</v>
      </c>
      <c r="L44" s="374">
        <f>IF(K44="","",IF(K44="Muy Baja",0.2,IF(K44="Baja",0.4,IF(K44="Media",0.6,IF(K44="Alta",0.8,IF(K44="Muy Alta",1,))))))</f>
        <v>0.6</v>
      </c>
      <c r="M44" s="385" t="s">
        <v>250</v>
      </c>
      <c r="N44" s="135" t="str">
        <f>IF(NOT(ISERROR(MATCH(M44,'Tabla Impacto'!$B$221:$B$223,0))),'Tabla Impacto'!$F$223&amp;"Por favor no seleccionar los criterios de impacto(Afectación Económica o presupuestal y Pérdida Reputacional)",M44)</f>
        <v xml:space="preserve"> El riesgo afecta la imagen de la entidad con algunos usuarios de relevancia frente al logro de los objetivos</v>
      </c>
      <c r="O44" s="382" t="str">
        <f>IF(OR(N44='Tabla Impacto'!$C$11,N44='Tabla Impacto'!$D$11),"Leve",IF(OR(N44='Tabla Impacto'!$C$12,N44='Tabla Impacto'!$D$12),"Menor",IF(OR(N44='Tabla Impacto'!$C$13,N44='Tabla Impacto'!$D$13),"Moderado",IF(OR(N44='Tabla Impacto'!$C$14,N44='Tabla Impacto'!$D$14),"Mayor",IF(OR(N44='Tabla Impacto'!$C$15,N44='Tabla Impacto'!$D$15),"Catastrófico","")))))</f>
        <v>Moderado</v>
      </c>
      <c r="P44" s="374">
        <f>IF(O44="","",IF(O44="Leve",0.2,IF(O44="Menor",0.4,IF(O44="Moderado",0.6,IF(O44="Mayor",0.8,IF(O44="Catastrófico",1,))))))</f>
        <v>0.6</v>
      </c>
      <c r="Q44" s="377" t="str">
        <f>IF(OR(AND(K44="Muy Baja",O44="Leve"),AND(K44="Muy Baja",O44="Menor"),AND(K44="Baja",O44="Leve")),"Bajo",IF(OR(AND(K44="Muy baja",O44="Moderado"),AND(K44="Baja",O44="Menor"),AND(K44="Baja",O44="Moderado"),AND(K44="Media",O44="Leve"),AND(K44="Media",O44="Menor"),AND(K44="Media",O44="Moderado"),AND(K44="Alta",O44="Leve"),AND(K44="Alta",O44="Menor")),"Moderado",IF(OR(AND(K44="Muy Baja",O44="Mayor"),AND(K44="Baja",O44="Mayor"),AND(K44="Media",O44="Mayor"),AND(K44="Alta",O44="Moderado"),AND(K44="Alta",O44="Mayor"),AND(K44="Muy Alta",O44="Leve"),AND(K44="Muy Alta",O44="Menor"),AND(K44="Muy Alta",O44="Moderado"),AND(K44="Muy Alta",O44="Mayor")),"Alto",IF(OR(AND(K44="Muy Baja",O44="Catastrófico"),AND(K44="Baja",O44="Catastrófico"),AND(K44="Media",O44="Catastrófico"),AND(K44="Alta",O44="Catastrófico"),AND(K44="Muy Alta",O44="Catastrófico")),"Extremo",""))))</f>
        <v>Moderado</v>
      </c>
      <c r="R44" s="89">
        <v>1</v>
      </c>
      <c r="S44" s="195" t="s">
        <v>470</v>
      </c>
      <c r="T44" s="196" t="str">
        <f t="shared" si="5"/>
        <v>Probabilidad</v>
      </c>
      <c r="U44" s="197" t="s">
        <v>14</v>
      </c>
      <c r="V44" s="197" t="s">
        <v>9</v>
      </c>
      <c r="W44" s="198" t="str">
        <f t="shared" ref="W44:W48" si="41">IF(AND(U44="Preventivo",V44="Automático"),"50%",IF(AND(U44="Preventivo",V44="Manual"),"40%",IF(AND(U44="Detectivo",V44="Automático"),"40%",IF(AND(U44="Detectivo",V44="Manual"),"30%",IF(AND(U44="Correctivo",V44="Automático"),"35%",IF(AND(U44="Correctivo",V44="Manual"),"25%",""))))))</f>
        <v>40%</v>
      </c>
      <c r="X44" s="197" t="s">
        <v>20</v>
      </c>
      <c r="Y44" s="197" t="s">
        <v>22</v>
      </c>
      <c r="Z44" s="197" t="s">
        <v>111</v>
      </c>
      <c r="AA44" s="90">
        <f>IFERROR(IF(T44="Probabilidad",(L44-(+L44*W44)),IF(T44="Impacto",L44,"")),"")</f>
        <v>0.36</v>
      </c>
      <c r="AB44" s="199" t="str">
        <f t="shared" ref="AB44:AB48" si="42">IFERROR(IF(AA44="","",IF(AA44&lt;=0.2,"Muy Baja",IF(AA44&lt;=0.4,"Baja",IF(AA44&lt;=0.6,"Media",IF(AA44&lt;=0.8,"Alta","Muy Alta"))))),"")</f>
        <v>Baja</v>
      </c>
      <c r="AC44" s="200">
        <f t="shared" ref="AC44:AC48" si="43">+AA44</f>
        <v>0.36</v>
      </c>
      <c r="AD44" s="199" t="str">
        <f t="shared" ref="AD44:AD48" si="44">IFERROR(IF(AE44="","",IF(AE44&lt;=0.2,"Leve",IF(AE44&lt;=0.4,"Menor",IF(AE44&lt;=0.6,"Moderado",IF(AE44&lt;=0.8,"Mayor","Catastrófico"))))),"")</f>
        <v>Moderado</v>
      </c>
      <c r="AE44" s="200">
        <f t="shared" ref="AE44:AE48" si="45">IFERROR(IF(T44="Impacto",(P44-(+P44*W44)),IF(T44="Probabilidad",P44,"")),"")</f>
        <v>0.6</v>
      </c>
      <c r="AF44" s="201" t="str">
        <f t="shared" ref="AF44:AF48" si="46">IFERROR(IF(OR(AND(AB44="Muy Baja",AD44="Leve"),AND(AB44="Muy Baja",AD44="Menor"),AND(AB44="Baja",AD44="Leve")),"Bajo",IF(OR(AND(AB44="Muy baja",AD44="Moderado"),AND(AB44="Baja",AD44="Menor"),AND(AB44="Baja",AD44="Moderado"),AND(AB44="Media",AD44="Leve"),AND(AB44="Media",AD44="Menor"),AND(AB44="Media",AD44="Moderado"),AND(AB44="Alta",AD44="Leve"),AND(AB44="Alta",AD44="Menor")),"Moderado",IF(OR(AND(AB44="Muy Baja",AD44="Mayor"),AND(AB44="Baja",AD44="Mayor"),AND(AB44="Media",AD44="Mayor"),AND(AB44="Alta",AD44="Moderado"),AND(AB44="Alta",AD44="Mayor"),AND(AB44="Muy Alta",AD44="Leve"),AND(AB44="Muy Alta",AD44="Menor"),AND(AB44="Muy Alta",AD44="Moderado"),AND(AB44="Muy Alta",AD44="Mayor")),"Alto",IF(OR(AND(AB44="Muy Baja",AD44="Catastrófico"),AND(AB44="Baja",AD44="Catastrófico"),AND(AB44="Media",AD44="Catastrófico"),AND(AB44="Alta",AD44="Catastrófico"),AND(AB44="Muy Alta",AD44="Catastrófico")),"Extremo","")))),"")</f>
        <v>Moderado</v>
      </c>
      <c r="AG44" s="202" t="s">
        <v>122</v>
      </c>
      <c r="AH44" s="195" t="s">
        <v>337</v>
      </c>
      <c r="AI44" s="160" t="s">
        <v>299</v>
      </c>
      <c r="AJ44" s="173">
        <v>45450</v>
      </c>
      <c r="AK44" s="173">
        <v>45657</v>
      </c>
      <c r="AL44" s="195" t="s">
        <v>433</v>
      </c>
      <c r="AM44" s="162" t="s">
        <v>764</v>
      </c>
      <c r="AN44" s="162" t="s">
        <v>666</v>
      </c>
      <c r="AO44" s="163">
        <v>1</v>
      </c>
      <c r="AP44" s="192" t="s">
        <v>667</v>
      </c>
      <c r="AQ44" s="192" t="s">
        <v>809</v>
      </c>
      <c r="AR44" s="163">
        <v>1</v>
      </c>
      <c r="AS44" s="171"/>
      <c r="AT44" s="159" t="s">
        <v>587</v>
      </c>
      <c r="AU44" s="160" t="s">
        <v>589</v>
      </c>
      <c r="AV44" s="160" t="s">
        <v>589</v>
      </c>
      <c r="AW44" s="160" t="s">
        <v>589</v>
      </c>
      <c r="AX44" s="161" t="s">
        <v>754</v>
      </c>
    </row>
    <row r="45" spans="1:52" s="93" customFormat="1" ht="151.5" customHeight="1" x14ac:dyDescent="0.3">
      <c r="A45" s="365"/>
      <c r="B45" s="395"/>
      <c r="C45" s="392"/>
      <c r="D45" s="392"/>
      <c r="E45" s="388"/>
      <c r="F45" s="388"/>
      <c r="G45" s="388"/>
      <c r="H45" s="373"/>
      <c r="I45" s="388"/>
      <c r="J45" s="381"/>
      <c r="K45" s="383"/>
      <c r="L45" s="375"/>
      <c r="M45" s="386"/>
      <c r="N45" s="136"/>
      <c r="O45" s="383"/>
      <c r="P45" s="375"/>
      <c r="Q45" s="378"/>
      <c r="R45" s="89">
        <v>2</v>
      </c>
      <c r="S45" s="195" t="s">
        <v>471</v>
      </c>
      <c r="T45" s="196" t="str">
        <f t="shared" si="5"/>
        <v>Impacto</v>
      </c>
      <c r="U45" s="197" t="s">
        <v>16</v>
      </c>
      <c r="V45" s="197" t="s">
        <v>9</v>
      </c>
      <c r="W45" s="198" t="str">
        <f t="shared" si="41"/>
        <v>25%</v>
      </c>
      <c r="X45" s="197" t="s">
        <v>20</v>
      </c>
      <c r="Y45" s="197" t="s">
        <v>22</v>
      </c>
      <c r="Z45" s="197" t="s">
        <v>111</v>
      </c>
      <c r="AA45" s="90">
        <f>IFERROR(IF(T45="Probabilidad",(L45-(+L45*W45)),IF(T45="Impacto",L45,"")),"")</f>
        <v>0</v>
      </c>
      <c r="AB45" s="199" t="str">
        <f t="shared" si="42"/>
        <v>Muy Baja</v>
      </c>
      <c r="AC45" s="200">
        <f t="shared" si="43"/>
        <v>0</v>
      </c>
      <c r="AD45" s="199" t="str">
        <f t="shared" si="44"/>
        <v>Leve</v>
      </c>
      <c r="AE45" s="200">
        <f t="shared" si="45"/>
        <v>0</v>
      </c>
      <c r="AF45" s="201" t="str">
        <f t="shared" si="46"/>
        <v>Bajo</v>
      </c>
      <c r="AG45" s="202" t="s">
        <v>122</v>
      </c>
      <c r="AH45" s="195" t="s">
        <v>686</v>
      </c>
      <c r="AI45" s="160"/>
      <c r="AJ45" s="159"/>
      <c r="AK45" s="159"/>
      <c r="AL45" s="195" t="s">
        <v>686</v>
      </c>
      <c r="AM45" s="162" t="s">
        <v>765</v>
      </c>
      <c r="AN45" s="162" t="s">
        <v>668</v>
      </c>
      <c r="AO45" s="158">
        <v>1</v>
      </c>
      <c r="AP45" s="177" t="s">
        <v>589</v>
      </c>
      <c r="AQ45" s="177" t="s">
        <v>589</v>
      </c>
      <c r="AR45" s="170" t="s">
        <v>686</v>
      </c>
      <c r="AS45" s="160"/>
      <c r="AT45" s="159" t="s">
        <v>587</v>
      </c>
      <c r="AU45" s="160" t="s">
        <v>589</v>
      </c>
      <c r="AV45" s="160" t="s">
        <v>589</v>
      </c>
      <c r="AW45" s="160" t="s">
        <v>589</v>
      </c>
      <c r="AX45" s="161" t="s">
        <v>755</v>
      </c>
    </row>
    <row r="46" spans="1:52" s="93" customFormat="1" ht="151.5" customHeight="1" x14ac:dyDescent="0.3">
      <c r="A46" s="365"/>
      <c r="B46" s="395"/>
      <c r="C46" s="392"/>
      <c r="D46" s="392"/>
      <c r="E46" s="388"/>
      <c r="F46" s="388"/>
      <c r="G46" s="388"/>
      <c r="H46" s="373"/>
      <c r="I46" s="388"/>
      <c r="J46" s="381"/>
      <c r="K46" s="383"/>
      <c r="L46" s="375"/>
      <c r="M46" s="386"/>
      <c r="N46" s="136"/>
      <c r="O46" s="383"/>
      <c r="P46" s="375"/>
      <c r="Q46" s="378"/>
      <c r="R46" s="89">
        <v>3</v>
      </c>
      <c r="S46" s="195" t="s">
        <v>472</v>
      </c>
      <c r="T46" s="196" t="s">
        <v>4</v>
      </c>
      <c r="U46" s="197" t="s">
        <v>761</v>
      </c>
      <c r="V46" s="197" t="s">
        <v>9</v>
      </c>
      <c r="W46" s="198" t="str">
        <f t="shared" si="41"/>
        <v/>
      </c>
      <c r="X46" s="197" t="s">
        <v>20</v>
      </c>
      <c r="Y46" s="197" t="s">
        <v>22</v>
      </c>
      <c r="Z46" s="197" t="s">
        <v>111</v>
      </c>
      <c r="AA46" s="90" t="str">
        <f t="shared" ref="AA46:AA47" si="47">IFERROR(IF(T46="Probabilidad",(L46-(+L46*W46)),IF(T46="Impacto",L46,"")),"")</f>
        <v/>
      </c>
      <c r="AB46" s="199" t="str">
        <f t="shared" ref="AB46" si="48">IFERROR(IF(AA46="","",IF(AA46&lt;=0.2,"Muy Baja",IF(AA46&lt;=0.4,"Baja",IF(AA46&lt;=0.6,"Media",IF(AA46&lt;=0.8,"Alta","Muy Alta"))))),"")</f>
        <v/>
      </c>
      <c r="AC46" s="200" t="str">
        <f t="shared" ref="AC46" si="49">+AA46</f>
        <v/>
      </c>
      <c r="AD46" s="199" t="str">
        <f t="shared" ref="AD46" si="50">IFERROR(IF(AE46="","",IF(AE46&lt;=0.2,"Leve",IF(AE46&lt;=0.4,"Menor",IF(AE46&lt;=0.6,"Moderado",IF(AE46&lt;=0.8,"Mayor","Catastrófico"))))),"")</f>
        <v>Leve</v>
      </c>
      <c r="AE46" s="200">
        <f t="shared" ref="AE46" si="51">IFERROR(IF(T46="Impacto",(P46-(+P46*W46)),IF(T46="Probabilidad",P46,"")),"")</f>
        <v>0</v>
      </c>
      <c r="AF46" s="201" t="str">
        <f t="shared" ref="AF46" si="52">IFERROR(IF(OR(AND(AB46="Muy Baja",AD46="Leve"),AND(AB46="Muy Baja",AD46="Menor"),AND(AB46="Baja",AD46="Leve")),"Bajo",IF(OR(AND(AB46="Muy baja",AD46="Moderado"),AND(AB46="Baja",AD46="Menor"),AND(AB46="Baja",AD46="Moderado"),AND(AB46="Media",AD46="Leve"),AND(AB46="Media",AD46="Menor"),AND(AB46="Media",AD46="Moderado"),AND(AB46="Alta",AD46="Leve"),AND(AB46="Alta",AD46="Menor")),"Moderado",IF(OR(AND(AB46="Muy Baja",AD46="Mayor"),AND(AB46="Baja",AD46="Mayor"),AND(AB46="Media",AD46="Mayor"),AND(AB46="Alta",AD46="Moderado"),AND(AB46="Alta",AD46="Mayor"),AND(AB46="Muy Alta",AD46="Leve"),AND(AB46="Muy Alta",AD46="Menor"),AND(AB46="Muy Alta",AD46="Moderado"),AND(AB46="Muy Alta",AD46="Mayor")),"Alto",IF(OR(AND(AB46="Muy Baja",AD46="Catastrófico"),AND(AB46="Baja",AD46="Catastrófico"),AND(AB46="Media",AD46="Catastrófico"),AND(AB46="Alta",AD46="Catastrófico"),AND(AB46="Muy Alta",AD46="Catastrófico")),"Extremo","")))),"")</f>
        <v/>
      </c>
      <c r="AG46" s="202" t="s">
        <v>122</v>
      </c>
      <c r="AH46" s="195" t="s">
        <v>686</v>
      </c>
      <c r="AI46" s="160"/>
      <c r="AJ46" s="159"/>
      <c r="AK46" s="159"/>
      <c r="AL46" s="195" t="s">
        <v>686</v>
      </c>
      <c r="AM46" s="162" t="s">
        <v>669</v>
      </c>
      <c r="AN46" s="162" t="s">
        <v>670</v>
      </c>
      <c r="AO46" s="158">
        <v>1</v>
      </c>
      <c r="AP46" s="177" t="s">
        <v>589</v>
      </c>
      <c r="AQ46" s="177" t="s">
        <v>589</v>
      </c>
      <c r="AR46" s="170" t="s">
        <v>686</v>
      </c>
      <c r="AS46" s="160"/>
      <c r="AT46" s="159" t="s">
        <v>587</v>
      </c>
      <c r="AU46" s="160" t="s">
        <v>589</v>
      </c>
      <c r="AV46" s="160" t="s">
        <v>589</v>
      </c>
      <c r="AW46" s="160" t="s">
        <v>589</v>
      </c>
      <c r="AX46" s="161" t="s">
        <v>755</v>
      </c>
    </row>
    <row r="47" spans="1:52" s="93" customFormat="1" ht="151.5" customHeight="1" x14ac:dyDescent="0.3">
      <c r="A47" s="365"/>
      <c r="B47" s="395"/>
      <c r="C47" s="392"/>
      <c r="D47" s="392"/>
      <c r="E47" s="388"/>
      <c r="F47" s="388"/>
      <c r="G47" s="388"/>
      <c r="H47" s="373"/>
      <c r="I47" s="388"/>
      <c r="J47" s="381"/>
      <c r="K47" s="383"/>
      <c r="L47" s="375"/>
      <c r="M47" s="386"/>
      <c r="N47" s="136"/>
      <c r="O47" s="383"/>
      <c r="P47" s="375"/>
      <c r="Q47" s="378"/>
      <c r="R47" s="89">
        <v>4</v>
      </c>
      <c r="S47" s="195" t="s">
        <v>473</v>
      </c>
      <c r="T47" s="196" t="s">
        <v>4</v>
      </c>
      <c r="U47" s="197" t="s">
        <v>761</v>
      </c>
      <c r="V47" s="197" t="s">
        <v>9</v>
      </c>
      <c r="W47" s="198" t="str">
        <f t="shared" si="41"/>
        <v/>
      </c>
      <c r="X47" s="197" t="s">
        <v>20</v>
      </c>
      <c r="Y47" s="197" t="s">
        <v>22</v>
      </c>
      <c r="Z47" s="197" t="s">
        <v>111</v>
      </c>
      <c r="AA47" s="90" t="str">
        <f t="shared" si="47"/>
        <v/>
      </c>
      <c r="AB47" s="199" t="str">
        <f t="shared" si="42"/>
        <v/>
      </c>
      <c r="AC47" s="200" t="str">
        <f t="shared" si="43"/>
        <v/>
      </c>
      <c r="AD47" s="199" t="str">
        <f t="shared" si="44"/>
        <v>Leve</v>
      </c>
      <c r="AE47" s="200">
        <f t="shared" si="45"/>
        <v>0</v>
      </c>
      <c r="AF47" s="201" t="str">
        <f t="shared" si="46"/>
        <v/>
      </c>
      <c r="AG47" s="202" t="s">
        <v>122</v>
      </c>
      <c r="AH47" s="195" t="s">
        <v>686</v>
      </c>
      <c r="AI47" s="160"/>
      <c r="AJ47" s="159"/>
      <c r="AK47" s="159"/>
      <c r="AL47" s="195" t="s">
        <v>686</v>
      </c>
      <c r="AM47" s="162" t="s">
        <v>669</v>
      </c>
      <c r="AN47" s="162" t="s">
        <v>670</v>
      </c>
      <c r="AO47" s="158">
        <v>1</v>
      </c>
      <c r="AP47" s="177" t="s">
        <v>589</v>
      </c>
      <c r="AQ47" s="177" t="s">
        <v>589</v>
      </c>
      <c r="AR47" s="170" t="s">
        <v>686</v>
      </c>
      <c r="AS47" s="160"/>
      <c r="AT47" s="159" t="s">
        <v>587</v>
      </c>
      <c r="AU47" s="160" t="s">
        <v>589</v>
      </c>
      <c r="AV47" s="160" t="s">
        <v>589</v>
      </c>
      <c r="AW47" s="160" t="s">
        <v>589</v>
      </c>
      <c r="AX47" s="161" t="s">
        <v>755</v>
      </c>
    </row>
    <row r="48" spans="1:52" s="93" customFormat="1" ht="151.5" customHeight="1" x14ac:dyDescent="0.3">
      <c r="A48" s="365"/>
      <c r="B48" s="396"/>
      <c r="C48" s="392"/>
      <c r="D48" s="392"/>
      <c r="E48" s="388"/>
      <c r="F48" s="388"/>
      <c r="G48" s="388"/>
      <c r="H48" s="373"/>
      <c r="I48" s="388"/>
      <c r="J48" s="381"/>
      <c r="K48" s="384"/>
      <c r="L48" s="376"/>
      <c r="M48" s="386"/>
      <c r="N48" s="136"/>
      <c r="O48" s="384"/>
      <c r="P48" s="376"/>
      <c r="Q48" s="379"/>
      <c r="R48" s="89">
        <v>5</v>
      </c>
      <c r="S48" s="195" t="s">
        <v>474</v>
      </c>
      <c r="T48" s="196" t="s">
        <v>4</v>
      </c>
      <c r="U48" s="197" t="s">
        <v>16</v>
      </c>
      <c r="V48" s="197" t="s">
        <v>9</v>
      </c>
      <c r="W48" s="198" t="str">
        <f t="shared" si="41"/>
        <v>25%</v>
      </c>
      <c r="X48" s="197" t="s">
        <v>20</v>
      </c>
      <c r="Y48" s="197" t="s">
        <v>22</v>
      </c>
      <c r="Z48" s="197" t="s">
        <v>111</v>
      </c>
      <c r="AA48" s="90">
        <f>IFERROR(IF(T48="Probabilidad",(L48-(+L48*W48)),IF(T48="Impacto",L48,"")),"")</f>
        <v>0</v>
      </c>
      <c r="AB48" s="199" t="str">
        <f t="shared" si="42"/>
        <v>Muy Baja</v>
      </c>
      <c r="AC48" s="200">
        <f t="shared" si="43"/>
        <v>0</v>
      </c>
      <c r="AD48" s="199" t="str">
        <f t="shared" si="44"/>
        <v>Leve</v>
      </c>
      <c r="AE48" s="200">
        <f t="shared" si="45"/>
        <v>0</v>
      </c>
      <c r="AF48" s="201" t="str">
        <f t="shared" si="46"/>
        <v>Bajo</v>
      </c>
      <c r="AG48" s="202" t="s">
        <v>122</v>
      </c>
      <c r="AH48" s="195" t="s">
        <v>686</v>
      </c>
      <c r="AI48" s="160"/>
      <c r="AJ48" s="159"/>
      <c r="AK48" s="159"/>
      <c r="AL48" s="195" t="s">
        <v>686</v>
      </c>
      <c r="AM48" s="162" t="s">
        <v>766</v>
      </c>
      <c r="AN48" s="162" t="s">
        <v>670</v>
      </c>
      <c r="AO48" s="158">
        <v>1</v>
      </c>
      <c r="AP48" s="177" t="s">
        <v>589</v>
      </c>
      <c r="AQ48" s="177" t="s">
        <v>589</v>
      </c>
      <c r="AR48" s="170" t="s">
        <v>686</v>
      </c>
      <c r="AS48" s="160"/>
      <c r="AT48" s="159" t="s">
        <v>587</v>
      </c>
      <c r="AU48" s="160" t="s">
        <v>589</v>
      </c>
      <c r="AV48" s="160" t="s">
        <v>589</v>
      </c>
      <c r="AW48" s="160" t="s">
        <v>589</v>
      </c>
      <c r="AX48" s="161" t="s">
        <v>755</v>
      </c>
    </row>
    <row r="49" spans="1:50" s="93" customFormat="1" ht="263.39999999999998" customHeight="1" x14ac:dyDescent="0.3">
      <c r="A49" s="365">
        <f>1+A44</f>
        <v>14</v>
      </c>
      <c r="B49" s="394" t="s">
        <v>338</v>
      </c>
      <c r="C49" s="389" t="s">
        <v>339</v>
      </c>
      <c r="D49" s="389" t="s">
        <v>340</v>
      </c>
      <c r="E49" s="387" t="s">
        <v>118</v>
      </c>
      <c r="F49" s="391" t="s">
        <v>341</v>
      </c>
      <c r="G49" s="391" t="s">
        <v>424</v>
      </c>
      <c r="H49" s="372" t="s">
        <v>436</v>
      </c>
      <c r="I49" s="387" t="s">
        <v>115</v>
      </c>
      <c r="J49" s="380">
        <v>1</v>
      </c>
      <c r="K49" s="382" t="str">
        <f>IF(J49&lt;=0,"",IF(J49&lt;=2,"Muy Baja",IF(J49&lt;=24,"Baja",IF(J49&lt;=500,"Media",IF(J49&lt;=5000,"Alta","Muy Alta")))))</f>
        <v>Muy Baja</v>
      </c>
      <c r="L49" s="374">
        <f>IF(K49="","",IF(K49="Muy Baja",0.2,IF(K49="Baja",0.4,IF(K49="Media",0.6,IF(K49="Alta",0.8,IF(K49="Muy Alta",1,))))))</f>
        <v>0.2</v>
      </c>
      <c r="M49" s="385" t="s">
        <v>250</v>
      </c>
      <c r="N49" s="135" t="str">
        <f>IF(NOT(ISERROR(MATCH(M49,'Tabla Impacto'!$B$221:$B$223,0))),'Tabla Impacto'!$F$223&amp;"Por favor no seleccionar los criterios de impacto(Afectación Económica o presupuestal y Pérdida Reputacional)",M49)</f>
        <v xml:space="preserve"> El riesgo afecta la imagen de la entidad con algunos usuarios de relevancia frente al logro de los objetivos</v>
      </c>
      <c r="O49" s="382" t="str">
        <f>IF(OR(N49='Tabla Impacto'!$C$11,N49='Tabla Impacto'!$D$11),"Leve",IF(OR(N49='Tabla Impacto'!$C$12,N49='Tabla Impacto'!$D$12),"Menor",IF(OR(N49='Tabla Impacto'!$C$13,N49='Tabla Impacto'!$D$13),"Moderado",IF(OR(N49='Tabla Impacto'!$C$14,N49='Tabla Impacto'!$D$14),"Mayor",IF(OR(N49='Tabla Impacto'!$C$15,N49='Tabla Impacto'!$D$15),"Catastrófico","")))))</f>
        <v>Moderado</v>
      </c>
      <c r="P49" s="374">
        <f>IF(O49="","",IF(O49="Leve",0.2,IF(O49="Menor",0.4,IF(O49="Moderado",0.6,IF(O49="Mayor",0.8,IF(O49="Catastrófico",1,))))))</f>
        <v>0.6</v>
      </c>
      <c r="Q49" s="377" t="str">
        <f>IF(OR(AND(K49="Muy Baja",O49="Leve"),AND(K49="Muy Baja",O49="Menor"),AND(K49="Baja",O49="Leve")),"Bajo",IF(OR(AND(K49="Muy baja",O49="Moderado"),AND(K49="Baja",O49="Menor"),AND(K49="Baja",O49="Moderado"),AND(K49="Media",O49="Leve"),AND(K49="Media",O49="Menor"),AND(K49="Media",O49="Moderado"),AND(K49="Alta",O49="Leve"),AND(K49="Alta",O49="Menor")),"Moderado",IF(OR(AND(K49="Muy Baja",O49="Mayor"),AND(K49="Baja",O49="Mayor"),AND(K49="Media",O49="Mayor"),AND(K49="Alta",O49="Moderado"),AND(K49="Alta",O49="Mayor"),AND(K49="Muy Alta",O49="Leve"),AND(K49="Muy Alta",O49="Menor"),AND(K49="Muy Alta",O49="Moderado"),AND(K49="Muy Alta",O49="Mayor")),"Alto",IF(OR(AND(K49="Muy Baja",O49="Catastrófico"),AND(K49="Baja",O49="Catastrófico"),AND(K49="Media",O49="Catastrófico"),AND(K49="Alta",O49="Catastrófico"),AND(K49="Muy Alta",O49="Catastrófico")),"Extremo",""))))</f>
        <v>Moderado</v>
      </c>
      <c r="R49" s="89">
        <v>1</v>
      </c>
      <c r="S49" s="203" t="s">
        <v>437</v>
      </c>
      <c r="T49" s="196" t="str">
        <f t="shared" si="5"/>
        <v>Probabilidad</v>
      </c>
      <c r="U49" s="197" t="s">
        <v>14</v>
      </c>
      <c r="V49" s="197" t="s">
        <v>9</v>
      </c>
      <c r="W49" s="198" t="str">
        <f t="shared" si="6"/>
        <v>40%</v>
      </c>
      <c r="X49" s="197" t="s">
        <v>19</v>
      </c>
      <c r="Y49" s="197" t="s">
        <v>22</v>
      </c>
      <c r="Z49" s="197" t="s">
        <v>110</v>
      </c>
      <c r="AA49" s="90">
        <f>IFERROR(IF(T49="Probabilidad",(L49-(+L49*W49)),IF(T49="Impacto",L49,"")),"")</f>
        <v>0.12</v>
      </c>
      <c r="AB49" s="199" t="str">
        <f t="shared" si="7"/>
        <v>Muy Baja</v>
      </c>
      <c r="AC49" s="200">
        <f t="shared" si="8"/>
        <v>0.12</v>
      </c>
      <c r="AD49" s="199" t="str">
        <f t="shared" si="9"/>
        <v>Moderado</v>
      </c>
      <c r="AE49" s="200">
        <f t="shared" si="10"/>
        <v>0.6</v>
      </c>
      <c r="AF49" s="201" t="str">
        <f t="shared" si="11"/>
        <v>Moderado</v>
      </c>
      <c r="AG49" s="202" t="s">
        <v>122</v>
      </c>
      <c r="AH49" s="195" t="s">
        <v>438</v>
      </c>
      <c r="AI49" s="160" t="s">
        <v>195</v>
      </c>
      <c r="AJ49" s="159" t="s">
        <v>283</v>
      </c>
      <c r="AK49" s="159" t="s">
        <v>206</v>
      </c>
      <c r="AL49" s="195" t="s">
        <v>225</v>
      </c>
      <c r="AM49" s="166" t="s">
        <v>812</v>
      </c>
      <c r="AN49" s="166" t="s">
        <v>818</v>
      </c>
      <c r="AO49" s="158">
        <v>1</v>
      </c>
      <c r="AP49" s="166" t="s">
        <v>769</v>
      </c>
      <c r="AQ49" s="166" t="s">
        <v>819</v>
      </c>
      <c r="AR49" s="170">
        <v>1</v>
      </c>
      <c r="AS49" s="160"/>
      <c r="AT49" s="160" t="s">
        <v>587</v>
      </c>
      <c r="AU49" s="160" t="s">
        <v>612</v>
      </c>
      <c r="AV49" s="160" t="s">
        <v>612</v>
      </c>
      <c r="AW49" s="160" t="s">
        <v>612</v>
      </c>
      <c r="AX49" s="161" t="s">
        <v>754</v>
      </c>
    </row>
    <row r="50" spans="1:50" s="93" customFormat="1" ht="151.5" hidden="1" customHeight="1" x14ac:dyDescent="0.3">
      <c r="A50" s="365"/>
      <c r="B50" s="395"/>
      <c r="C50" s="392"/>
      <c r="D50" s="390"/>
      <c r="E50" s="388"/>
      <c r="F50" s="388"/>
      <c r="G50" s="388"/>
      <c r="H50" s="373"/>
      <c r="I50" s="388"/>
      <c r="J50" s="381"/>
      <c r="K50" s="383"/>
      <c r="L50" s="375"/>
      <c r="M50" s="386"/>
      <c r="N50" s="136"/>
      <c r="O50" s="383"/>
      <c r="P50" s="375"/>
      <c r="Q50" s="378"/>
      <c r="R50" s="89">
        <v>2</v>
      </c>
      <c r="S50" s="195"/>
      <c r="T50" s="196" t="str">
        <f t="shared" si="5"/>
        <v/>
      </c>
      <c r="U50" s="197"/>
      <c r="V50" s="197"/>
      <c r="W50" s="198" t="str">
        <f t="shared" si="6"/>
        <v/>
      </c>
      <c r="X50" s="197"/>
      <c r="Y50" s="197"/>
      <c r="Z50" s="197"/>
      <c r="AA50" s="90" t="str">
        <f>IFERROR(IF(T50="Probabilidad",(AA49-(+AA49*W50)),IF(T50="Impacto",L50,"")),"")</f>
        <v/>
      </c>
      <c r="AB50" s="199" t="str">
        <f t="shared" si="7"/>
        <v/>
      </c>
      <c r="AC50" s="200" t="str">
        <f t="shared" si="8"/>
        <v/>
      </c>
      <c r="AD50" s="199" t="str">
        <f t="shared" si="9"/>
        <v/>
      </c>
      <c r="AE50" s="200" t="str">
        <f t="shared" si="10"/>
        <v/>
      </c>
      <c r="AF50" s="201" t="str">
        <f t="shared" si="11"/>
        <v/>
      </c>
      <c r="AG50" s="202"/>
      <c r="AH50" s="195"/>
      <c r="AI50" s="160"/>
      <c r="AJ50" s="159"/>
      <c r="AK50" s="159"/>
      <c r="AL50" s="195"/>
      <c r="AM50" s="214" t="s">
        <v>820</v>
      </c>
      <c r="AN50" s="214" t="s">
        <v>810</v>
      </c>
      <c r="AO50" s="215"/>
      <c r="AP50" s="214" t="s">
        <v>821</v>
      </c>
      <c r="AQ50" s="214" t="s">
        <v>647</v>
      </c>
      <c r="AR50" s="170"/>
      <c r="AS50" s="160"/>
      <c r="AT50" s="160"/>
      <c r="AU50" s="160"/>
      <c r="AV50" s="160"/>
      <c r="AW50" s="160"/>
      <c r="AX50" s="160"/>
    </row>
    <row r="51" spans="1:50" s="93" customFormat="1" ht="151.5" hidden="1" customHeight="1" x14ac:dyDescent="0.3">
      <c r="A51" s="365"/>
      <c r="B51" s="396"/>
      <c r="C51" s="392"/>
      <c r="D51" s="390"/>
      <c r="E51" s="388"/>
      <c r="F51" s="388"/>
      <c r="G51" s="388"/>
      <c r="H51" s="373"/>
      <c r="I51" s="388"/>
      <c r="J51" s="381"/>
      <c r="K51" s="384"/>
      <c r="L51" s="376"/>
      <c r="M51" s="386"/>
      <c r="N51" s="136"/>
      <c r="O51" s="384"/>
      <c r="P51" s="376"/>
      <c r="Q51" s="379"/>
      <c r="R51" s="89">
        <v>3</v>
      </c>
      <c r="S51" s="195"/>
      <c r="T51" s="196" t="str">
        <f t="shared" si="5"/>
        <v/>
      </c>
      <c r="U51" s="197"/>
      <c r="V51" s="197"/>
      <c r="W51" s="198"/>
      <c r="X51" s="197"/>
      <c r="Y51" s="197"/>
      <c r="Z51" s="197"/>
      <c r="AA51" s="90" t="str">
        <f>IFERROR(IF(T51="Probabilidad",(AA50-(+AA50*W51)),IF(T51="Impacto",L51,"")),"")</f>
        <v/>
      </c>
      <c r="AB51" s="199" t="str">
        <f t="shared" si="7"/>
        <v/>
      </c>
      <c r="AC51" s="200" t="str">
        <f t="shared" si="8"/>
        <v/>
      </c>
      <c r="AD51" s="199" t="str">
        <f t="shared" si="9"/>
        <v/>
      </c>
      <c r="AE51" s="200" t="str">
        <f t="shared" si="10"/>
        <v/>
      </c>
      <c r="AF51" s="201" t="str">
        <f t="shared" si="11"/>
        <v/>
      </c>
      <c r="AG51" s="202"/>
      <c r="AH51" s="195"/>
      <c r="AI51" s="160"/>
      <c r="AJ51" s="159"/>
      <c r="AK51" s="159"/>
      <c r="AL51" s="195"/>
      <c r="AM51" s="166" t="s">
        <v>645</v>
      </c>
      <c r="AN51" s="166" t="s">
        <v>768</v>
      </c>
      <c r="AO51" s="158"/>
      <c r="AP51" s="166" t="s">
        <v>769</v>
      </c>
      <c r="AQ51" s="166" t="s">
        <v>770</v>
      </c>
      <c r="AR51" s="170"/>
      <c r="AS51" s="160"/>
      <c r="AT51" s="160"/>
      <c r="AU51" s="160"/>
      <c r="AV51" s="160"/>
      <c r="AW51" s="160"/>
      <c r="AX51" s="160"/>
    </row>
    <row r="52" spans="1:50" s="93" customFormat="1" ht="409.6" customHeight="1" x14ac:dyDescent="0.3">
      <c r="A52" s="365">
        <f>1+A49</f>
        <v>15</v>
      </c>
      <c r="B52" s="394" t="s">
        <v>338</v>
      </c>
      <c r="C52" s="389" t="s">
        <v>339</v>
      </c>
      <c r="D52" s="389" t="s">
        <v>340</v>
      </c>
      <c r="E52" s="387" t="s">
        <v>120</v>
      </c>
      <c r="F52" s="391" t="s">
        <v>343</v>
      </c>
      <c r="G52" s="391" t="s">
        <v>344</v>
      </c>
      <c r="H52" s="372" t="s">
        <v>345</v>
      </c>
      <c r="I52" s="387" t="s">
        <v>117</v>
      </c>
      <c r="J52" s="380">
        <v>7</v>
      </c>
      <c r="K52" s="382" t="str">
        <f>IF(J52&lt;=0,"",IF(J52&lt;=2,"Muy Baja",IF(J52&lt;=24,"Baja",IF(J52&lt;=500,"Media",IF(J52&lt;=5000,"Alta","Muy Alta")))))</f>
        <v>Baja</v>
      </c>
      <c r="L52" s="374">
        <f>IF(K52="","",IF(K52="Muy Baja",0.2,IF(K52="Baja",0.4,IF(K52="Media",0.6,IF(K52="Alta",0.8,IF(K52="Muy Alta",1,))))))</f>
        <v>0.4</v>
      </c>
      <c r="M52" s="385" t="s">
        <v>250</v>
      </c>
      <c r="N52" s="135" t="str">
        <f>IF(NOT(ISERROR(MATCH(M52,'Tabla Impacto'!$B$221:$B$223,0))),'Tabla Impacto'!$F$223&amp;"Por favor no seleccionar los criterios de impacto(Afectación Económica o presupuestal y Pérdida Reputacional)",M52)</f>
        <v xml:space="preserve"> El riesgo afecta la imagen de la entidad con algunos usuarios de relevancia frente al logro de los objetivos</v>
      </c>
      <c r="O52" s="382" t="str">
        <f>IF(OR(N52='Tabla Impacto'!$C$11,N52='Tabla Impacto'!$D$11),"Leve",IF(OR(N52='Tabla Impacto'!$C$12,N52='Tabla Impacto'!$D$12),"Menor",IF(OR(N52='Tabla Impacto'!$C$13,N52='Tabla Impacto'!$D$13),"Moderado",IF(OR(N52='Tabla Impacto'!$C$14,N52='Tabla Impacto'!$D$14),"Mayor",IF(OR(N52='Tabla Impacto'!$C$15,N52='Tabla Impacto'!$D$15),"Catastrófico","")))))</f>
        <v>Moderado</v>
      </c>
      <c r="P52" s="374">
        <f>IF(O52="","",IF(O52="Leve",0.2,IF(O52="Menor",0.4,IF(O52="Moderado",0.6,IF(O52="Mayor",0.8,IF(O52="Catastrófico",1,))))))</f>
        <v>0.6</v>
      </c>
      <c r="Q52" s="377" t="str">
        <f>IF(OR(AND(K52="Muy Baja",O52="Leve"),AND(K52="Muy Baja",O52="Menor"),AND(K52="Baja",O52="Leve")),"Bajo",IF(OR(AND(K52="Muy baja",O52="Moderado"),AND(K52="Baja",O52="Menor"),AND(K52="Baja",O52="Moderado"),AND(K52="Media",O52="Leve"),AND(K52="Media",O52="Menor"),AND(K52="Media",O52="Moderado"),AND(K52="Alta",O52="Leve"),AND(K52="Alta",O52="Menor")),"Moderado",IF(OR(AND(K52="Muy Baja",O52="Mayor"),AND(K52="Baja",O52="Mayor"),AND(K52="Media",O52="Mayor"),AND(K52="Alta",O52="Moderado"),AND(K52="Alta",O52="Mayor"),AND(K52="Muy Alta",O52="Leve"),AND(K52="Muy Alta",O52="Menor"),AND(K52="Muy Alta",O52="Moderado"),AND(K52="Muy Alta",O52="Mayor")),"Alto",IF(OR(AND(K52="Muy Baja",O52="Catastrófico"),AND(K52="Baja",O52="Catastrófico"),AND(K52="Media",O52="Catastrófico"),AND(K52="Alta",O52="Catastrófico"),AND(K52="Muy Alta",O52="Catastrófico")),"Extremo",""))))</f>
        <v>Moderado</v>
      </c>
      <c r="R52" s="89">
        <v>1</v>
      </c>
      <c r="S52" s="195" t="s">
        <v>439</v>
      </c>
      <c r="T52" s="196" t="str">
        <f t="shared" ref="T52:T70" si="53">IF(OR(U52="Preventivo",U52="Detectivo"),"Probabilidad",IF(U52="Correctivo","Impacto",""))</f>
        <v>Probabilidad</v>
      </c>
      <c r="U52" s="197" t="s">
        <v>15</v>
      </c>
      <c r="V52" s="197" t="s">
        <v>9</v>
      </c>
      <c r="W52" s="198" t="str">
        <f>IF(AND(U52="Preventivo",V52="Automático"),"50%",IF(AND(U52="Preventivo",V52="Manual"),"40%",IF(AND(U52="Detectivo",V52="Automático"),"40%",IF(AND(U52="Detectivo",V52="Manual"),"30%",IF(AND(U52="Correctivo",V52="Automático"),"35%",IF(AND(U52="Correctivo",V52="Manual"),"25%",""))))))</f>
        <v>30%</v>
      </c>
      <c r="X52" s="197" t="s">
        <v>20</v>
      </c>
      <c r="Y52" s="197" t="s">
        <v>22</v>
      </c>
      <c r="Z52" s="197" t="s">
        <v>110</v>
      </c>
      <c r="AA52" s="90">
        <f>IFERROR(IF(T52="Probabilidad",(L52-(+L52*W52)),IF(T52="Impacto",L52,"")),"")</f>
        <v>0.28000000000000003</v>
      </c>
      <c r="AB52" s="199" t="str">
        <f t="shared" ref="AB52:AB70" si="54">IFERROR(IF(AA52="","",IF(AA52&lt;=0.2,"Muy Baja",IF(AA52&lt;=0.4,"Baja",IF(AA52&lt;=0.6,"Media",IF(AA52&lt;=0.8,"Alta","Muy Alta"))))),"")</f>
        <v>Baja</v>
      </c>
      <c r="AC52" s="200">
        <f t="shared" ref="AC52:AC70" si="55">+AA52</f>
        <v>0.28000000000000003</v>
      </c>
      <c r="AD52" s="199" t="str">
        <f t="shared" ref="AD52:AD70" si="56">IFERROR(IF(AE52="","",IF(AE52&lt;=0.2,"Leve",IF(AE52&lt;=0.4,"Menor",IF(AE52&lt;=0.6,"Moderado",IF(AE52&lt;=0.8,"Mayor","Catastrófico"))))),"")</f>
        <v>Moderado</v>
      </c>
      <c r="AE52" s="200">
        <f t="shared" ref="AE52:AE62" si="57">IFERROR(IF(T52="Impacto",(P52-(+P52*W52)),IF(T52="Probabilidad",P52,"")),"")</f>
        <v>0.6</v>
      </c>
      <c r="AF52" s="201" t="str">
        <f t="shared" ref="AF52:AF70" si="58">IFERROR(IF(OR(AND(AB52="Muy Baja",AD52="Leve"),AND(AB52="Muy Baja",AD52="Menor"),AND(AB52="Baja",AD52="Leve")),"Bajo",IF(OR(AND(AB52="Muy baja",AD52="Moderado"),AND(AB52="Baja",AD52="Menor"),AND(AB52="Baja",AD52="Moderado"),AND(AB52="Media",AD52="Leve"),AND(AB52="Media",AD52="Menor"),AND(AB52="Media",AD52="Moderado"),AND(AB52="Alta",AD52="Leve"),AND(AB52="Alta",AD52="Menor")),"Moderado",IF(OR(AND(AB52="Muy Baja",AD52="Mayor"),AND(AB52="Baja",AD52="Mayor"),AND(AB52="Media",AD52="Mayor"),AND(AB52="Alta",AD52="Moderado"),AND(AB52="Alta",AD52="Mayor"),AND(AB52="Muy Alta",AD52="Leve"),AND(AB52="Muy Alta",AD52="Menor"),AND(AB52="Muy Alta",AD52="Moderado"),AND(AB52="Muy Alta",AD52="Mayor")),"Alto",IF(OR(AND(AB52="Muy Baja",AD52="Catastrófico"),AND(AB52="Baja",AD52="Catastrófico"),AND(AB52="Media",AD52="Catastrófico"),AND(AB52="Alta",AD52="Catastrófico"),AND(AB52="Muy Alta",AD52="Catastrófico")),"Extremo","")))),"")</f>
        <v>Moderado</v>
      </c>
      <c r="AG52" s="202" t="s">
        <v>122</v>
      </c>
      <c r="AH52" s="195" t="s">
        <v>440</v>
      </c>
      <c r="AI52" s="160" t="s">
        <v>197</v>
      </c>
      <c r="AJ52" s="159" t="s">
        <v>283</v>
      </c>
      <c r="AK52" s="159" t="s">
        <v>206</v>
      </c>
      <c r="AL52" s="195" t="s">
        <v>419</v>
      </c>
      <c r="AM52" s="166" t="s">
        <v>811</v>
      </c>
      <c r="AN52" s="166" t="s">
        <v>646</v>
      </c>
      <c r="AO52" s="158">
        <v>1</v>
      </c>
      <c r="AP52" s="166" t="s">
        <v>767</v>
      </c>
      <c r="AQ52" s="166" t="s">
        <v>647</v>
      </c>
      <c r="AR52" s="170">
        <v>1</v>
      </c>
      <c r="AS52" s="160"/>
      <c r="AT52" s="160" t="s">
        <v>587</v>
      </c>
      <c r="AU52" s="160" t="s">
        <v>612</v>
      </c>
      <c r="AV52" s="160" t="s">
        <v>612</v>
      </c>
      <c r="AW52" s="160" t="s">
        <v>612</v>
      </c>
      <c r="AX52" s="161" t="s">
        <v>754</v>
      </c>
    </row>
    <row r="53" spans="1:50" s="93" customFormat="1" ht="151.5" hidden="1" customHeight="1" x14ac:dyDescent="0.3">
      <c r="A53" s="365"/>
      <c r="B53" s="395"/>
      <c r="C53" s="392"/>
      <c r="D53" s="390"/>
      <c r="E53" s="388"/>
      <c r="F53" s="388"/>
      <c r="G53" s="388"/>
      <c r="H53" s="373"/>
      <c r="I53" s="388"/>
      <c r="J53" s="381"/>
      <c r="K53" s="383"/>
      <c r="L53" s="375"/>
      <c r="M53" s="386"/>
      <c r="N53" s="136"/>
      <c r="O53" s="383"/>
      <c r="P53" s="375"/>
      <c r="Q53" s="378"/>
      <c r="R53" s="89">
        <v>2</v>
      </c>
      <c r="S53" s="195"/>
      <c r="T53" s="196" t="str">
        <f t="shared" si="53"/>
        <v/>
      </c>
      <c r="U53" s="197"/>
      <c r="V53" s="197"/>
      <c r="W53" s="198"/>
      <c r="X53" s="197"/>
      <c r="Y53" s="197"/>
      <c r="Z53" s="197"/>
      <c r="AA53" s="90" t="str">
        <f>IFERROR(IF(T53="Probabilidad",(AA52-(+AA52*W53)),IF(T53="Impacto",L53,"")),"")</f>
        <v/>
      </c>
      <c r="AB53" s="199" t="str">
        <f t="shared" si="54"/>
        <v/>
      </c>
      <c r="AC53" s="200" t="str">
        <f t="shared" si="55"/>
        <v/>
      </c>
      <c r="AD53" s="199" t="str">
        <f t="shared" si="56"/>
        <v/>
      </c>
      <c r="AE53" s="200" t="str">
        <f t="shared" si="57"/>
        <v/>
      </c>
      <c r="AF53" s="201" t="str">
        <f t="shared" si="58"/>
        <v/>
      </c>
      <c r="AG53" s="202"/>
      <c r="AH53" s="195"/>
      <c r="AI53" s="160"/>
      <c r="AJ53" s="159"/>
      <c r="AK53" s="159"/>
      <c r="AL53" s="195"/>
      <c r="AM53" s="166"/>
      <c r="AN53" s="166"/>
      <c r="AO53" s="158"/>
      <c r="AP53" s="166"/>
      <c r="AQ53" s="166"/>
      <c r="AR53" s="170"/>
      <c r="AS53" s="160"/>
      <c r="AT53" s="160"/>
      <c r="AU53" s="160"/>
      <c r="AV53" s="160"/>
      <c r="AW53" s="160"/>
      <c r="AX53" s="160"/>
    </row>
    <row r="54" spans="1:50" s="93" customFormat="1" ht="151.5" hidden="1" customHeight="1" x14ac:dyDescent="0.3">
      <c r="A54" s="365"/>
      <c r="B54" s="396"/>
      <c r="C54" s="392"/>
      <c r="D54" s="390"/>
      <c r="E54" s="388"/>
      <c r="F54" s="388"/>
      <c r="G54" s="388"/>
      <c r="H54" s="373"/>
      <c r="I54" s="388"/>
      <c r="J54" s="381"/>
      <c r="K54" s="384"/>
      <c r="L54" s="376"/>
      <c r="M54" s="386"/>
      <c r="N54" s="136"/>
      <c r="O54" s="384"/>
      <c r="P54" s="376"/>
      <c r="Q54" s="379"/>
      <c r="R54" s="89">
        <v>3</v>
      </c>
      <c r="S54" s="195"/>
      <c r="T54" s="196" t="str">
        <f t="shared" si="53"/>
        <v/>
      </c>
      <c r="U54" s="197"/>
      <c r="V54" s="197"/>
      <c r="W54" s="198"/>
      <c r="X54" s="197"/>
      <c r="Y54" s="197"/>
      <c r="Z54" s="197"/>
      <c r="AA54" s="90" t="str">
        <f>IFERROR(IF(T54="Probabilidad",(AA53-(+AA53*W54)),IF(T54="Impacto",L54,"")),"")</f>
        <v/>
      </c>
      <c r="AB54" s="199" t="str">
        <f t="shared" si="54"/>
        <v/>
      </c>
      <c r="AC54" s="200" t="str">
        <f t="shared" si="55"/>
        <v/>
      </c>
      <c r="AD54" s="199" t="str">
        <f t="shared" si="56"/>
        <v/>
      </c>
      <c r="AE54" s="200" t="str">
        <f t="shared" si="57"/>
        <v/>
      </c>
      <c r="AF54" s="201" t="str">
        <f t="shared" si="58"/>
        <v/>
      </c>
      <c r="AG54" s="202"/>
      <c r="AH54" s="195"/>
      <c r="AI54" s="160"/>
      <c r="AJ54" s="159"/>
      <c r="AK54" s="159"/>
      <c r="AL54" s="195"/>
      <c r="AM54" s="166"/>
      <c r="AN54" s="166"/>
      <c r="AO54" s="158"/>
      <c r="AP54" s="166"/>
      <c r="AQ54" s="166"/>
      <c r="AR54" s="170"/>
      <c r="AS54" s="160"/>
      <c r="AT54" s="160"/>
      <c r="AU54" s="160"/>
      <c r="AV54" s="160"/>
      <c r="AW54" s="160"/>
      <c r="AX54" s="160"/>
    </row>
    <row r="55" spans="1:50" s="93" customFormat="1" ht="151.5" customHeight="1" x14ac:dyDescent="0.3">
      <c r="A55" s="365">
        <f>1+A52</f>
        <v>16</v>
      </c>
      <c r="B55" s="394" t="s">
        <v>207</v>
      </c>
      <c r="C55" s="389" t="s">
        <v>223</v>
      </c>
      <c r="D55" s="389" t="s">
        <v>346</v>
      </c>
      <c r="E55" s="387" t="s">
        <v>120</v>
      </c>
      <c r="F55" s="387" t="s">
        <v>208</v>
      </c>
      <c r="G55" s="387" t="s">
        <v>209</v>
      </c>
      <c r="H55" s="372" t="s">
        <v>262</v>
      </c>
      <c r="I55" s="387" t="s">
        <v>115</v>
      </c>
      <c r="J55" s="380">
        <v>2</v>
      </c>
      <c r="K55" s="382" t="str">
        <f>IF(J55&lt;=0,"",IF(J55&lt;=2,"Muy Baja",IF(J55&lt;=24,"Baja",IF(J55&lt;=500,"Media",IF(J55&lt;=5000,"Alta","Muy Alta")))))</f>
        <v>Muy Baja</v>
      </c>
      <c r="L55" s="374">
        <f>IF(K55="","",IF(K55="Muy Baja",0.2,IF(K55="Baja",0.4,IF(K55="Media",0.6,IF(K55="Alta",0.8,IF(K55="Muy Alta",1,))))))</f>
        <v>0.2</v>
      </c>
      <c r="M55" s="385" t="s">
        <v>249</v>
      </c>
      <c r="N55" s="135" t="str">
        <f>IF(NOT(ISERROR(MATCH(M55,'Tabla Impacto'!$B$221:$B$223,0))),'Tabla Impacto'!$F$223&amp;"Por favor no seleccionar los criterios de impacto(Afectación Económica o presupuestal y Pérdida Reputacional)",M55)</f>
        <v xml:space="preserve"> Entre 50 y 100 SMLMV </v>
      </c>
      <c r="O55" s="382" t="str">
        <f>IF(OR(N55='Tabla Impacto'!$C$11,N55='Tabla Impacto'!$D$11),"Leve",IF(OR(N55='Tabla Impacto'!$C$12,N55='Tabla Impacto'!$D$12),"Menor",IF(OR(N55='Tabla Impacto'!$C$13,N55='Tabla Impacto'!$D$13),"Moderado",IF(OR(N55='Tabla Impacto'!$C$14,N55='Tabla Impacto'!$D$14),"Mayor",IF(OR(N55='Tabla Impacto'!$C$15,N55='Tabla Impacto'!$D$15),"Catastrófico","")))))</f>
        <v>Moderado</v>
      </c>
      <c r="P55" s="374">
        <f>IF(O55="","",IF(O55="Leve",0.2,IF(O55="Menor",0.4,IF(O55="Moderado",0.6,IF(O55="Mayor",0.8,IF(O55="Catastrófico",1,))))))</f>
        <v>0.6</v>
      </c>
      <c r="Q55" s="377" t="str">
        <f>IF(OR(AND(K55="Muy Baja",O55="Leve"),AND(K55="Muy Baja",O55="Menor"),AND(K55="Baja",O55="Leve")),"Bajo",IF(OR(AND(K55="Muy baja",O55="Moderado"),AND(K55="Baja",O55="Menor"),AND(K55="Baja",O55="Moderado"),AND(K55="Media",O55="Leve"),AND(K55="Media",O55="Menor"),AND(K55="Media",O55="Moderado"),AND(K55="Alta",O55="Leve"),AND(K55="Alta",O55="Menor")),"Moderado",IF(OR(AND(K55="Muy Baja",O55="Mayor"),AND(K55="Baja",O55="Mayor"),AND(K55="Media",O55="Mayor"),AND(K55="Alta",O55="Moderado"),AND(K55="Alta",O55="Mayor"),AND(K55="Muy Alta",O55="Leve"),AND(K55="Muy Alta",O55="Menor"),AND(K55="Muy Alta",O55="Moderado"),AND(K55="Muy Alta",O55="Mayor")),"Alto",IF(OR(AND(K55="Muy Baja",O55="Catastrófico"),AND(K55="Baja",O55="Catastrófico"),AND(K55="Media",O55="Catastrófico"),AND(K55="Alta",O55="Catastrófico"),AND(K55="Muy Alta",O55="Catastrófico")),"Extremo",""))))</f>
        <v>Moderado</v>
      </c>
      <c r="R55" s="89">
        <v>1</v>
      </c>
      <c r="S55" s="195" t="s">
        <v>347</v>
      </c>
      <c r="T55" s="196" t="str">
        <f t="shared" si="53"/>
        <v>Probabilidad</v>
      </c>
      <c r="U55" s="197" t="s">
        <v>14</v>
      </c>
      <c r="V55" s="197" t="s">
        <v>9</v>
      </c>
      <c r="W55" s="198" t="str">
        <f>IF(AND(U55="Preventivo",V55="Automático"),"50%",IF(AND(U55="Preventivo",V55="Manual"),"40%",IF(AND(U55="Detectivo",V55="Automático"),"40%",IF(AND(U55="Detectivo",V55="Manual"),"30%",IF(AND(U55="Correctivo",V55="Automático"),"35%",IF(AND(U55="Correctivo",V55="Manual"),"25%",""))))))</f>
        <v>40%</v>
      </c>
      <c r="X55" s="197" t="s">
        <v>20</v>
      </c>
      <c r="Y55" s="197" t="s">
        <v>22</v>
      </c>
      <c r="Z55" s="197" t="s">
        <v>110</v>
      </c>
      <c r="AA55" s="90">
        <f>IFERROR(IF(T55="Probabilidad",(L55-(+L55*W55)),IF(T55="Impacto",L55,"")),"")</f>
        <v>0.12</v>
      </c>
      <c r="AB55" s="199" t="str">
        <f t="shared" si="54"/>
        <v>Muy Baja</v>
      </c>
      <c r="AC55" s="200">
        <f t="shared" si="55"/>
        <v>0.12</v>
      </c>
      <c r="AD55" s="199" t="str">
        <f t="shared" si="56"/>
        <v>Moderado</v>
      </c>
      <c r="AE55" s="200">
        <f t="shared" si="57"/>
        <v>0.6</v>
      </c>
      <c r="AF55" s="201" t="str">
        <f t="shared" si="58"/>
        <v>Moderado</v>
      </c>
      <c r="AG55" s="202" t="s">
        <v>122</v>
      </c>
      <c r="AH55" s="203" t="s">
        <v>263</v>
      </c>
      <c r="AI55" s="160" t="s">
        <v>203</v>
      </c>
      <c r="AJ55" s="159" t="s">
        <v>283</v>
      </c>
      <c r="AK55" s="159" t="s">
        <v>206</v>
      </c>
      <c r="AL55" s="195" t="s">
        <v>225</v>
      </c>
      <c r="AM55" s="166" t="s">
        <v>771</v>
      </c>
      <c r="AN55" s="166" t="s">
        <v>642</v>
      </c>
      <c r="AO55" s="158">
        <v>1</v>
      </c>
      <c r="AP55" s="166" t="s">
        <v>643</v>
      </c>
      <c r="AQ55" s="166" t="s">
        <v>642</v>
      </c>
      <c r="AR55" s="170">
        <v>1</v>
      </c>
      <c r="AS55" s="160"/>
      <c r="AT55" s="160" t="s">
        <v>587</v>
      </c>
      <c r="AU55" s="160" t="s">
        <v>612</v>
      </c>
      <c r="AV55" s="160" t="s">
        <v>612</v>
      </c>
      <c r="AW55" s="160" t="s">
        <v>612</v>
      </c>
      <c r="AX55" s="161" t="s">
        <v>754</v>
      </c>
    </row>
    <row r="56" spans="1:50" s="93" customFormat="1" ht="151.5" hidden="1" customHeight="1" x14ac:dyDescent="0.3">
      <c r="A56" s="365"/>
      <c r="B56" s="395"/>
      <c r="C56" s="392"/>
      <c r="D56" s="390"/>
      <c r="E56" s="388"/>
      <c r="F56" s="388"/>
      <c r="G56" s="388"/>
      <c r="H56" s="373"/>
      <c r="I56" s="388"/>
      <c r="J56" s="381"/>
      <c r="K56" s="383"/>
      <c r="L56" s="375"/>
      <c r="M56" s="386"/>
      <c r="N56" s="136"/>
      <c r="O56" s="383"/>
      <c r="P56" s="375"/>
      <c r="Q56" s="378"/>
      <c r="R56" s="89">
        <v>2</v>
      </c>
      <c r="S56" s="195"/>
      <c r="T56" s="196" t="str">
        <f t="shared" si="53"/>
        <v/>
      </c>
      <c r="U56" s="197"/>
      <c r="V56" s="197"/>
      <c r="W56" s="198"/>
      <c r="X56" s="197"/>
      <c r="Y56" s="197"/>
      <c r="Z56" s="197"/>
      <c r="AA56" s="90" t="str">
        <f>IFERROR(IF(T56="Probabilidad",(AA55-(+AA55*W56)),IF(T56="Impacto",L56,"")),"")</f>
        <v/>
      </c>
      <c r="AB56" s="199" t="str">
        <f t="shared" si="54"/>
        <v/>
      </c>
      <c r="AC56" s="200" t="str">
        <f t="shared" si="55"/>
        <v/>
      </c>
      <c r="AD56" s="199" t="str">
        <f t="shared" si="56"/>
        <v/>
      </c>
      <c r="AE56" s="200" t="str">
        <f t="shared" si="57"/>
        <v/>
      </c>
      <c r="AF56" s="201" t="str">
        <f t="shared" si="58"/>
        <v/>
      </c>
      <c r="AG56" s="202"/>
      <c r="AH56" s="195"/>
      <c r="AI56" s="160"/>
      <c r="AJ56" s="159"/>
      <c r="AK56" s="159"/>
      <c r="AL56" s="195"/>
      <c r="AM56" s="166"/>
      <c r="AN56" s="166"/>
      <c r="AO56" s="158"/>
      <c r="AP56" s="166"/>
      <c r="AQ56" s="166"/>
      <c r="AR56" s="170"/>
      <c r="AS56" s="160"/>
      <c r="AT56" s="160"/>
      <c r="AU56" s="160"/>
      <c r="AV56" s="160"/>
      <c r="AW56" s="160"/>
      <c r="AX56" s="160"/>
    </row>
    <row r="57" spans="1:50" s="93" customFormat="1" ht="151.5" hidden="1" customHeight="1" x14ac:dyDescent="0.3">
      <c r="A57" s="365"/>
      <c r="B57" s="396"/>
      <c r="C57" s="392"/>
      <c r="D57" s="390"/>
      <c r="E57" s="388"/>
      <c r="F57" s="388"/>
      <c r="G57" s="388"/>
      <c r="H57" s="373"/>
      <c r="I57" s="388"/>
      <c r="J57" s="381"/>
      <c r="K57" s="384"/>
      <c r="L57" s="376"/>
      <c r="M57" s="386"/>
      <c r="N57" s="136"/>
      <c r="O57" s="384"/>
      <c r="P57" s="376"/>
      <c r="Q57" s="379"/>
      <c r="R57" s="89">
        <v>3</v>
      </c>
      <c r="S57" s="195"/>
      <c r="T57" s="196" t="str">
        <f t="shared" si="53"/>
        <v/>
      </c>
      <c r="U57" s="197"/>
      <c r="V57" s="197"/>
      <c r="W57" s="198"/>
      <c r="X57" s="197"/>
      <c r="Y57" s="197"/>
      <c r="Z57" s="197"/>
      <c r="AA57" s="90" t="str">
        <f>IFERROR(IF(T57="Probabilidad",(AA56-(+AA56*W57)),IF(T57="Impacto",L57,"")),"")</f>
        <v/>
      </c>
      <c r="AB57" s="199" t="str">
        <f t="shared" si="54"/>
        <v/>
      </c>
      <c r="AC57" s="200" t="str">
        <f t="shared" si="55"/>
        <v/>
      </c>
      <c r="AD57" s="199" t="str">
        <f t="shared" si="56"/>
        <v/>
      </c>
      <c r="AE57" s="200" t="str">
        <f t="shared" si="57"/>
        <v/>
      </c>
      <c r="AF57" s="201" t="str">
        <f t="shared" si="58"/>
        <v/>
      </c>
      <c r="AG57" s="202"/>
      <c r="AH57" s="195"/>
      <c r="AI57" s="160"/>
      <c r="AJ57" s="159"/>
      <c r="AK57" s="159"/>
      <c r="AL57" s="195"/>
      <c r="AM57" s="166"/>
      <c r="AN57" s="166"/>
      <c r="AO57" s="158"/>
      <c r="AP57" s="166"/>
      <c r="AQ57" s="166"/>
      <c r="AR57" s="170"/>
      <c r="AS57" s="160"/>
      <c r="AT57" s="160"/>
      <c r="AU57" s="160"/>
      <c r="AV57" s="160"/>
      <c r="AW57" s="160"/>
      <c r="AX57" s="160"/>
    </row>
    <row r="58" spans="1:50" s="93" customFormat="1" ht="151.5" customHeight="1" x14ac:dyDescent="0.3">
      <c r="A58" s="365">
        <f>1+A55</f>
        <v>17</v>
      </c>
      <c r="B58" s="394" t="s">
        <v>207</v>
      </c>
      <c r="C58" s="389" t="s">
        <v>223</v>
      </c>
      <c r="D58" s="389" t="s">
        <v>346</v>
      </c>
      <c r="E58" s="387" t="s">
        <v>118</v>
      </c>
      <c r="F58" s="387" t="s">
        <v>240</v>
      </c>
      <c r="G58" s="387" t="s">
        <v>241</v>
      </c>
      <c r="H58" s="372" t="s">
        <v>242</v>
      </c>
      <c r="I58" s="387" t="s">
        <v>218</v>
      </c>
      <c r="J58" s="380">
        <v>10</v>
      </c>
      <c r="K58" s="382" t="str">
        <f>IF(J58&lt;=0,"",IF(J58&lt;=2,"Muy Baja",IF(J58&lt;=24,"Baja",IF(J58&lt;=500,"Media",IF(J58&lt;=5000,"Alta","Muy Alta")))))</f>
        <v>Baja</v>
      </c>
      <c r="L58" s="374">
        <f>IF(K58="","",IF(K58="Muy Baja",0.2,IF(K58="Baja",0.4,IF(K58="Media",0.6,IF(K58="Alta",0.8,IF(K58="Muy Alta",1,))))))</f>
        <v>0.4</v>
      </c>
      <c r="M58" s="385" t="s">
        <v>250</v>
      </c>
      <c r="N58" s="135" t="str">
        <f>IF(NOT(ISERROR(MATCH(M58,'Tabla Impacto'!$B$221:$B$223,0))),'Tabla Impacto'!$F$223&amp;"Por favor no seleccionar los criterios de impacto(Afectación Económica o presupuestal y Pérdida Reputacional)",M58)</f>
        <v xml:space="preserve"> El riesgo afecta la imagen de la entidad con algunos usuarios de relevancia frente al logro de los objetivos</v>
      </c>
      <c r="O58" s="382" t="str">
        <f>IF(OR(N58='Tabla Impacto'!$C$11,N58='Tabla Impacto'!$D$11),"Leve",IF(OR(N58='Tabla Impacto'!$C$12,N58='Tabla Impacto'!$D$12),"Menor",IF(OR(N58='Tabla Impacto'!$C$13,N58='Tabla Impacto'!$D$13),"Moderado",IF(OR(N58='Tabla Impacto'!$C$14,N58='Tabla Impacto'!$D$14),"Mayor",IF(OR(N58='Tabla Impacto'!$C$15,N58='Tabla Impacto'!$D$15),"Catastrófico","")))))</f>
        <v>Moderado</v>
      </c>
      <c r="P58" s="374">
        <f>IF(O58="","",IF(O58="Leve",0.2,IF(O58="Menor",0.4,IF(O58="Moderado",0.6,IF(O58="Mayor",0.8,IF(O58="Catastrófico",1,))))))</f>
        <v>0.6</v>
      </c>
      <c r="Q58" s="377" t="str">
        <f>IF(OR(AND(K58="Muy Baja",O58="Leve"),AND(K58="Muy Baja",O58="Menor"),AND(K58="Baja",O58="Leve")),"Bajo",IF(OR(AND(K58="Muy baja",O58="Moderado"),AND(K58="Baja",O58="Menor"),AND(K58="Baja",O58="Moderado"),AND(K58="Media",O58="Leve"),AND(K58="Media",O58="Menor"),AND(K58="Media",O58="Moderado"),AND(K58="Alta",O58="Leve"),AND(K58="Alta",O58="Menor")),"Moderado",IF(OR(AND(K58="Muy Baja",O58="Mayor"),AND(K58="Baja",O58="Mayor"),AND(K58="Media",O58="Mayor"),AND(K58="Alta",O58="Moderado"),AND(K58="Alta",O58="Mayor"),AND(K58="Muy Alta",O58="Leve"),AND(K58="Muy Alta",O58="Menor"),AND(K58="Muy Alta",O58="Moderado"),AND(K58="Muy Alta",O58="Mayor")),"Alto",IF(OR(AND(K58="Muy Baja",O58="Catastrófico"),AND(K58="Baja",O58="Catastrófico"),AND(K58="Media",O58="Catastrófico"),AND(K58="Alta",O58="Catastrófico"),AND(K58="Muy Alta",O58="Catastrófico")),"Extremo",""))))</f>
        <v>Moderado</v>
      </c>
      <c r="R58" s="89">
        <v>1</v>
      </c>
      <c r="S58" s="195" t="s">
        <v>441</v>
      </c>
      <c r="T58" s="196" t="str">
        <f t="shared" si="53"/>
        <v>Probabilidad</v>
      </c>
      <c r="U58" s="197" t="s">
        <v>15</v>
      </c>
      <c r="V58" s="197" t="s">
        <v>9</v>
      </c>
      <c r="W58" s="198" t="str">
        <f>IF(AND(U58="Preventivo",V58="Automático"),"50%",IF(AND(U58="Preventivo",V58="Manual"),"40%",IF(AND(U58="Detectivo",V58="Automático"),"40%",IF(AND(U58="Detectivo",V58="Manual"),"30%",IF(AND(U58="Correctivo",V58="Automático"),"35%",IF(AND(U58="Correctivo",V58="Manual"),"25%",""))))))</f>
        <v>30%</v>
      </c>
      <c r="X58" s="197" t="s">
        <v>20</v>
      </c>
      <c r="Y58" s="197" t="s">
        <v>23</v>
      </c>
      <c r="Z58" s="197" t="s">
        <v>111</v>
      </c>
      <c r="AA58" s="90">
        <f>IFERROR(IF(T58="Probabilidad",(L58-(+L58*W58)),IF(T58="Impacto",L58,"")),"")</f>
        <v>0.28000000000000003</v>
      </c>
      <c r="AB58" s="199" t="str">
        <f t="shared" si="54"/>
        <v>Baja</v>
      </c>
      <c r="AC58" s="200">
        <f t="shared" si="55"/>
        <v>0.28000000000000003</v>
      </c>
      <c r="AD58" s="199" t="str">
        <f t="shared" si="56"/>
        <v>Moderado</v>
      </c>
      <c r="AE58" s="200">
        <f t="shared" si="57"/>
        <v>0.6</v>
      </c>
      <c r="AF58" s="201" t="str">
        <f t="shared" si="58"/>
        <v>Moderado</v>
      </c>
      <c r="AG58" s="202" t="s">
        <v>122</v>
      </c>
      <c r="AH58" s="195" t="s">
        <v>264</v>
      </c>
      <c r="AI58" s="160" t="s">
        <v>348</v>
      </c>
      <c r="AJ58" s="159" t="s">
        <v>283</v>
      </c>
      <c r="AK58" s="159" t="s">
        <v>206</v>
      </c>
      <c r="AL58" s="203" t="s">
        <v>349</v>
      </c>
      <c r="AM58" s="166" t="s">
        <v>644</v>
      </c>
      <c r="AN58" s="166" t="s">
        <v>642</v>
      </c>
      <c r="AO58" s="158">
        <v>1</v>
      </c>
      <c r="AP58" s="166" t="s">
        <v>772</v>
      </c>
      <c r="AQ58" s="166" t="s">
        <v>773</v>
      </c>
      <c r="AR58" s="170">
        <v>1</v>
      </c>
      <c r="AS58" s="160"/>
      <c r="AT58" s="160" t="s">
        <v>587</v>
      </c>
      <c r="AU58" s="160" t="s">
        <v>612</v>
      </c>
      <c r="AV58" s="160" t="s">
        <v>612</v>
      </c>
      <c r="AW58" s="160" t="s">
        <v>612</v>
      </c>
      <c r="AX58" s="161" t="s">
        <v>754</v>
      </c>
    </row>
    <row r="59" spans="1:50" s="93" customFormat="1" ht="151.5" hidden="1" customHeight="1" x14ac:dyDescent="0.3">
      <c r="A59" s="365"/>
      <c r="B59" s="395"/>
      <c r="C59" s="392"/>
      <c r="D59" s="390"/>
      <c r="E59" s="388"/>
      <c r="F59" s="388"/>
      <c r="G59" s="388"/>
      <c r="H59" s="373"/>
      <c r="I59" s="388"/>
      <c r="J59" s="381"/>
      <c r="K59" s="383"/>
      <c r="L59" s="375"/>
      <c r="M59" s="386"/>
      <c r="N59" s="136"/>
      <c r="O59" s="383"/>
      <c r="P59" s="375"/>
      <c r="Q59" s="378"/>
      <c r="R59" s="89">
        <v>2</v>
      </c>
      <c r="S59" s="195"/>
      <c r="T59" s="196" t="str">
        <f t="shared" si="53"/>
        <v/>
      </c>
      <c r="U59" s="197"/>
      <c r="V59" s="197"/>
      <c r="W59" s="198"/>
      <c r="X59" s="197"/>
      <c r="Y59" s="197"/>
      <c r="Z59" s="197"/>
      <c r="AA59" s="90" t="str">
        <f>IFERROR(IF(T59="Probabilidad",(AA58-(+AA58*W59)),IF(T59="Impacto",L59,"")),"")</f>
        <v/>
      </c>
      <c r="AB59" s="199" t="str">
        <f t="shared" si="54"/>
        <v/>
      </c>
      <c r="AC59" s="200" t="str">
        <f t="shared" si="55"/>
        <v/>
      </c>
      <c r="AD59" s="199" t="str">
        <f t="shared" si="56"/>
        <v/>
      </c>
      <c r="AE59" s="200" t="str">
        <f t="shared" si="57"/>
        <v/>
      </c>
      <c r="AF59" s="201" t="str">
        <f t="shared" si="58"/>
        <v/>
      </c>
      <c r="AG59" s="202"/>
      <c r="AH59" s="195"/>
      <c r="AI59" s="160"/>
      <c r="AJ59" s="159"/>
      <c r="AK59" s="159"/>
      <c r="AL59" s="195"/>
      <c r="AM59" s="166"/>
      <c r="AN59" s="166"/>
      <c r="AO59" s="158"/>
      <c r="AP59" s="166"/>
      <c r="AQ59" s="166"/>
      <c r="AR59" s="170"/>
      <c r="AS59" s="160"/>
      <c r="AT59" s="160" t="s">
        <v>587</v>
      </c>
      <c r="AU59" s="160" t="s">
        <v>612</v>
      </c>
      <c r="AV59" s="160" t="s">
        <v>612</v>
      </c>
      <c r="AW59" s="160" t="s">
        <v>612</v>
      </c>
      <c r="AX59" s="160" t="s">
        <v>612</v>
      </c>
    </row>
    <row r="60" spans="1:50" s="93" customFormat="1" ht="151.5" hidden="1" customHeight="1" x14ac:dyDescent="0.3">
      <c r="A60" s="365"/>
      <c r="B60" s="396"/>
      <c r="C60" s="392"/>
      <c r="D60" s="390"/>
      <c r="E60" s="388"/>
      <c r="F60" s="388"/>
      <c r="G60" s="388"/>
      <c r="H60" s="373"/>
      <c r="I60" s="388"/>
      <c r="J60" s="381"/>
      <c r="K60" s="384"/>
      <c r="L60" s="376"/>
      <c r="M60" s="386"/>
      <c r="N60" s="136"/>
      <c r="O60" s="384"/>
      <c r="P60" s="376"/>
      <c r="Q60" s="379"/>
      <c r="R60" s="89">
        <v>3</v>
      </c>
      <c r="S60" s="195"/>
      <c r="T60" s="196" t="str">
        <f t="shared" si="53"/>
        <v/>
      </c>
      <c r="U60" s="197"/>
      <c r="V60" s="197"/>
      <c r="W60" s="198"/>
      <c r="X60" s="197"/>
      <c r="Y60" s="197"/>
      <c r="Z60" s="197"/>
      <c r="AA60" s="90" t="str">
        <f>IFERROR(IF(T60="Probabilidad",(AA59-(+AA59*W60)),IF(T60="Impacto",L60,"")),"")</f>
        <v/>
      </c>
      <c r="AB60" s="199" t="str">
        <f t="shared" si="54"/>
        <v/>
      </c>
      <c r="AC60" s="200" t="str">
        <f t="shared" si="55"/>
        <v/>
      </c>
      <c r="AD60" s="199" t="str">
        <f t="shared" si="56"/>
        <v/>
      </c>
      <c r="AE60" s="200" t="str">
        <f t="shared" si="57"/>
        <v/>
      </c>
      <c r="AF60" s="201" t="str">
        <f t="shared" si="58"/>
        <v/>
      </c>
      <c r="AG60" s="202"/>
      <c r="AH60" s="195"/>
      <c r="AI60" s="160"/>
      <c r="AJ60" s="159"/>
      <c r="AK60" s="159"/>
      <c r="AL60" s="195"/>
      <c r="AM60" s="166"/>
      <c r="AN60" s="166"/>
      <c r="AO60" s="158"/>
      <c r="AP60" s="166"/>
      <c r="AQ60" s="166"/>
      <c r="AR60" s="170"/>
      <c r="AS60" s="160"/>
      <c r="AT60" s="160" t="s">
        <v>587</v>
      </c>
      <c r="AU60" s="160" t="s">
        <v>612</v>
      </c>
      <c r="AV60" s="160" t="s">
        <v>612</v>
      </c>
      <c r="AW60" s="160" t="s">
        <v>612</v>
      </c>
      <c r="AX60" s="160" t="s">
        <v>612</v>
      </c>
    </row>
    <row r="61" spans="1:50" s="93" customFormat="1" ht="151.5" customHeight="1" x14ac:dyDescent="0.3">
      <c r="A61" s="365">
        <f>1+A58</f>
        <v>18</v>
      </c>
      <c r="B61" s="394" t="s">
        <v>210</v>
      </c>
      <c r="C61" s="389" t="s">
        <v>350</v>
      </c>
      <c r="D61" s="389" t="s">
        <v>351</v>
      </c>
      <c r="E61" s="387" t="s">
        <v>118</v>
      </c>
      <c r="F61" s="387" t="s">
        <v>352</v>
      </c>
      <c r="G61" s="387" t="s">
        <v>353</v>
      </c>
      <c r="H61" s="372" t="s">
        <v>354</v>
      </c>
      <c r="I61" s="387" t="s">
        <v>218</v>
      </c>
      <c r="J61" s="380">
        <v>355</v>
      </c>
      <c r="K61" s="382" t="str">
        <f>IF(J61&lt;=0,"",IF(J61&lt;=2,"Muy Baja",IF(J61&lt;=24,"Baja",IF(J61&lt;=500,"Media",IF(J61&lt;=5000,"Alta","Muy Alta")))))</f>
        <v>Media</v>
      </c>
      <c r="L61" s="374">
        <f>IF(K61="","",IF(K61="Muy Baja",0.2,IF(K61="Baja",0.4,IF(K61="Media",0.6,IF(K61="Alta",0.8,IF(K61="Muy Alta",1,))))))</f>
        <v>0.6</v>
      </c>
      <c r="M61" s="385" t="s">
        <v>257</v>
      </c>
      <c r="N61" s="135" t="str">
        <f>IF(NOT(ISERROR(MATCH(M61,'Tabla Impacto'!$B$221:$B$223,0))),'Tabla Impacto'!$F$223&amp;"Por favor no seleccionar los criterios de impacto(Afectación Económica o presupuestal y Pérdida Reputacional)",M61)</f>
        <v xml:space="preserve"> El riesgo afecta la imagen de la entidad con efecto publicitario sostenido a nivel de sector administrativo, nivel departamental o municipal</v>
      </c>
      <c r="O61" s="382" t="str">
        <f>IF(OR(N61='Tabla Impacto'!$C$11,N61='Tabla Impacto'!$D$11),"Leve",IF(OR(N61='Tabla Impacto'!$C$12,N61='Tabla Impacto'!$D$12),"Menor",IF(OR(N61='Tabla Impacto'!$C$13,N61='Tabla Impacto'!$D$13),"Moderado",IF(OR(N61='Tabla Impacto'!$C$14,N61='Tabla Impacto'!$D$14),"Mayor",IF(OR(N61='Tabla Impacto'!$C$15,N61='Tabla Impacto'!$D$15),"Catastrófico","")))))</f>
        <v>Mayor</v>
      </c>
      <c r="P61" s="374">
        <f>IF(O61="","",IF(O61="Leve",0.2,IF(O61="Menor",0.4,IF(O61="Moderado",0.6,IF(O61="Mayor",0.8,IF(O61="Catastrófico",1,))))))</f>
        <v>0.8</v>
      </c>
      <c r="Q61" s="377" t="str">
        <f>IF(OR(AND(K61="Muy Baja",O61="Leve"),AND(K61="Muy Baja",O61="Menor"),AND(K61="Baja",O61="Leve")),"Bajo",IF(OR(AND(K61="Muy baja",O61="Moderado"),AND(K61="Baja",O61="Menor"),AND(K61="Baja",O61="Moderado"),AND(K61="Media",O61="Leve"),AND(K61="Media",O61="Menor"),AND(K61="Media",O61="Moderado"),AND(K61="Alta",O61="Leve"),AND(K61="Alta",O61="Menor")),"Moderado",IF(OR(AND(K61="Muy Baja",O61="Mayor"),AND(K61="Baja",O61="Mayor"),AND(K61="Media",O61="Mayor"),AND(K61="Alta",O61="Moderado"),AND(K61="Alta",O61="Mayor"),AND(K61="Muy Alta",O61="Leve"),AND(K61="Muy Alta",O61="Menor"),AND(K61="Muy Alta",O61="Moderado"),AND(K61="Muy Alta",O61="Mayor")),"Alto",IF(OR(AND(K61="Muy Baja",O61="Catastrófico"),AND(K61="Baja",O61="Catastrófico"),AND(K61="Media",O61="Catastrófico"),AND(K61="Alta",O61="Catastrófico"),AND(K61="Muy Alta",O61="Catastrófico")),"Extremo",""))))</f>
        <v>Alto</v>
      </c>
      <c r="R61" s="89">
        <v>1</v>
      </c>
      <c r="S61" s="195" t="s">
        <v>484</v>
      </c>
      <c r="T61" s="196" t="str">
        <f t="shared" si="53"/>
        <v>Probabilidad</v>
      </c>
      <c r="U61" s="197" t="s">
        <v>14</v>
      </c>
      <c r="V61" s="197" t="s">
        <v>9</v>
      </c>
      <c r="W61" s="198" t="str">
        <f>IF(AND(U61="Preventivo",V61="Automático"),"50%",IF(AND(U61="Preventivo",V61="Manual"),"40%",IF(AND(U61="Detectivo",V61="Automático"),"40%",IF(AND(U61="Detectivo",V61="Manual"),"30%",IF(AND(U61="Correctivo",V61="Automático"),"35%",IF(AND(U61="Correctivo",V61="Manual"),"25%",""))))))</f>
        <v>40%</v>
      </c>
      <c r="X61" s="197" t="s">
        <v>19</v>
      </c>
      <c r="Y61" s="197" t="s">
        <v>22</v>
      </c>
      <c r="Z61" s="197" t="s">
        <v>110</v>
      </c>
      <c r="AA61" s="90">
        <f>IFERROR(IF(T61="Probabilidad",(L61-(+L61*W61)),IF(T61="Impacto",L61,"")),"")</f>
        <v>0.36</v>
      </c>
      <c r="AB61" s="199" t="str">
        <f t="shared" si="54"/>
        <v>Baja</v>
      </c>
      <c r="AC61" s="200">
        <f t="shared" si="55"/>
        <v>0.36</v>
      </c>
      <c r="AD61" s="199" t="str">
        <f t="shared" si="56"/>
        <v>Mayor</v>
      </c>
      <c r="AE61" s="200">
        <f t="shared" si="57"/>
        <v>0.8</v>
      </c>
      <c r="AF61" s="201" t="str">
        <f t="shared" si="58"/>
        <v>Alto</v>
      </c>
      <c r="AG61" s="202" t="s">
        <v>122</v>
      </c>
      <c r="AH61" s="195" t="s">
        <v>355</v>
      </c>
      <c r="AI61" s="161" t="s">
        <v>299</v>
      </c>
      <c r="AJ61" s="159">
        <v>45474</v>
      </c>
      <c r="AK61" s="159">
        <v>45504</v>
      </c>
      <c r="AL61" s="195" t="s">
        <v>356</v>
      </c>
      <c r="AM61" s="166" t="s">
        <v>680</v>
      </c>
      <c r="AN61" s="166" t="s">
        <v>681</v>
      </c>
      <c r="AO61" s="158">
        <v>1</v>
      </c>
      <c r="AP61" s="166" t="s">
        <v>682</v>
      </c>
      <c r="AQ61" s="166" t="s">
        <v>683</v>
      </c>
      <c r="AR61" s="158">
        <v>1</v>
      </c>
      <c r="AS61" s="160"/>
      <c r="AT61" s="160" t="s">
        <v>587</v>
      </c>
      <c r="AU61" s="160" t="s">
        <v>612</v>
      </c>
      <c r="AV61" s="160" t="s">
        <v>612</v>
      </c>
      <c r="AW61" s="160" t="s">
        <v>612</v>
      </c>
      <c r="AX61" s="161" t="s">
        <v>754</v>
      </c>
    </row>
    <row r="62" spans="1:50" s="93" customFormat="1" ht="151.5" customHeight="1" x14ac:dyDescent="0.3">
      <c r="A62" s="365"/>
      <c r="B62" s="395"/>
      <c r="C62" s="392"/>
      <c r="D62" s="390"/>
      <c r="E62" s="388"/>
      <c r="F62" s="388"/>
      <c r="G62" s="388"/>
      <c r="H62" s="373"/>
      <c r="I62" s="388"/>
      <c r="J62" s="381"/>
      <c r="K62" s="383"/>
      <c r="L62" s="375"/>
      <c r="M62" s="386"/>
      <c r="N62" s="136"/>
      <c r="O62" s="383"/>
      <c r="P62" s="375"/>
      <c r="Q62" s="378"/>
      <c r="R62" s="89">
        <v>2</v>
      </c>
      <c r="S62" s="195" t="s">
        <v>485</v>
      </c>
      <c r="T62" s="196" t="str">
        <f t="shared" si="53"/>
        <v>Probabilidad</v>
      </c>
      <c r="U62" s="197" t="s">
        <v>14</v>
      </c>
      <c r="V62" s="197" t="s">
        <v>9</v>
      </c>
      <c r="W62" s="198" t="str">
        <f>IF(AND(U62="Preventivo",V62="Automático"),"50%",IF(AND(U62="Preventivo",V62="Manual"),"40%",IF(AND(U62="Detectivo",V62="Automático"),"40%",IF(AND(U62="Detectivo",V62="Manual"),"30%",IF(AND(U62="Correctivo",V62="Automático"),"35%",IF(AND(U62="Correctivo",V62="Manual"),"25%",""))))))</f>
        <v>40%</v>
      </c>
      <c r="X62" s="197" t="s">
        <v>19</v>
      </c>
      <c r="Y62" s="197" t="s">
        <v>486</v>
      </c>
      <c r="Z62" s="197" t="s">
        <v>110</v>
      </c>
      <c r="AA62" s="90">
        <f>IFERROR(IF(T62="Probabilidad",(AA61-(+AA61*W62)),IF(T62="Impacto",L62,"")),"")</f>
        <v>0.216</v>
      </c>
      <c r="AB62" s="199" t="str">
        <f t="shared" si="54"/>
        <v>Baja</v>
      </c>
      <c r="AC62" s="200">
        <f t="shared" si="55"/>
        <v>0.216</v>
      </c>
      <c r="AD62" s="199" t="str">
        <f t="shared" si="56"/>
        <v>Leve</v>
      </c>
      <c r="AE62" s="200">
        <f t="shared" si="57"/>
        <v>0</v>
      </c>
      <c r="AF62" s="201" t="str">
        <f t="shared" si="58"/>
        <v>Bajo</v>
      </c>
      <c r="AG62" s="202" t="s">
        <v>122</v>
      </c>
      <c r="AH62" s="195" t="s">
        <v>686</v>
      </c>
      <c r="AI62" s="160"/>
      <c r="AJ62" s="159"/>
      <c r="AK62" s="159"/>
      <c r="AL62" s="195" t="s">
        <v>686</v>
      </c>
      <c r="AM62" s="166" t="s">
        <v>684</v>
      </c>
      <c r="AN62" s="166" t="s">
        <v>685</v>
      </c>
      <c r="AO62" s="158">
        <v>1</v>
      </c>
      <c r="AP62" s="177" t="s">
        <v>589</v>
      </c>
      <c r="AQ62" s="177" t="s">
        <v>589</v>
      </c>
      <c r="AR62" s="158" t="s">
        <v>686</v>
      </c>
      <c r="AS62" s="160"/>
      <c r="AT62" s="160" t="s">
        <v>587</v>
      </c>
      <c r="AU62" s="160" t="s">
        <v>612</v>
      </c>
      <c r="AV62" s="160" t="s">
        <v>612</v>
      </c>
      <c r="AW62" s="160" t="s">
        <v>612</v>
      </c>
      <c r="AX62" s="161" t="s">
        <v>755</v>
      </c>
    </row>
    <row r="63" spans="1:50" s="93" customFormat="1" ht="151.5" hidden="1" customHeight="1" x14ac:dyDescent="0.3">
      <c r="A63" s="365"/>
      <c r="B63" s="396"/>
      <c r="C63" s="392"/>
      <c r="D63" s="390"/>
      <c r="E63" s="388"/>
      <c r="F63" s="388"/>
      <c r="G63" s="388"/>
      <c r="H63" s="373"/>
      <c r="I63" s="388"/>
      <c r="J63" s="381"/>
      <c r="K63" s="384"/>
      <c r="L63" s="376"/>
      <c r="M63" s="386"/>
      <c r="N63" s="136"/>
      <c r="O63" s="384"/>
      <c r="P63" s="376"/>
      <c r="Q63" s="379"/>
      <c r="R63" s="89">
        <v>3</v>
      </c>
      <c r="S63" s="195"/>
      <c r="T63" s="196" t="str">
        <f t="shared" si="53"/>
        <v/>
      </c>
      <c r="U63" s="197"/>
      <c r="V63" s="197"/>
      <c r="W63" s="198"/>
      <c r="X63" s="197"/>
      <c r="Y63" s="197"/>
      <c r="Z63" s="197"/>
      <c r="AA63" s="90" t="str">
        <f>IFERROR(IF(T63="Probabilidad",(AA62-(+AA62*W63)),IF(T63="Impacto",L63,"")),"")</f>
        <v/>
      </c>
      <c r="AB63" s="199" t="str">
        <f t="shared" si="54"/>
        <v/>
      </c>
      <c r="AC63" s="200" t="str">
        <f t="shared" si="55"/>
        <v/>
      </c>
      <c r="AD63" s="199" t="str">
        <f t="shared" si="56"/>
        <v/>
      </c>
      <c r="AE63" s="200" t="str">
        <f t="shared" ref="AE63:AE70" si="59">IFERROR(IF(T63="Impacto",(P63-(+P63*W63)),IF(T63="Probabilidad",P63,"")),"")</f>
        <v/>
      </c>
      <c r="AF63" s="201" t="str">
        <f t="shared" si="58"/>
        <v/>
      </c>
      <c r="AG63" s="202"/>
      <c r="AH63" s="195"/>
      <c r="AI63" s="160"/>
      <c r="AJ63" s="159"/>
      <c r="AK63" s="159"/>
      <c r="AL63" s="195"/>
      <c r="AM63" s="166"/>
      <c r="AN63" s="166"/>
      <c r="AO63" s="158"/>
      <c r="AP63" s="166"/>
      <c r="AQ63" s="166"/>
      <c r="AR63" s="170"/>
      <c r="AS63" s="160"/>
      <c r="AT63" s="160" t="s">
        <v>587</v>
      </c>
      <c r="AU63" s="160" t="s">
        <v>612</v>
      </c>
      <c r="AV63" s="160" t="s">
        <v>612</v>
      </c>
      <c r="AW63" s="160" t="s">
        <v>612</v>
      </c>
      <c r="AX63" s="160" t="s">
        <v>612</v>
      </c>
    </row>
    <row r="64" spans="1:50" s="93" customFormat="1" ht="151.5" customHeight="1" x14ac:dyDescent="0.3">
      <c r="A64" s="365">
        <f>1+A61</f>
        <v>19</v>
      </c>
      <c r="B64" s="394" t="s">
        <v>210</v>
      </c>
      <c r="C64" s="389" t="s">
        <v>350</v>
      </c>
      <c r="D64" s="389" t="s">
        <v>351</v>
      </c>
      <c r="E64" s="387" t="s">
        <v>118</v>
      </c>
      <c r="F64" s="387" t="s">
        <v>425</v>
      </c>
      <c r="G64" s="387" t="s">
        <v>243</v>
      </c>
      <c r="H64" s="372" t="s">
        <v>211</v>
      </c>
      <c r="I64" s="387" t="s">
        <v>115</v>
      </c>
      <c r="J64" s="380">
        <v>355</v>
      </c>
      <c r="K64" s="382" t="str">
        <f>IF(J64&lt;=0,"",IF(J64&lt;=2,"Muy Baja",IF(J64&lt;=24,"Baja",IF(J64&lt;=500,"Media",IF(J64&lt;=5000,"Alta","Muy Alta")))))</f>
        <v>Media</v>
      </c>
      <c r="L64" s="374">
        <f>IF(K64="","",IF(K64="Muy Baja",0.2,IF(K64="Baja",0.4,IF(K64="Media",0.6,IF(K64="Alta",0.8,IF(K64="Muy Alta",1,))))))</f>
        <v>0.6</v>
      </c>
      <c r="M64" s="385" t="s">
        <v>257</v>
      </c>
      <c r="N64" s="135" t="str">
        <f>IF(NOT(ISERROR(MATCH(M64,'Tabla Impacto'!$B$221:$B$223,0))),'Tabla Impacto'!$F$223&amp;"Por favor no seleccionar los criterios de impacto(Afectación Económica o presupuestal y Pérdida Reputacional)",M64)</f>
        <v xml:space="preserve"> El riesgo afecta la imagen de la entidad con efecto publicitario sostenido a nivel de sector administrativo, nivel departamental o municipal</v>
      </c>
      <c r="O64" s="382" t="str">
        <f>IF(OR(N64='Tabla Impacto'!$C$11,N64='Tabla Impacto'!$D$11),"Leve",IF(OR(N64='Tabla Impacto'!$C$12,N64='Tabla Impacto'!$D$12),"Menor",IF(OR(N64='Tabla Impacto'!$C$13,N64='Tabla Impacto'!$D$13),"Moderado",IF(OR(N64='Tabla Impacto'!$C$14,N64='Tabla Impacto'!$D$14),"Mayor",IF(OR(N64='Tabla Impacto'!$C$15,N64='Tabla Impacto'!$D$15),"Catastrófico","")))))</f>
        <v>Mayor</v>
      </c>
      <c r="P64" s="374">
        <f>IF(O64="","",IF(O64="Leve",0.2,IF(O64="Menor",0.4,IF(O64="Moderado",0.6,IF(O64="Mayor",0.8,IF(O64="Catastrófico",1,))))))</f>
        <v>0.8</v>
      </c>
      <c r="Q64" s="377" t="str">
        <f>IF(OR(AND(K64="Muy Baja",O64="Leve"),AND(K64="Muy Baja",O64="Menor"),AND(K64="Baja",O64="Leve")),"Bajo",IF(OR(AND(K64="Muy baja",O64="Moderado"),AND(K64="Baja",O64="Menor"),AND(K64="Baja",O64="Moderado"),AND(K64="Media",O64="Leve"),AND(K64="Media",O64="Menor"),AND(K64="Media",O64="Moderado"),AND(K64="Alta",O64="Leve"),AND(K64="Alta",O64="Menor")),"Moderado",IF(OR(AND(K64="Muy Baja",O64="Mayor"),AND(K64="Baja",O64="Mayor"),AND(K64="Media",O64="Mayor"),AND(K64="Alta",O64="Moderado"),AND(K64="Alta",O64="Mayor"),AND(K64="Muy Alta",O64="Leve"),AND(K64="Muy Alta",O64="Menor"),AND(K64="Muy Alta",O64="Moderado"),AND(K64="Muy Alta",O64="Mayor")),"Alto",IF(OR(AND(K64="Muy Baja",O64="Catastrófico"),AND(K64="Baja",O64="Catastrófico"),AND(K64="Media",O64="Catastrófico"),AND(K64="Alta",O64="Catastrófico"),AND(K64="Muy Alta",O64="Catastrófico")),"Extremo",""))))</f>
        <v>Alto</v>
      </c>
      <c r="R64" s="89">
        <v>1</v>
      </c>
      <c r="S64" s="195" t="s">
        <v>484</v>
      </c>
      <c r="T64" s="196" t="str">
        <f t="shared" ref="T64:T65" si="60">IF(OR(U64="Preventivo",U64="Detectivo"),"Probabilidad",IF(U64="Correctivo","Impacto",""))</f>
        <v>Probabilidad</v>
      </c>
      <c r="U64" s="197" t="s">
        <v>14</v>
      </c>
      <c r="V64" s="197" t="s">
        <v>9</v>
      </c>
      <c r="W64" s="198" t="str">
        <f>IF(AND(U64="Preventivo",V64="Automático"),"50%",IF(AND(U64="Preventivo",V64="Manual"),"40%",IF(AND(U64="Detectivo",V64="Automático"),"40%",IF(AND(U64="Detectivo",V64="Manual"),"30%",IF(AND(U64="Correctivo",V64="Automático"),"35%",IF(AND(U64="Correctivo",V64="Manual"),"25%",""))))))</f>
        <v>40%</v>
      </c>
      <c r="X64" s="197" t="s">
        <v>19</v>
      </c>
      <c r="Y64" s="197" t="s">
        <v>22</v>
      </c>
      <c r="Z64" s="197" t="s">
        <v>110</v>
      </c>
      <c r="AA64" s="90">
        <f>IFERROR(IF(T64="Probabilidad",(L64-(+L64*W64)),IF(T64="Impacto",L64,"")),"")</f>
        <v>0.36</v>
      </c>
      <c r="AB64" s="199" t="str">
        <f t="shared" ref="AB64:AB65" si="61">IFERROR(IF(AA64="","",IF(AA64&lt;=0.2,"Muy Baja",IF(AA64&lt;=0.4,"Baja",IF(AA64&lt;=0.6,"Media",IF(AA64&lt;=0.8,"Alta","Muy Alta"))))),"")</f>
        <v>Baja</v>
      </c>
      <c r="AC64" s="200">
        <f t="shared" ref="AC64:AC65" si="62">+AA64</f>
        <v>0.36</v>
      </c>
      <c r="AD64" s="199" t="str">
        <f t="shared" ref="AD64:AD65" si="63">IFERROR(IF(AE64="","",IF(AE64&lt;=0.2,"Leve",IF(AE64&lt;=0.4,"Menor",IF(AE64&lt;=0.6,"Moderado",IF(AE64&lt;=0.8,"Mayor","Catastrófico"))))),"")</f>
        <v>Mayor</v>
      </c>
      <c r="AE64" s="200">
        <f t="shared" si="59"/>
        <v>0.8</v>
      </c>
      <c r="AF64" s="201" t="str">
        <f t="shared" ref="AF64:AF65" si="64">IFERROR(IF(OR(AND(AB64="Muy Baja",AD64="Leve"),AND(AB64="Muy Baja",AD64="Menor"),AND(AB64="Baja",AD64="Leve")),"Bajo",IF(OR(AND(AB64="Muy baja",AD64="Moderado"),AND(AB64="Baja",AD64="Menor"),AND(AB64="Baja",AD64="Moderado"),AND(AB64="Media",AD64="Leve"),AND(AB64="Media",AD64="Menor"),AND(AB64="Media",AD64="Moderado"),AND(AB64="Alta",AD64="Leve"),AND(AB64="Alta",AD64="Menor")),"Moderado",IF(OR(AND(AB64="Muy Baja",AD64="Mayor"),AND(AB64="Baja",AD64="Mayor"),AND(AB64="Media",AD64="Mayor"),AND(AB64="Alta",AD64="Moderado"),AND(AB64="Alta",AD64="Mayor"),AND(AB64="Muy Alta",AD64="Leve"),AND(AB64="Muy Alta",AD64="Menor"),AND(AB64="Muy Alta",AD64="Moderado"),AND(AB64="Muy Alta",AD64="Mayor")),"Alto",IF(OR(AND(AB64="Muy Baja",AD64="Catastrófico"),AND(AB64="Baja",AD64="Catastrófico"),AND(AB64="Media",AD64="Catastrófico"),AND(AB64="Alta",AD64="Catastrófico"),AND(AB64="Muy Alta",AD64="Catastrófico")),"Extremo","")))),"")</f>
        <v>Alto</v>
      </c>
      <c r="AG64" s="202" t="s">
        <v>122</v>
      </c>
      <c r="AH64" s="195" t="s">
        <v>355</v>
      </c>
      <c r="AI64" s="161" t="s">
        <v>299</v>
      </c>
      <c r="AJ64" s="159">
        <v>45474</v>
      </c>
      <c r="AK64" s="159">
        <v>45504</v>
      </c>
      <c r="AL64" s="195" t="s">
        <v>356</v>
      </c>
      <c r="AM64" s="166" t="s">
        <v>680</v>
      </c>
      <c r="AN64" s="166" t="s">
        <v>681</v>
      </c>
      <c r="AO64" s="158">
        <v>1</v>
      </c>
      <c r="AP64" s="166" t="s">
        <v>687</v>
      </c>
      <c r="AQ64" s="166" t="s">
        <v>683</v>
      </c>
      <c r="AR64" s="158">
        <v>1</v>
      </c>
      <c r="AS64" s="159"/>
      <c r="AT64" s="159" t="s">
        <v>587</v>
      </c>
      <c r="AU64" s="160" t="s">
        <v>589</v>
      </c>
      <c r="AV64" s="160" t="s">
        <v>589</v>
      </c>
      <c r="AW64" s="160" t="s">
        <v>589</v>
      </c>
      <c r="AX64" s="161" t="s">
        <v>754</v>
      </c>
    </row>
    <row r="65" spans="1:50" s="93" customFormat="1" ht="151.5" customHeight="1" x14ac:dyDescent="0.3">
      <c r="A65" s="365"/>
      <c r="B65" s="395"/>
      <c r="C65" s="392"/>
      <c r="D65" s="390"/>
      <c r="E65" s="388"/>
      <c r="F65" s="388"/>
      <c r="G65" s="388"/>
      <c r="H65" s="373"/>
      <c r="I65" s="388"/>
      <c r="J65" s="381"/>
      <c r="K65" s="383"/>
      <c r="L65" s="375"/>
      <c r="M65" s="386"/>
      <c r="N65" s="136"/>
      <c r="O65" s="383"/>
      <c r="P65" s="375"/>
      <c r="Q65" s="378"/>
      <c r="R65" s="89">
        <v>2</v>
      </c>
      <c r="S65" s="195" t="s">
        <v>485</v>
      </c>
      <c r="T65" s="196" t="str">
        <f t="shared" si="60"/>
        <v>Probabilidad</v>
      </c>
      <c r="U65" s="197" t="s">
        <v>14</v>
      </c>
      <c r="V65" s="197" t="s">
        <v>9</v>
      </c>
      <c r="W65" s="198" t="str">
        <f>IF(AND(U65="Preventivo",V65="Automático"),"50%",IF(AND(U65="Preventivo",V65="Manual"),"40%",IF(AND(U65="Detectivo",V65="Automático"),"40%",IF(AND(U65="Detectivo",V65="Manual"),"30%",IF(AND(U65="Correctivo",V65="Automático"),"35%",IF(AND(U65="Correctivo",V65="Manual"),"25%",""))))))</f>
        <v>40%</v>
      </c>
      <c r="X65" s="197" t="s">
        <v>19</v>
      </c>
      <c r="Y65" s="197" t="s">
        <v>486</v>
      </c>
      <c r="Z65" s="197" t="s">
        <v>110</v>
      </c>
      <c r="AA65" s="90">
        <f>IFERROR(IF(T65="Probabilidad",(AA64-(+AA64*W65)),IF(T65="Impacto",L65,"")),"")</f>
        <v>0.216</v>
      </c>
      <c r="AB65" s="199" t="str">
        <f t="shared" si="61"/>
        <v>Baja</v>
      </c>
      <c r="AC65" s="200">
        <f t="shared" si="62"/>
        <v>0.216</v>
      </c>
      <c r="AD65" s="199" t="str">
        <f t="shared" si="63"/>
        <v>Leve</v>
      </c>
      <c r="AE65" s="200">
        <f t="shared" si="59"/>
        <v>0</v>
      </c>
      <c r="AF65" s="201" t="str">
        <f t="shared" si="64"/>
        <v>Bajo</v>
      </c>
      <c r="AG65" s="202" t="s">
        <v>122</v>
      </c>
      <c r="AH65" s="195" t="s">
        <v>686</v>
      </c>
      <c r="AI65" s="160"/>
      <c r="AJ65" s="159"/>
      <c r="AK65" s="159"/>
      <c r="AL65" s="195" t="s">
        <v>686</v>
      </c>
      <c r="AM65" s="166" t="s">
        <v>684</v>
      </c>
      <c r="AN65" s="166" t="s">
        <v>685</v>
      </c>
      <c r="AO65" s="158">
        <v>1</v>
      </c>
      <c r="AP65" s="177" t="s">
        <v>589</v>
      </c>
      <c r="AQ65" s="177" t="s">
        <v>589</v>
      </c>
      <c r="AR65" s="158" t="s">
        <v>686</v>
      </c>
      <c r="AS65" s="159"/>
      <c r="AT65" s="159" t="s">
        <v>587</v>
      </c>
      <c r="AU65" s="160" t="s">
        <v>589</v>
      </c>
      <c r="AV65" s="160" t="s">
        <v>589</v>
      </c>
      <c r="AW65" s="160" t="s">
        <v>589</v>
      </c>
      <c r="AX65" s="161" t="s">
        <v>755</v>
      </c>
    </row>
    <row r="66" spans="1:50" s="93" customFormat="1" ht="151.5" hidden="1" customHeight="1" x14ac:dyDescent="0.3">
      <c r="A66" s="365"/>
      <c r="B66" s="396"/>
      <c r="C66" s="392"/>
      <c r="D66" s="390"/>
      <c r="E66" s="388"/>
      <c r="F66" s="388"/>
      <c r="G66" s="388"/>
      <c r="H66" s="373"/>
      <c r="I66" s="388"/>
      <c r="J66" s="381"/>
      <c r="K66" s="384"/>
      <c r="L66" s="376"/>
      <c r="M66" s="413"/>
      <c r="N66" s="136"/>
      <c r="O66" s="384"/>
      <c r="P66" s="376"/>
      <c r="Q66" s="379"/>
      <c r="R66" s="89">
        <v>3</v>
      </c>
      <c r="S66" s="195"/>
      <c r="T66" s="196" t="str">
        <f t="shared" si="53"/>
        <v/>
      </c>
      <c r="U66" s="197"/>
      <c r="V66" s="197"/>
      <c r="W66" s="198"/>
      <c r="X66" s="197"/>
      <c r="Y66" s="197"/>
      <c r="Z66" s="197"/>
      <c r="AA66" s="90" t="str">
        <f>IFERROR(IF(T66="Probabilidad",(AA65-(+AA65*W66)),IF(T66="Impacto",L66,"")),"")</f>
        <v/>
      </c>
      <c r="AB66" s="199" t="str">
        <f t="shared" si="54"/>
        <v/>
      </c>
      <c r="AC66" s="200" t="str">
        <f t="shared" si="55"/>
        <v/>
      </c>
      <c r="AD66" s="199" t="str">
        <f t="shared" si="56"/>
        <v/>
      </c>
      <c r="AE66" s="200" t="str">
        <f t="shared" si="59"/>
        <v/>
      </c>
      <c r="AF66" s="201" t="str">
        <f t="shared" si="58"/>
        <v/>
      </c>
      <c r="AG66" s="202"/>
      <c r="AH66" s="195"/>
      <c r="AI66" s="160"/>
      <c r="AJ66" s="159"/>
      <c r="AK66" s="159"/>
      <c r="AL66" s="195"/>
      <c r="AM66" s="166"/>
      <c r="AN66" s="166"/>
      <c r="AO66" s="158"/>
      <c r="AP66" s="166"/>
      <c r="AQ66" s="166"/>
      <c r="AR66" s="170"/>
      <c r="AS66" s="160"/>
      <c r="AT66" s="160"/>
      <c r="AU66" s="160"/>
      <c r="AV66" s="160"/>
      <c r="AW66" s="160"/>
      <c r="AX66" s="160"/>
    </row>
    <row r="67" spans="1:50" s="93" customFormat="1" ht="151.5" customHeight="1" x14ac:dyDescent="0.3">
      <c r="A67" s="365">
        <f>1+A64</f>
        <v>20</v>
      </c>
      <c r="B67" s="394" t="s">
        <v>215</v>
      </c>
      <c r="C67" s="389" t="s">
        <v>357</v>
      </c>
      <c r="D67" s="389" t="s">
        <v>358</v>
      </c>
      <c r="E67" s="387" t="s">
        <v>120</v>
      </c>
      <c r="F67" s="391" t="s">
        <v>244</v>
      </c>
      <c r="G67" s="391" t="s">
        <v>261</v>
      </c>
      <c r="H67" s="372" t="s">
        <v>420</v>
      </c>
      <c r="I67" s="387" t="s">
        <v>115</v>
      </c>
      <c r="J67" s="380">
        <v>3000</v>
      </c>
      <c r="K67" s="382" t="str">
        <f>IF(J67&lt;=0,"",IF(J67&lt;=2,"Muy Baja",IF(J67&lt;=24,"Baja",IF(J67&lt;=500,"Media",IF(J67&lt;=5000,"Alta","Muy Alta")))))</f>
        <v>Alta</v>
      </c>
      <c r="L67" s="374">
        <f>IF(K67="","",IF(K67="Muy Baja",0.2,IF(K67="Baja",0.4,IF(K67="Media",0.6,IF(K67="Alta",0.8,IF(K67="Muy Alta",1,))))))</f>
        <v>0.8</v>
      </c>
      <c r="M67" s="385" t="s">
        <v>249</v>
      </c>
      <c r="N67" s="135" t="str">
        <f>IF(NOT(ISERROR(MATCH(M67,'Tabla Impacto'!$B$221:$B$223,0))),'Tabla Impacto'!$F$223&amp;"Por favor no seleccionar los criterios de impacto(Afectación Económica o presupuestal y Pérdida Reputacional)",M67)</f>
        <v xml:space="preserve"> Entre 50 y 100 SMLMV </v>
      </c>
      <c r="O67" s="382" t="str">
        <f>IF(OR(N67='Tabla Impacto'!$C$11,N67='Tabla Impacto'!$D$11),"Leve",IF(OR(N67='Tabla Impacto'!$C$12,N67='Tabla Impacto'!$D$12),"Menor",IF(OR(N67='Tabla Impacto'!$C$13,N67='Tabla Impacto'!$D$13),"Moderado",IF(OR(N67='Tabla Impacto'!$C$14,N67='Tabla Impacto'!$D$14),"Mayor",IF(OR(N67='Tabla Impacto'!$C$15,N67='Tabla Impacto'!$D$15),"Catastrófico","")))))</f>
        <v>Moderado</v>
      </c>
      <c r="P67" s="374">
        <f>IF(O67="","",IF(O67="Leve",0.2,IF(O67="Menor",0.4,IF(O67="Moderado",0.6,IF(O67="Mayor",0.8,IF(O67="Catastrófico",1,))))))</f>
        <v>0.6</v>
      </c>
      <c r="Q67" s="377" t="str">
        <f>IF(OR(AND(K67="Muy Baja",O67="Leve"),AND(K67="Muy Baja",O67="Menor"),AND(K67="Baja",O67="Leve")),"Bajo",IF(OR(AND(K67="Muy baja",O67="Moderado"),AND(K67="Baja",O67="Menor"),AND(K67="Baja",O67="Moderado"),AND(K67="Media",O67="Leve"),AND(K67="Media",O67="Menor"),AND(K67="Media",O67="Moderado"),AND(K67="Alta",O67="Leve"),AND(K67="Alta",O67="Menor")),"Moderado",IF(OR(AND(K67="Muy Baja",O67="Mayor"),AND(K67="Baja",O67="Mayor"),AND(K67="Media",O67="Mayor"),AND(K67="Alta",O67="Moderado"),AND(K67="Alta",O67="Mayor"),AND(K67="Muy Alta",O67="Leve"),AND(K67="Muy Alta",O67="Menor"),AND(K67="Muy Alta",O67="Moderado"),AND(K67="Muy Alta",O67="Mayor")),"Alto",IF(OR(AND(K67="Muy Baja",O67="Catastrófico"),AND(K67="Baja",O67="Catastrófico"),AND(K67="Media",O67="Catastrófico"),AND(K67="Alta",O67="Catastrófico"),AND(K67="Muy Alta",O67="Catastrófico")),"Extremo",""))))</f>
        <v>Alto</v>
      </c>
      <c r="R67" s="89">
        <v>1</v>
      </c>
      <c r="S67" s="195" t="s">
        <v>359</v>
      </c>
      <c r="T67" s="196" t="str">
        <f t="shared" si="53"/>
        <v>Probabilidad</v>
      </c>
      <c r="U67" s="197" t="s">
        <v>14</v>
      </c>
      <c r="V67" s="197" t="s">
        <v>9</v>
      </c>
      <c r="W67" s="198" t="str">
        <f>IF(AND(U67="Preventivo",V67="Automático"),"50%",IF(AND(U67="Preventivo",V67="Manual"),"40%",IF(AND(U67="Detectivo",V67="Automático"),"40%",IF(AND(U67="Detectivo",V67="Manual"),"30%",IF(AND(U67="Correctivo",V67="Automático"),"35%",IF(AND(U67="Correctivo",V67="Manual"),"25%",""))))))</f>
        <v>40%</v>
      </c>
      <c r="X67" s="197" t="s">
        <v>19</v>
      </c>
      <c r="Y67" s="197" t="s">
        <v>22</v>
      </c>
      <c r="Z67" s="197" t="s">
        <v>110</v>
      </c>
      <c r="AA67" s="90">
        <f>IFERROR(IF(T67="Probabilidad",(L67-(+L67*W67)),IF(T67="Impacto",L67,"")),"")</f>
        <v>0.48</v>
      </c>
      <c r="AB67" s="199" t="str">
        <f t="shared" si="54"/>
        <v>Media</v>
      </c>
      <c r="AC67" s="200">
        <f t="shared" si="55"/>
        <v>0.48</v>
      </c>
      <c r="AD67" s="199" t="str">
        <f t="shared" si="56"/>
        <v>Moderado</v>
      </c>
      <c r="AE67" s="200">
        <f t="shared" si="59"/>
        <v>0.6</v>
      </c>
      <c r="AF67" s="201" t="str">
        <f t="shared" si="58"/>
        <v>Moderado</v>
      </c>
      <c r="AG67" s="202" t="s">
        <v>122</v>
      </c>
      <c r="AH67" s="216" t="s">
        <v>260</v>
      </c>
      <c r="AI67" s="161" t="s">
        <v>299</v>
      </c>
      <c r="AJ67" s="173">
        <v>45474</v>
      </c>
      <c r="AK67" s="173">
        <v>45596</v>
      </c>
      <c r="AL67" s="195" t="s">
        <v>225</v>
      </c>
      <c r="AM67" s="166" t="s">
        <v>688</v>
      </c>
      <c r="AN67" s="166" t="s">
        <v>689</v>
      </c>
      <c r="AO67" s="158">
        <v>1</v>
      </c>
      <c r="AP67" s="166" t="s">
        <v>690</v>
      </c>
      <c r="AQ67" s="166" t="s">
        <v>691</v>
      </c>
      <c r="AR67" s="158">
        <v>0.75</v>
      </c>
      <c r="AS67" s="159"/>
      <c r="AT67" s="159" t="s">
        <v>587</v>
      </c>
      <c r="AU67" s="160" t="s">
        <v>589</v>
      </c>
      <c r="AV67" s="160" t="s">
        <v>589</v>
      </c>
      <c r="AW67" s="160" t="s">
        <v>589</v>
      </c>
      <c r="AX67" s="161" t="s">
        <v>825</v>
      </c>
    </row>
    <row r="68" spans="1:50" s="93" customFormat="1" ht="151.5" customHeight="1" x14ac:dyDescent="0.3">
      <c r="A68" s="365"/>
      <c r="B68" s="395"/>
      <c r="C68" s="390"/>
      <c r="D68" s="390"/>
      <c r="E68" s="388"/>
      <c r="F68" s="388"/>
      <c r="G68" s="388"/>
      <c r="H68" s="373"/>
      <c r="I68" s="388"/>
      <c r="J68" s="381"/>
      <c r="K68" s="383"/>
      <c r="L68" s="375"/>
      <c r="M68" s="386"/>
      <c r="N68" s="136"/>
      <c r="O68" s="383"/>
      <c r="P68" s="375"/>
      <c r="Q68" s="378"/>
      <c r="R68" s="89">
        <v>2</v>
      </c>
      <c r="S68" s="195" t="s">
        <v>434</v>
      </c>
      <c r="T68" s="196" t="str">
        <f t="shared" si="53"/>
        <v>Probabilidad</v>
      </c>
      <c r="U68" s="197" t="s">
        <v>14</v>
      </c>
      <c r="V68" s="197" t="s">
        <v>9</v>
      </c>
      <c r="W68" s="198" t="str">
        <f t="shared" ref="W68:W69" si="65">IF(AND(U68="Preventivo",V68="Automático"),"50%",IF(AND(U68="Preventivo",V68="Manual"),"40%",IF(AND(U68="Detectivo",V68="Automático"),"40%",IF(AND(U68="Detectivo",V68="Manual"),"30%",IF(AND(U68="Correctivo",V68="Automático"),"35%",IF(AND(U68="Correctivo",V68="Manual"),"25%",""))))))</f>
        <v>40%</v>
      </c>
      <c r="X68" s="197" t="s">
        <v>19</v>
      </c>
      <c r="Y68" s="197" t="s">
        <v>22</v>
      </c>
      <c r="Z68" s="197" t="s">
        <v>110</v>
      </c>
      <c r="AA68" s="90">
        <f>IFERROR(IF(T68="Probabilidad",(AA67-(+AA67*W68)),IF(T68="Impacto",L68,"")),"")</f>
        <v>0.28799999999999998</v>
      </c>
      <c r="AB68" s="199" t="str">
        <f t="shared" si="54"/>
        <v>Baja</v>
      </c>
      <c r="AC68" s="200">
        <f t="shared" si="55"/>
        <v>0.28799999999999998</v>
      </c>
      <c r="AD68" s="199" t="str">
        <f t="shared" si="56"/>
        <v>Mayor</v>
      </c>
      <c r="AE68" s="200">
        <v>0.8</v>
      </c>
      <c r="AF68" s="201" t="str">
        <f t="shared" si="58"/>
        <v>Alto</v>
      </c>
      <c r="AG68" s="202" t="s">
        <v>122</v>
      </c>
      <c r="AH68" s="195" t="s">
        <v>686</v>
      </c>
      <c r="AI68" s="160"/>
      <c r="AJ68" s="159"/>
      <c r="AK68" s="159"/>
      <c r="AL68" s="195" t="s">
        <v>686</v>
      </c>
      <c r="AM68" s="166" t="s">
        <v>692</v>
      </c>
      <c r="AN68" s="166" t="s">
        <v>693</v>
      </c>
      <c r="AO68" s="158">
        <v>1</v>
      </c>
      <c r="AP68" s="177" t="s">
        <v>589</v>
      </c>
      <c r="AQ68" s="177" t="s">
        <v>589</v>
      </c>
      <c r="AR68" s="158" t="s">
        <v>686</v>
      </c>
      <c r="AS68" s="159"/>
      <c r="AT68" s="159" t="s">
        <v>587</v>
      </c>
      <c r="AU68" s="160" t="s">
        <v>589</v>
      </c>
      <c r="AV68" s="160" t="s">
        <v>589</v>
      </c>
      <c r="AW68" s="160" t="s">
        <v>589</v>
      </c>
      <c r="AX68" s="161" t="s">
        <v>755</v>
      </c>
    </row>
    <row r="69" spans="1:50" s="93" customFormat="1" ht="151.5" customHeight="1" x14ac:dyDescent="0.3">
      <c r="A69" s="365"/>
      <c r="B69" s="396"/>
      <c r="C69" s="390"/>
      <c r="D69" s="390"/>
      <c r="E69" s="388"/>
      <c r="F69" s="388"/>
      <c r="G69" s="388"/>
      <c r="H69" s="373"/>
      <c r="I69" s="388"/>
      <c r="J69" s="381"/>
      <c r="K69" s="384"/>
      <c r="L69" s="376"/>
      <c r="M69" s="386"/>
      <c r="N69" s="136"/>
      <c r="O69" s="384"/>
      <c r="P69" s="376"/>
      <c r="Q69" s="379"/>
      <c r="R69" s="89">
        <v>3</v>
      </c>
      <c r="S69" s="195" t="s">
        <v>523</v>
      </c>
      <c r="T69" s="196" t="str">
        <f t="shared" si="53"/>
        <v>Probabilidad</v>
      </c>
      <c r="U69" s="197" t="s">
        <v>14</v>
      </c>
      <c r="V69" s="197" t="s">
        <v>9</v>
      </c>
      <c r="W69" s="198" t="str">
        <f t="shared" si="65"/>
        <v>40%</v>
      </c>
      <c r="X69" s="197" t="s">
        <v>19</v>
      </c>
      <c r="Y69" s="197" t="s">
        <v>22</v>
      </c>
      <c r="Z69" s="197" t="s">
        <v>110</v>
      </c>
      <c r="AA69" s="90">
        <f>IFERROR(IF(T69="Probabilidad",(AA68-(+AA68*W69)),IF(T69="Impacto",L69,"")),"")</f>
        <v>0.17279999999999998</v>
      </c>
      <c r="AB69" s="199" t="str">
        <f t="shared" si="54"/>
        <v>Muy Baja</v>
      </c>
      <c r="AC69" s="200">
        <f t="shared" si="55"/>
        <v>0.17279999999999998</v>
      </c>
      <c r="AD69" s="199" t="str">
        <f t="shared" si="56"/>
        <v>Leve</v>
      </c>
      <c r="AE69" s="200">
        <f>IFERROR(IF(T69="Impacto",(P69-(+P69*W69)),IF(T69="Probabilidad",P69,"")),"")</f>
        <v>0</v>
      </c>
      <c r="AF69" s="201" t="str">
        <f t="shared" si="58"/>
        <v>Bajo</v>
      </c>
      <c r="AG69" s="202" t="s">
        <v>122</v>
      </c>
      <c r="AH69" s="195" t="s">
        <v>686</v>
      </c>
      <c r="AI69" s="160"/>
      <c r="AJ69" s="159"/>
      <c r="AK69" s="159"/>
      <c r="AL69" s="195" t="s">
        <v>686</v>
      </c>
      <c r="AM69" s="166" t="s">
        <v>694</v>
      </c>
      <c r="AN69" s="166" t="s">
        <v>774</v>
      </c>
      <c r="AO69" s="158">
        <v>1</v>
      </c>
      <c r="AP69" s="177" t="s">
        <v>589</v>
      </c>
      <c r="AQ69" s="177" t="s">
        <v>589</v>
      </c>
      <c r="AR69" s="158" t="s">
        <v>686</v>
      </c>
      <c r="AS69" s="159"/>
      <c r="AT69" s="159" t="s">
        <v>587</v>
      </c>
      <c r="AU69" s="160" t="s">
        <v>589</v>
      </c>
      <c r="AV69" s="160" t="s">
        <v>589</v>
      </c>
      <c r="AW69" s="160" t="s">
        <v>589</v>
      </c>
      <c r="AX69" s="161" t="s">
        <v>755</v>
      </c>
    </row>
    <row r="70" spans="1:50" s="93" customFormat="1" ht="151.5" customHeight="1" x14ac:dyDescent="0.3">
      <c r="A70" s="365">
        <f>1+A67</f>
        <v>21</v>
      </c>
      <c r="B70" s="394" t="s">
        <v>215</v>
      </c>
      <c r="C70" s="389" t="s">
        <v>357</v>
      </c>
      <c r="D70" s="389" t="s">
        <v>358</v>
      </c>
      <c r="E70" s="387" t="s">
        <v>120</v>
      </c>
      <c r="F70" s="393" t="s">
        <v>513</v>
      </c>
      <c r="G70" s="393" t="s">
        <v>514</v>
      </c>
      <c r="H70" s="372" t="s">
        <v>360</v>
      </c>
      <c r="I70" s="387" t="s">
        <v>218</v>
      </c>
      <c r="J70" s="380">
        <v>35</v>
      </c>
      <c r="K70" s="382" t="str">
        <f>IF(J70&lt;=0,"",IF(J70&lt;=2,"Muy Baja",IF(J70&lt;=24,"Baja",IF(J70&lt;=500,"Media",IF(J70&lt;=5000,"Alta","Muy Alta")))))</f>
        <v>Media</v>
      </c>
      <c r="L70" s="374">
        <f>IF(K70="","",IF(K70="Muy Baja",0.2,IF(K70="Baja",0.4,IF(K70="Media",0.6,IF(K70="Alta",0.8,IF(K70="Muy Alta",1,))))))</f>
        <v>0.6</v>
      </c>
      <c r="M70" s="385" t="s">
        <v>255</v>
      </c>
      <c r="N70" s="135" t="str">
        <f>IF(NOT(ISERROR(MATCH(M70,'Tabla Impacto'!$B$221:$B$223,0))),'Tabla Impacto'!$F$223&amp;"Por favor no seleccionar los criterios de impacto(Afectación Económica o presupuestal y Pérdida Reputacional)",M70)</f>
        <v xml:space="preserve"> El riesgo afecta la imagen de la entidad internamente, de conocimiento general, nivel interno, de junta directiva y accionistas y/o de proveedores</v>
      </c>
      <c r="O70" s="382" t="str">
        <f>IF(OR(N70='Tabla Impacto'!$C$11,N70='Tabla Impacto'!$D$11),"Leve",IF(OR(N70='Tabla Impacto'!$C$12,N70='Tabla Impacto'!$D$12),"Menor",IF(OR(N70='Tabla Impacto'!$C$13,N70='Tabla Impacto'!$D$13),"Moderado",IF(OR(N70='Tabla Impacto'!$C$14,N70='Tabla Impacto'!$D$14),"Mayor",IF(OR(N70='Tabla Impacto'!$C$15,N70='Tabla Impacto'!$D$15),"Catastrófico","")))))</f>
        <v>Menor</v>
      </c>
      <c r="P70" s="374">
        <f>IF(O70="","",IF(O70="Leve",0.2,IF(O70="Menor",0.4,IF(O70="Moderado",0.6,IF(O70="Mayor",0.8,IF(O70="Catastrófico",1,))))))</f>
        <v>0.4</v>
      </c>
      <c r="Q70" s="377" t="str">
        <f>IF(OR(AND(K70="Muy Baja",O70="Leve"),AND(K70="Muy Baja",O70="Menor"),AND(K70="Baja",O70="Leve")),"Bajo",IF(OR(AND(K70="Muy baja",O70="Moderado"),AND(K70="Baja",O70="Menor"),AND(K70="Baja",O70="Moderado"),AND(K70="Media",O70="Leve"),AND(K70="Media",O70="Menor"),AND(K70="Media",O70="Moderado"),AND(K70="Alta",O70="Leve"),AND(K70="Alta",O70="Menor")),"Moderado",IF(OR(AND(K70="Muy Baja",O70="Mayor"),AND(K70="Baja",O70="Mayor"),AND(K70="Media",O70="Mayor"),AND(K70="Alta",O70="Moderado"),AND(K70="Alta",O70="Mayor"),AND(K70="Muy Alta",O70="Leve"),AND(K70="Muy Alta",O70="Menor"),AND(K70="Muy Alta",O70="Moderado"),AND(K70="Muy Alta",O70="Mayor")),"Alto",IF(OR(AND(K70="Muy Baja",O70="Catastrófico"),AND(K70="Baja",O70="Catastrófico"),AND(K70="Media",O70="Catastrófico"),AND(K70="Alta",O70="Catastrófico"),AND(K70="Muy Alta",O70="Catastrófico")),"Extremo",""))))</f>
        <v>Moderado</v>
      </c>
      <c r="R70" s="89">
        <v>1</v>
      </c>
      <c r="S70" s="195" t="s">
        <v>524</v>
      </c>
      <c r="T70" s="196" t="str">
        <f t="shared" si="53"/>
        <v>Probabilidad</v>
      </c>
      <c r="U70" s="197" t="s">
        <v>14</v>
      </c>
      <c r="V70" s="197" t="s">
        <v>9</v>
      </c>
      <c r="W70" s="198" t="str">
        <f>IF(AND(U70="Preventivo",V70="Automático"),"50%",IF(AND(U70="Preventivo",V70="Manual"),"40%",IF(AND(U70="Detectivo",V70="Automático"),"40%",IF(AND(U70="Detectivo",V70="Manual"),"30%",IF(AND(U70="Correctivo",V70="Automático"),"35%",IF(AND(U70="Correctivo",V70="Manual"),"25%",""))))))</f>
        <v>40%</v>
      </c>
      <c r="X70" s="197" t="s">
        <v>19</v>
      </c>
      <c r="Y70" s="197" t="s">
        <v>22</v>
      </c>
      <c r="Z70" s="197" t="s">
        <v>110</v>
      </c>
      <c r="AA70" s="90">
        <f>IFERROR(IF(T70="Probabilidad",(L70-(+L70*W70)),IF(T70="Impacto",L70,"")),"")</f>
        <v>0.36</v>
      </c>
      <c r="AB70" s="199" t="str">
        <f t="shared" si="54"/>
        <v>Baja</v>
      </c>
      <c r="AC70" s="200">
        <f t="shared" si="55"/>
        <v>0.36</v>
      </c>
      <c r="AD70" s="199" t="str">
        <f t="shared" si="56"/>
        <v>Menor</v>
      </c>
      <c r="AE70" s="200">
        <f t="shared" si="59"/>
        <v>0.4</v>
      </c>
      <c r="AF70" s="201" t="str">
        <f t="shared" si="58"/>
        <v>Moderado</v>
      </c>
      <c r="AG70" s="202" t="s">
        <v>122</v>
      </c>
      <c r="AH70" s="195" t="s">
        <v>421</v>
      </c>
      <c r="AI70" s="161" t="s">
        <v>299</v>
      </c>
      <c r="AJ70" s="159" t="s">
        <v>362</v>
      </c>
      <c r="AK70" s="159" t="s">
        <v>300</v>
      </c>
      <c r="AL70" s="217" t="s">
        <v>426</v>
      </c>
      <c r="AM70" s="166" t="s">
        <v>695</v>
      </c>
      <c r="AN70" s="166" t="s">
        <v>696</v>
      </c>
      <c r="AO70" s="158">
        <v>1</v>
      </c>
      <c r="AP70" s="166" t="s">
        <v>697</v>
      </c>
      <c r="AQ70" s="166" t="s">
        <v>775</v>
      </c>
      <c r="AR70" s="158">
        <v>1</v>
      </c>
      <c r="AS70" s="159"/>
      <c r="AT70" s="159" t="s">
        <v>587</v>
      </c>
      <c r="AU70" s="160" t="s">
        <v>589</v>
      </c>
      <c r="AV70" s="160" t="s">
        <v>589</v>
      </c>
      <c r="AW70" s="160" t="s">
        <v>589</v>
      </c>
      <c r="AX70" s="161" t="s">
        <v>754</v>
      </c>
    </row>
    <row r="71" spans="1:50" s="93" customFormat="1" ht="151.5" hidden="1" customHeight="1" x14ac:dyDescent="0.3">
      <c r="A71" s="365"/>
      <c r="B71" s="395"/>
      <c r="C71" s="390"/>
      <c r="D71" s="390"/>
      <c r="E71" s="388"/>
      <c r="F71" s="397"/>
      <c r="G71" s="397"/>
      <c r="H71" s="373"/>
      <c r="I71" s="388"/>
      <c r="J71" s="381"/>
      <c r="K71" s="383"/>
      <c r="L71" s="375"/>
      <c r="M71" s="386"/>
      <c r="N71" s="136"/>
      <c r="O71" s="383"/>
      <c r="P71" s="375"/>
      <c r="Q71" s="378"/>
      <c r="R71" s="89">
        <v>2</v>
      </c>
      <c r="S71" s="195"/>
      <c r="T71" s="196"/>
      <c r="U71" s="197"/>
      <c r="V71" s="197"/>
      <c r="W71" s="198"/>
      <c r="X71" s="197"/>
      <c r="Y71" s="197"/>
      <c r="Z71" s="197"/>
      <c r="AA71" s="90"/>
      <c r="AB71" s="199"/>
      <c r="AC71" s="200"/>
      <c r="AD71" s="199"/>
      <c r="AE71" s="200"/>
      <c r="AF71" s="201"/>
      <c r="AG71" s="202"/>
      <c r="AH71" s="195"/>
      <c r="AI71" s="160"/>
      <c r="AJ71" s="159"/>
      <c r="AK71" s="159"/>
      <c r="AL71" s="217"/>
      <c r="AM71" s="177"/>
      <c r="AN71" s="177"/>
      <c r="AO71" s="160"/>
      <c r="AP71" s="177"/>
      <c r="AQ71" s="177"/>
      <c r="AR71" s="160"/>
      <c r="AS71" s="160"/>
      <c r="AT71" s="160"/>
      <c r="AU71" s="160"/>
      <c r="AV71" s="160"/>
      <c r="AW71" s="160"/>
      <c r="AX71" s="160"/>
    </row>
    <row r="72" spans="1:50" s="93" customFormat="1" ht="151.5" hidden="1" customHeight="1" x14ac:dyDescent="0.3">
      <c r="A72" s="365"/>
      <c r="B72" s="396"/>
      <c r="C72" s="390"/>
      <c r="D72" s="390"/>
      <c r="E72" s="388"/>
      <c r="F72" s="398"/>
      <c r="G72" s="398"/>
      <c r="H72" s="414"/>
      <c r="I72" s="388"/>
      <c r="J72" s="381"/>
      <c r="K72" s="384"/>
      <c r="L72" s="376"/>
      <c r="M72" s="386"/>
      <c r="N72" s="136"/>
      <c r="O72" s="384"/>
      <c r="P72" s="376"/>
      <c r="Q72" s="379"/>
      <c r="R72" s="89">
        <v>3</v>
      </c>
      <c r="S72" s="195"/>
      <c r="T72" s="196" t="str">
        <f>IF(OR(U72="Preventivo",U72="Detectivo"),"Probabilidad",IF(U72="Correctivo","Impacto",""))</f>
        <v/>
      </c>
      <c r="U72" s="197"/>
      <c r="V72" s="197"/>
      <c r="W72" s="198"/>
      <c r="X72" s="197"/>
      <c r="Y72" s="197"/>
      <c r="Z72" s="197"/>
      <c r="AA72" s="90"/>
      <c r="AB72" s="199"/>
      <c r="AC72" s="200"/>
      <c r="AD72" s="199"/>
      <c r="AE72" s="200"/>
      <c r="AF72" s="201"/>
      <c r="AG72" s="202"/>
      <c r="AH72" s="195"/>
      <c r="AI72" s="160"/>
      <c r="AJ72" s="159"/>
      <c r="AK72" s="159"/>
      <c r="AL72" s="195"/>
      <c r="AM72" s="177"/>
      <c r="AN72" s="177"/>
      <c r="AO72" s="160"/>
      <c r="AP72" s="177"/>
      <c r="AQ72" s="177"/>
      <c r="AR72" s="160"/>
      <c r="AS72" s="160"/>
      <c r="AT72" s="160"/>
      <c r="AU72" s="160"/>
      <c r="AV72" s="160"/>
      <c r="AW72" s="160"/>
      <c r="AX72" s="160"/>
    </row>
    <row r="73" spans="1:50" s="93" customFormat="1" ht="151.5" customHeight="1" x14ac:dyDescent="0.3">
      <c r="A73" s="365">
        <f>1+A70</f>
        <v>22</v>
      </c>
      <c r="B73" s="394" t="s">
        <v>215</v>
      </c>
      <c r="C73" s="389" t="s">
        <v>357</v>
      </c>
      <c r="D73" s="389" t="s">
        <v>358</v>
      </c>
      <c r="E73" s="387" t="s">
        <v>120</v>
      </c>
      <c r="F73" s="393" t="s">
        <v>515</v>
      </c>
      <c r="G73" s="393" t="s">
        <v>435</v>
      </c>
      <c r="H73" s="372" t="s">
        <v>516</v>
      </c>
      <c r="I73" s="387" t="s">
        <v>218</v>
      </c>
      <c r="J73" s="380">
        <v>35</v>
      </c>
      <c r="K73" s="382" t="str">
        <f>IF(J73&lt;=0,"",IF(J73&lt;=2,"Muy Baja",IF(J73&lt;=24,"Baja",IF(J73&lt;=500,"Media",IF(J73&lt;=5000,"Alta","Muy Alta")))))</f>
        <v>Media</v>
      </c>
      <c r="L73" s="374">
        <f>IF(K73="","",IF(K73="Muy Baja",0.2,IF(K73="Baja",0.4,IF(K73="Media",0.6,IF(K73="Alta",0.8,IF(K73="Muy Alta",1,))))))</f>
        <v>0.6</v>
      </c>
      <c r="M73" s="385" t="s">
        <v>255</v>
      </c>
      <c r="N73" s="135" t="str">
        <f>IF(NOT(ISERROR(MATCH(M73,'Tabla Impacto'!$B$221:$B$223,0))),'Tabla Impacto'!$F$223&amp;"Por favor no seleccionar los criterios de impacto(Afectación Económica o presupuestal y Pérdida Reputacional)",M73)</f>
        <v xml:space="preserve"> El riesgo afecta la imagen de la entidad internamente, de conocimiento general, nivel interno, de junta directiva y accionistas y/o de proveedores</v>
      </c>
      <c r="O73" s="382" t="str">
        <f>IF(OR(N73='Tabla Impacto'!$C$11,N73='Tabla Impacto'!$D$11),"Leve",IF(OR(N73='Tabla Impacto'!$C$12,N73='Tabla Impacto'!$D$12),"Menor",IF(OR(N73='Tabla Impacto'!$C$13,N73='Tabla Impacto'!$D$13),"Moderado",IF(OR(N73='Tabla Impacto'!$C$14,N73='Tabla Impacto'!$D$14),"Mayor",IF(OR(N73='Tabla Impacto'!$C$15,N73='Tabla Impacto'!$D$15),"Catastrófico","")))))</f>
        <v>Menor</v>
      </c>
      <c r="P73" s="374">
        <f>IF(O73="","",IF(O73="Leve",0.2,IF(O73="Menor",0.4,IF(O73="Moderado",0.6,IF(O73="Mayor",0.8,IF(O73="Catastrófico",1,))))))</f>
        <v>0.4</v>
      </c>
      <c r="Q73" s="377" t="str">
        <f>IF(OR(AND(K73="Muy Baja",O73="Leve"),AND(K73="Muy Baja",O73="Menor"),AND(K73="Baja",O73="Leve")),"Bajo",IF(OR(AND(K73="Muy baja",O73="Moderado"),AND(K73="Baja",O73="Menor"),AND(K73="Baja",O73="Moderado"),AND(K73="Media",O73="Leve"),AND(K73="Media",O73="Menor"),AND(K73="Media",O73="Moderado"),AND(K73="Alta",O73="Leve"),AND(K73="Alta",O73="Menor")),"Moderado",IF(OR(AND(K73="Muy Baja",O73="Mayor"),AND(K73="Baja",O73="Mayor"),AND(K73="Media",O73="Mayor"),AND(K73="Alta",O73="Moderado"),AND(K73="Alta",O73="Mayor"),AND(K73="Muy Alta",O73="Leve"),AND(K73="Muy Alta",O73="Menor"),AND(K73="Muy Alta",O73="Moderado"),AND(K73="Muy Alta",O73="Mayor")),"Alto",IF(OR(AND(K73="Muy Baja",O73="Catastrófico"),AND(K73="Baja",O73="Catastrófico"),AND(K73="Media",O73="Catastrófico"),AND(K73="Alta",O73="Catastrófico"),AND(K73="Muy Alta",O73="Catastrófico")),"Extremo",""))))</f>
        <v>Moderado</v>
      </c>
      <c r="R73" s="89">
        <v>1</v>
      </c>
      <c r="S73" s="195" t="s">
        <v>776</v>
      </c>
      <c r="T73" s="196" t="str">
        <f>IF(OR(U73="Preventivo",U73="Detectivo"),"Probabilidad",IF(U73="Correctivo","Impacto",""))</f>
        <v>Probabilidad</v>
      </c>
      <c r="U73" s="197" t="s">
        <v>14</v>
      </c>
      <c r="V73" s="197" t="s">
        <v>9</v>
      </c>
      <c r="W73" s="198" t="str">
        <f>IF(AND(U73="Preventivo",V73="Automático"),"50%",IF(AND(U73="Preventivo",V73="Manual"),"40%",IF(AND(U73="Detectivo",V73="Automático"),"40%",IF(AND(U73="Detectivo",V73="Manual"),"30%",IF(AND(U73="Correctivo",V73="Automático"),"35%",IF(AND(U73="Correctivo",V73="Manual"),"25%",""))))))</f>
        <v>40%</v>
      </c>
      <c r="X73" s="197" t="s">
        <v>19</v>
      </c>
      <c r="Y73" s="197" t="s">
        <v>22</v>
      </c>
      <c r="Z73" s="197" t="s">
        <v>110</v>
      </c>
      <c r="AA73" s="90">
        <f>IFERROR(IF(T73="Probabilidad",(L73-(+L73*W73)),IF(T73="Impacto",L73,"")),"")</f>
        <v>0.36</v>
      </c>
      <c r="AB73" s="199" t="str">
        <f>IFERROR(IF(AA73="","",IF(AA73&lt;=0.2,"Muy Baja",IF(AA73&lt;=0.4,"Baja",IF(AA73&lt;=0.6,"Media",IF(AA73&lt;=0.8,"Alta","Muy Alta"))))),"")</f>
        <v>Baja</v>
      </c>
      <c r="AC73" s="200">
        <f>+AA73</f>
        <v>0.36</v>
      </c>
      <c r="AD73" s="199" t="str">
        <f>IFERROR(IF(AE73="","",IF(AE73&lt;=0.2,"Leve",IF(AE73&lt;=0.4,"Menor",IF(AE73&lt;=0.6,"Moderado",IF(AE73&lt;=0.8,"Mayor","Catastrófico"))))),"")</f>
        <v>Menor</v>
      </c>
      <c r="AE73" s="200">
        <f>IFERROR(IF(T73="Impacto",(P73-(+P73*W73)),IF(T73="Probabilidad",P73,"")),"")</f>
        <v>0.4</v>
      </c>
      <c r="AF73" s="201" t="str">
        <f>IFERROR(IF(OR(AND(AB73="Muy Baja",AD73="Leve"),AND(AB73="Muy Baja",AD73="Menor"),AND(AB73="Baja",AD73="Leve")),"Bajo",IF(OR(AND(AB73="Muy baja",AD73="Moderado"),AND(AB73="Baja",AD73="Menor"),AND(AB73="Baja",AD73="Moderado"),AND(AB73="Media",AD73="Leve"),AND(AB73="Media",AD73="Menor"),AND(AB73="Media",AD73="Moderado"),AND(AB73="Alta",AD73="Leve"),AND(AB73="Alta",AD73="Menor")),"Moderado",IF(OR(AND(AB73="Muy Baja",AD73="Mayor"),AND(AB73="Baja",AD73="Mayor"),AND(AB73="Media",AD73="Mayor"),AND(AB73="Alta",AD73="Moderado"),AND(AB73="Alta",AD73="Mayor"),AND(AB73="Muy Alta",AD73="Leve"),AND(AB73="Muy Alta",AD73="Menor"),AND(AB73="Muy Alta",AD73="Moderado"),AND(AB73="Muy Alta",AD73="Mayor")),"Alto",IF(OR(AND(AB73="Muy Baja",AD73="Catastrófico"),AND(AB73="Baja",AD73="Catastrófico"),AND(AB73="Media",AD73="Catastrófico"),AND(AB73="Alta",AD73="Catastrófico"),AND(AB73="Muy Alta",AD73="Catastrófico")),"Extremo","")))),"")</f>
        <v>Moderado</v>
      </c>
      <c r="AG73" s="202" t="s">
        <v>122</v>
      </c>
      <c r="AH73" s="195" t="s">
        <v>517</v>
      </c>
      <c r="AI73" s="160" t="s">
        <v>203</v>
      </c>
      <c r="AJ73" s="159" t="s">
        <v>283</v>
      </c>
      <c r="AK73" s="159" t="s">
        <v>206</v>
      </c>
      <c r="AL73" s="195" t="s">
        <v>233</v>
      </c>
      <c r="AM73" s="166" t="s">
        <v>777</v>
      </c>
      <c r="AN73" s="166" t="s">
        <v>778</v>
      </c>
      <c r="AO73" s="158">
        <v>1</v>
      </c>
      <c r="AP73" s="166" t="s">
        <v>698</v>
      </c>
      <c r="AQ73" s="166" t="s">
        <v>779</v>
      </c>
      <c r="AR73" s="158">
        <v>1</v>
      </c>
      <c r="AS73" s="159"/>
      <c r="AT73" s="159" t="s">
        <v>587</v>
      </c>
      <c r="AU73" s="160" t="s">
        <v>589</v>
      </c>
      <c r="AV73" s="160" t="s">
        <v>589</v>
      </c>
      <c r="AW73" s="160" t="s">
        <v>589</v>
      </c>
      <c r="AX73" s="161" t="s">
        <v>754</v>
      </c>
    </row>
    <row r="74" spans="1:50" s="93" customFormat="1" ht="151.5" hidden="1" customHeight="1" x14ac:dyDescent="0.3">
      <c r="A74" s="365"/>
      <c r="B74" s="395"/>
      <c r="C74" s="390"/>
      <c r="D74" s="390"/>
      <c r="E74" s="388"/>
      <c r="F74" s="397"/>
      <c r="G74" s="397"/>
      <c r="H74" s="373"/>
      <c r="I74" s="388"/>
      <c r="J74" s="381"/>
      <c r="K74" s="383"/>
      <c r="L74" s="375"/>
      <c r="M74" s="386"/>
      <c r="N74" s="136"/>
      <c r="O74" s="383"/>
      <c r="P74" s="375"/>
      <c r="Q74" s="378"/>
      <c r="R74" s="89">
        <v>2</v>
      </c>
      <c r="S74" s="195"/>
      <c r="T74" s="196"/>
      <c r="U74" s="197"/>
      <c r="V74" s="197"/>
      <c r="W74" s="198"/>
      <c r="X74" s="197"/>
      <c r="Y74" s="197"/>
      <c r="Z74" s="197"/>
      <c r="AA74" s="90"/>
      <c r="AB74" s="199"/>
      <c r="AC74" s="200"/>
      <c r="AD74" s="199"/>
      <c r="AE74" s="200"/>
      <c r="AF74" s="201"/>
      <c r="AG74" s="202"/>
      <c r="AH74" s="195"/>
      <c r="AI74" s="160"/>
      <c r="AJ74" s="159"/>
      <c r="AK74" s="159"/>
      <c r="AL74" s="195"/>
      <c r="AM74" s="166"/>
      <c r="AN74" s="166"/>
      <c r="AO74" s="158"/>
      <c r="AP74" s="166"/>
      <c r="AQ74" s="166"/>
      <c r="AR74" s="158"/>
      <c r="AS74" s="159"/>
      <c r="AT74" s="159" t="s">
        <v>587</v>
      </c>
      <c r="AU74" s="160" t="s">
        <v>589</v>
      </c>
      <c r="AV74" s="160" t="s">
        <v>589</v>
      </c>
      <c r="AW74" s="160" t="s">
        <v>589</v>
      </c>
      <c r="AX74" s="160"/>
    </row>
    <row r="75" spans="1:50" s="93" customFormat="1" ht="151.5" hidden="1" customHeight="1" x14ac:dyDescent="0.3">
      <c r="A75" s="365"/>
      <c r="B75" s="396"/>
      <c r="C75" s="390"/>
      <c r="D75" s="390"/>
      <c r="E75" s="388"/>
      <c r="F75" s="398"/>
      <c r="G75" s="398"/>
      <c r="H75" s="373"/>
      <c r="I75" s="388"/>
      <c r="J75" s="381"/>
      <c r="K75" s="384"/>
      <c r="L75" s="376"/>
      <c r="M75" s="386"/>
      <c r="N75" s="136"/>
      <c r="O75" s="384"/>
      <c r="P75" s="376"/>
      <c r="Q75" s="379"/>
      <c r="R75" s="89">
        <v>3</v>
      </c>
      <c r="S75" s="195"/>
      <c r="T75" s="196"/>
      <c r="U75" s="197"/>
      <c r="V75" s="197"/>
      <c r="W75" s="198"/>
      <c r="X75" s="197"/>
      <c r="Y75" s="197"/>
      <c r="Z75" s="197"/>
      <c r="AA75" s="90"/>
      <c r="AB75" s="199"/>
      <c r="AC75" s="200"/>
      <c r="AD75" s="199"/>
      <c r="AE75" s="200"/>
      <c r="AF75" s="201"/>
      <c r="AG75" s="202"/>
      <c r="AH75" s="195"/>
      <c r="AI75" s="160"/>
      <c r="AJ75" s="159"/>
      <c r="AK75" s="159"/>
      <c r="AL75" s="195"/>
      <c r="AM75" s="166"/>
      <c r="AN75" s="166"/>
      <c r="AO75" s="158"/>
      <c r="AP75" s="166"/>
      <c r="AQ75" s="166"/>
      <c r="AR75" s="158"/>
      <c r="AS75" s="159"/>
      <c r="AT75" s="159" t="s">
        <v>587</v>
      </c>
      <c r="AU75" s="160" t="s">
        <v>589</v>
      </c>
      <c r="AV75" s="160" t="s">
        <v>589</v>
      </c>
      <c r="AW75" s="160" t="s">
        <v>589</v>
      </c>
      <c r="AX75" s="160"/>
    </row>
    <row r="76" spans="1:50" s="108" customFormat="1" ht="151.5" customHeight="1" x14ac:dyDescent="0.3">
      <c r="A76" s="365">
        <f>1+A73</f>
        <v>23</v>
      </c>
      <c r="B76" s="394" t="s">
        <v>215</v>
      </c>
      <c r="C76" s="389" t="s">
        <v>357</v>
      </c>
      <c r="D76" s="389" t="s">
        <v>358</v>
      </c>
      <c r="E76" s="387" t="s">
        <v>120</v>
      </c>
      <c r="F76" s="393" t="s">
        <v>518</v>
      </c>
      <c r="G76" s="393" t="s">
        <v>519</v>
      </c>
      <c r="H76" s="372" t="s">
        <v>361</v>
      </c>
      <c r="I76" s="387" t="s">
        <v>218</v>
      </c>
      <c r="J76" s="402">
        <v>35</v>
      </c>
      <c r="K76" s="407" t="str">
        <f>IF(J76&lt;=0,"",IF(J76&lt;=2,"Muy Baja",IF(J76&lt;=24,"Baja",IF(J76&lt;=500,"Media",IF(J76&lt;=5000,"Alta","Muy Alta")))))</f>
        <v>Media</v>
      </c>
      <c r="L76" s="410">
        <f>IF(K76="","",IF(K76="Muy Baja",0.2,IF(K76="Baja",0.4,IF(K76="Media",0.6,IF(K76="Alta",0.8,IF(K76="Muy Alta",1,))))))</f>
        <v>0.6</v>
      </c>
      <c r="M76" s="385" t="s">
        <v>255</v>
      </c>
      <c r="N76" s="137" t="str">
        <f>IF(NOT(ISERROR(MATCH(M76,'Tabla Impacto'!$B$221:$B$223,0))),'Tabla Impacto'!$F$223&amp;"Por favor no seleccionar los criterios de impacto(Afectación Económica o presupuestal y Pérdida Reputacional)",M76)</f>
        <v xml:space="preserve"> El riesgo afecta la imagen de la entidad internamente, de conocimiento general, nivel interno, de junta directiva y accionistas y/o de proveedores</v>
      </c>
      <c r="O76" s="407" t="str">
        <f>IF(OR(N76='Tabla Impacto'!$C$11,N76='Tabla Impacto'!$D$11),"Leve",IF(OR(N76='Tabla Impacto'!$C$12,N76='Tabla Impacto'!$D$12),"Menor",IF(OR(N76='Tabla Impacto'!$C$13,N76='Tabla Impacto'!$D$13),"Moderado",IF(OR(N76='Tabla Impacto'!$C$14,N76='Tabla Impacto'!$D$14),"Mayor",IF(OR(N76='Tabla Impacto'!$C$15,N76='Tabla Impacto'!$D$15),"Catastrófico","")))))</f>
        <v>Menor</v>
      </c>
      <c r="P76" s="410">
        <f>IF(O76="","",IF(O76="Leve",0.2,IF(O76="Menor",0.4,IF(O76="Moderado",0.6,IF(O76="Mayor",0.8,IF(O76="Catastrófico",1,))))))</f>
        <v>0.4</v>
      </c>
      <c r="Q76" s="399" t="str">
        <f>IF(OR(AND(K76="Muy Baja",O76="Leve"),AND(K76="Muy Baja",O76="Menor"),AND(K76="Baja",O76="Leve")),"Bajo",IF(OR(AND(K76="Muy baja",O76="Moderado"),AND(K76="Baja",O76="Menor"),AND(K76="Baja",O76="Moderado"),AND(K76="Media",O76="Leve"),AND(K76="Media",O76="Menor"),AND(K76="Media",O76="Moderado"),AND(K76="Alta",O76="Leve"),AND(K76="Alta",O76="Menor")),"Moderado",IF(OR(AND(K76="Muy Baja",O76="Mayor"),AND(K76="Baja",O76="Mayor"),AND(K76="Media",O76="Mayor"),AND(K76="Alta",O76="Moderado"),AND(K76="Alta",O76="Mayor"),AND(K76="Muy Alta",O76="Leve"),AND(K76="Muy Alta",O76="Menor"),AND(K76="Muy Alta",O76="Moderado"),AND(K76="Muy Alta",O76="Mayor")),"Alto",IF(OR(AND(K76="Muy Baja",O76="Catastrófico"),AND(K76="Baja",O76="Catastrófico"),AND(K76="Media",O76="Catastrófico"),AND(K76="Alta",O76="Catastrófico"),AND(K76="Muy Alta",O76="Catastrófico")),"Extremo",""))))</f>
        <v>Moderado</v>
      </c>
      <c r="R76" s="105">
        <v>1</v>
      </c>
      <c r="S76" s="203" t="s">
        <v>520</v>
      </c>
      <c r="T76" s="205" t="str">
        <f t="shared" ref="T76:T82" si="66">IF(OR(U76="Preventivo",U76="Detectivo"),"Probabilidad",IF(U76="Correctivo","Impacto",""))</f>
        <v>Probabilidad</v>
      </c>
      <c r="U76" s="206" t="s">
        <v>14</v>
      </c>
      <c r="V76" s="206" t="s">
        <v>9</v>
      </c>
      <c r="W76" s="207" t="str">
        <f t="shared" ref="W76:W82" si="67">IF(AND(U76="Preventivo",V76="Automático"),"50%",IF(AND(U76="Preventivo",V76="Manual"),"40%",IF(AND(U76="Detectivo",V76="Automático"),"40%",IF(AND(U76="Detectivo",V76="Manual"),"30%",IF(AND(U76="Correctivo",V76="Automático"),"35%",IF(AND(U76="Correctivo",V76="Manual"),"25%",""))))))</f>
        <v>40%</v>
      </c>
      <c r="X76" s="206" t="s">
        <v>19</v>
      </c>
      <c r="Y76" s="206" t="s">
        <v>22</v>
      </c>
      <c r="Z76" s="206" t="s">
        <v>110</v>
      </c>
      <c r="AA76" s="92">
        <f>IFERROR(IF(T76="Probabilidad",(L76-(+L76*W76)),IF(T76="Impacto",L76,"")),"")</f>
        <v>0.36</v>
      </c>
      <c r="AB76" s="208" t="str">
        <f t="shared" ref="AB76:AB82" si="68">IFERROR(IF(AA76="","",IF(AA76&lt;=0.2,"Muy Baja",IF(AA76&lt;=0.4,"Baja",IF(AA76&lt;=0.6,"Media",IF(AA76&lt;=0.8,"Alta","Muy Alta"))))),"")</f>
        <v>Baja</v>
      </c>
      <c r="AC76" s="209">
        <f t="shared" ref="AC76:AC82" si="69">+AA76</f>
        <v>0.36</v>
      </c>
      <c r="AD76" s="208" t="str">
        <f t="shared" ref="AD76:AD82" si="70">IFERROR(IF(AE76="","",IF(AE76&lt;=0.2,"Leve",IF(AE76&lt;=0.4,"Menor",IF(AE76&lt;=0.6,"Moderado",IF(AE76&lt;=0.8,"Mayor","Catastrófico"))))),"")</f>
        <v>Menor</v>
      </c>
      <c r="AE76" s="209">
        <f>IFERROR(IF(T76="Impacto",(P76-(+P76*W76)),IF(T76="Probabilidad",P76,"")),"")</f>
        <v>0.4</v>
      </c>
      <c r="AF76" s="210" t="str">
        <f t="shared" ref="AF76:AF82" si="71">IFERROR(IF(OR(AND(AB76="Muy Baja",AD76="Leve"),AND(AB76="Muy Baja",AD76="Menor"),AND(AB76="Baja",AD76="Leve")),"Bajo",IF(OR(AND(AB76="Muy baja",AD76="Moderado"),AND(AB76="Baja",AD76="Menor"),AND(AB76="Baja",AD76="Moderado"),AND(AB76="Media",AD76="Leve"),AND(AB76="Media",AD76="Menor"),AND(AB76="Media",AD76="Moderado"),AND(AB76="Alta",AD76="Leve"),AND(AB76="Alta",AD76="Menor")),"Moderado",IF(OR(AND(AB76="Muy Baja",AD76="Mayor"),AND(AB76="Baja",AD76="Mayor"),AND(AB76="Media",AD76="Mayor"),AND(AB76="Alta",AD76="Moderado"),AND(AB76="Alta",AD76="Mayor"),AND(AB76="Muy Alta",AD76="Leve"),AND(AB76="Muy Alta",AD76="Menor"),AND(AB76="Muy Alta",AD76="Moderado"),AND(AB76="Muy Alta",AD76="Mayor")),"Alto",IF(OR(AND(AB76="Muy Baja",AD76="Catastrófico"),AND(AB76="Baja",AD76="Catastrófico"),AND(AB76="Media",AD76="Catastrófico"),AND(AB76="Alta",AD76="Catastrófico"),AND(AB76="Muy Alta",AD76="Catastrófico")),"Extremo","")))),"")</f>
        <v>Moderado</v>
      </c>
      <c r="AG76" s="211" t="s">
        <v>122</v>
      </c>
      <c r="AH76" s="203" t="s">
        <v>521</v>
      </c>
      <c r="AI76" s="161" t="s">
        <v>299</v>
      </c>
      <c r="AJ76" s="159" t="s">
        <v>362</v>
      </c>
      <c r="AK76" s="159" t="s">
        <v>300</v>
      </c>
      <c r="AL76" s="195" t="s">
        <v>233</v>
      </c>
      <c r="AM76" s="181" t="s">
        <v>699</v>
      </c>
      <c r="AN76" s="181" t="s">
        <v>700</v>
      </c>
      <c r="AO76" s="172">
        <v>1</v>
      </c>
      <c r="AP76" s="181" t="s">
        <v>701</v>
      </c>
      <c r="AQ76" s="181" t="s">
        <v>702</v>
      </c>
      <c r="AR76" s="172">
        <v>1</v>
      </c>
      <c r="AS76" s="173"/>
      <c r="AT76" s="173" t="s">
        <v>587</v>
      </c>
      <c r="AU76" s="174" t="s">
        <v>589</v>
      </c>
      <c r="AV76" s="174" t="s">
        <v>589</v>
      </c>
      <c r="AW76" s="174" t="s">
        <v>589</v>
      </c>
      <c r="AX76" s="161" t="s">
        <v>754</v>
      </c>
    </row>
    <row r="77" spans="1:50" s="108" customFormat="1" ht="151.5" hidden="1" customHeight="1" x14ac:dyDescent="0.3">
      <c r="A77" s="365"/>
      <c r="B77" s="395"/>
      <c r="C77" s="390"/>
      <c r="D77" s="390"/>
      <c r="E77" s="388"/>
      <c r="F77" s="397"/>
      <c r="G77" s="397"/>
      <c r="H77" s="373"/>
      <c r="I77" s="388"/>
      <c r="J77" s="403"/>
      <c r="K77" s="408"/>
      <c r="L77" s="411"/>
      <c r="M77" s="386"/>
      <c r="N77" s="138"/>
      <c r="O77" s="408"/>
      <c r="P77" s="411"/>
      <c r="Q77" s="400"/>
      <c r="R77" s="105">
        <v>2</v>
      </c>
      <c r="S77" s="218"/>
      <c r="T77" s="219"/>
      <c r="U77" s="220"/>
      <c r="V77" s="220"/>
      <c r="W77" s="221"/>
      <c r="X77" s="220"/>
      <c r="Y77" s="220"/>
      <c r="Z77" s="220"/>
      <c r="AA77" s="222"/>
      <c r="AB77" s="223"/>
      <c r="AC77" s="224"/>
      <c r="AD77" s="223"/>
      <c r="AE77" s="224"/>
      <c r="AF77" s="225"/>
      <c r="AG77" s="226"/>
      <c r="AH77" s="218"/>
      <c r="AI77" s="227"/>
      <c r="AJ77" s="228"/>
      <c r="AK77" s="228"/>
      <c r="AL77" s="218"/>
      <c r="AM77" s="177"/>
      <c r="AN77" s="177"/>
      <c r="AO77" s="160"/>
      <c r="AP77" s="177"/>
      <c r="AQ77" s="177"/>
      <c r="AR77" s="160"/>
      <c r="AS77" s="160"/>
      <c r="AT77" s="160"/>
      <c r="AU77" s="160"/>
      <c r="AV77" s="160"/>
      <c r="AW77" s="160"/>
      <c r="AX77" s="160"/>
    </row>
    <row r="78" spans="1:50" s="108" customFormat="1" ht="151.5" hidden="1" customHeight="1" x14ac:dyDescent="0.3">
      <c r="A78" s="365"/>
      <c r="B78" s="396"/>
      <c r="C78" s="390"/>
      <c r="D78" s="390"/>
      <c r="E78" s="388"/>
      <c r="F78" s="398"/>
      <c r="G78" s="398"/>
      <c r="H78" s="373"/>
      <c r="I78" s="388"/>
      <c r="J78" s="403"/>
      <c r="K78" s="409"/>
      <c r="L78" s="412"/>
      <c r="M78" s="386"/>
      <c r="N78" s="138"/>
      <c r="O78" s="409"/>
      <c r="P78" s="412"/>
      <c r="Q78" s="401"/>
      <c r="R78" s="105">
        <v>3</v>
      </c>
      <c r="S78" s="218"/>
      <c r="T78" s="219"/>
      <c r="U78" s="220"/>
      <c r="V78" s="220"/>
      <c r="W78" s="221"/>
      <c r="X78" s="220"/>
      <c r="Y78" s="220"/>
      <c r="Z78" s="220"/>
      <c r="AA78" s="222"/>
      <c r="AB78" s="223"/>
      <c r="AC78" s="224"/>
      <c r="AD78" s="223"/>
      <c r="AE78" s="224"/>
      <c r="AF78" s="225"/>
      <c r="AG78" s="226"/>
      <c r="AH78" s="218"/>
      <c r="AI78" s="227"/>
      <c r="AJ78" s="228"/>
      <c r="AK78" s="228"/>
      <c r="AL78" s="218"/>
      <c r="AM78" s="177"/>
      <c r="AN78" s="177"/>
      <c r="AO78" s="160"/>
      <c r="AP78" s="177"/>
      <c r="AQ78" s="177"/>
      <c r="AR78" s="160"/>
      <c r="AS78" s="160"/>
      <c r="AT78" s="160"/>
      <c r="AU78" s="160"/>
      <c r="AV78" s="160"/>
      <c r="AW78" s="160"/>
      <c r="AX78" s="160"/>
    </row>
    <row r="79" spans="1:50" s="93" customFormat="1" ht="151.5" customHeight="1" x14ac:dyDescent="0.3">
      <c r="A79" s="365">
        <f>1+A76</f>
        <v>24</v>
      </c>
      <c r="B79" s="394" t="s">
        <v>234</v>
      </c>
      <c r="C79" s="389" t="s">
        <v>363</v>
      </c>
      <c r="D79" s="389" t="s">
        <v>364</v>
      </c>
      <c r="E79" s="387" t="s">
        <v>120</v>
      </c>
      <c r="F79" s="391" t="s">
        <v>365</v>
      </c>
      <c r="G79" s="391" t="s">
        <v>366</v>
      </c>
      <c r="H79" s="372" t="s">
        <v>367</v>
      </c>
      <c r="I79" s="387" t="s">
        <v>218</v>
      </c>
      <c r="J79" s="380">
        <v>60</v>
      </c>
      <c r="K79" s="382" t="str">
        <f>IF(J79&lt;=0,"",IF(J79&lt;=2,"Muy Baja",IF(J79&lt;=24,"Baja",IF(J79&lt;=500,"Media",IF(J79&lt;=5000,"Alta","Muy Alta")))))</f>
        <v>Media</v>
      </c>
      <c r="L79" s="374">
        <f>IF(K79="","",IF(K79="Muy Baja",0.2,IF(K79="Baja",0.4,IF(K79="Media",0.6,IF(K79="Alta",0.8,IF(K79="Muy Alta",1,))))))</f>
        <v>0.6</v>
      </c>
      <c r="M79" s="385" t="s">
        <v>250</v>
      </c>
      <c r="N79" s="135" t="str">
        <f>IF(NOT(ISERROR(MATCH(M79,'Tabla Impacto'!$B$221:$B$223,0))),'Tabla Impacto'!$F$223&amp;"Por favor no seleccionar los criterios de impacto(Afectación Económica o presupuestal y Pérdida Reputacional)",M79)</f>
        <v xml:space="preserve"> El riesgo afecta la imagen de la entidad con algunos usuarios de relevancia frente al logro de los objetivos</v>
      </c>
      <c r="O79" s="382" t="str">
        <f>IF(OR(N79='Tabla Impacto'!$C$11,N79='Tabla Impacto'!$D$11),"Leve",IF(OR(N79='Tabla Impacto'!$C$12,N79='Tabla Impacto'!$D$12),"Menor",IF(OR(N79='Tabla Impacto'!$C$13,N79='Tabla Impacto'!$D$13),"Moderado",IF(OR(N79='Tabla Impacto'!$C$14,N79='Tabla Impacto'!$D$14),"Mayor",IF(OR(N79='Tabla Impacto'!$C$15,N79='Tabla Impacto'!$D$15),"Catastrófico","")))))</f>
        <v>Moderado</v>
      </c>
      <c r="P79" s="374">
        <f>IF(O79="","",IF(O79="Leve",0.2,IF(O79="Menor",0.4,IF(O79="Moderado",0.6,IF(O79="Mayor",0.8,IF(O79="Catastrófico",1,))))))</f>
        <v>0.6</v>
      </c>
      <c r="Q79" s="377" t="str">
        <f>IF(OR(AND(K79="Muy Baja",O79="Leve"),AND(K79="Muy Baja",O79="Menor"),AND(K79="Baja",O79="Leve")),"Bajo",IF(OR(AND(K79="Muy baja",O79="Moderado"),AND(K79="Baja",O79="Menor"),AND(K79="Baja",O79="Moderado"),AND(K79="Media",O79="Leve"),AND(K79="Media",O79="Menor"),AND(K79="Media",O79="Moderado"),AND(K79="Alta",O79="Leve"),AND(K79="Alta",O79="Menor")),"Moderado",IF(OR(AND(K79="Muy Baja",O79="Mayor"),AND(K79="Baja",O79="Mayor"),AND(K79="Media",O79="Mayor"),AND(K79="Alta",O79="Moderado"),AND(K79="Alta",O79="Mayor"),AND(K79="Muy Alta",O79="Leve"),AND(K79="Muy Alta",O79="Menor"),AND(K79="Muy Alta",O79="Moderado"),AND(K79="Muy Alta",O79="Mayor")),"Alto",IF(OR(AND(K79="Muy Baja",O79="Catastrófico"),AND(K79="Baja",O79="Catastrófico"),AND(K79="Media",O79="Catastrófico"),AND(K79="Alta",O79="Catastrófico"),AND(K79="Muy Alta",O79="Catastrófico")),"Extremo",""))))</f>
        <v>Moderado</v>
      </c>
      <c r="R79" s="89">
        <v>1</v>
      </c>
      <c r="S79" s="203" t="s">
        <v>522</v>
      </c>
      <c r="T79" s="196" t="str">
        <f t="shared" si="66"/>
        <v>Probabilidad</v>
      </c>
      <c r="U79" s="197" t="s">
        <v>15</v>
      </c>
      <c r="V79" s="197" t="s">
        <v>9</v>
      </c>
      <c r="W79" s="198" t="str">
        <f t="shared" si="67"/>
        <v>30%</v>
      </c>
      <c r="X79" s="197" t="s">
        <v>20</v>
      </c>
      <c r="Y79" s="197" t="s">
        <v>23</v>
      </c>
      <c r="Z79" s="197" t="s">
        <v>111</v>
      </c>
      <c r="AA79" s="90">
        <f>IFERROR(IF(T79="Probabilidad",(L79-(+L79*W79)),IF(T79="Impacto",L79,"")),"")</f>
        <v>0.42</v>
      </c>
      <c r="AB79" s="199" t="str">
        <f t="shared" si="68"/>
        <v>Media</v>
      </c>
      <c r="AC79" s="200">
        <f t="shared" si="69"/>
        <v>0.42</v>
      </c>
      <c r="AD79" s="199" t="str">
        <f t="shared" si="70"/>
        <v>Moderado</v>
      </c>
      <c r="AE79" s="200">
        <f>IFERROR(IF(T79="Impacto",(P79-(+P79*W79)),IF(T79="Probabilidad",P79,"")),"")</f>
        <v>0.6</v>
      </c>
      <c r="AF79" s="201" t="str">
        <f t="shared" si="71"/>
        <v>Moderado</v>
      </c>
      <c r="AG79" s="202" t="s">
        <v>122</v>
      </c>
      <c r="AH79" s="203" t="s">
        <v>368</v>
      </c>
      <c r="AI79" s="174" t="s">
        <v>369</v>
      </c>
      <c r="AJ79" s="173" t="s">
        <v>283</v>
      </c>
      <c r="AK79" s="173" t="s">
        <v>206</v>
      </c>
      <c r="AL79" s="203" t="s">
        <v>235</v>
      </c>
      <c r="AM79" s="166" t="s">
        <v>703</v>
      </c>
      <c r="AN79" s="166" t="s">
        <v>813</v>
      </c>
      <c r="AO79" s="158">
        <v>1</v>
      </c>
      <c r="AP79" s="166" t="s">
        <v>704</v>
      </c>
      <c r="AQ79" s="166" t="s">
        <v>814</v>
      </c>
      <c r="AR79" s="158">
        <v>1</v>
      </c>
      <c r="AS79" s="159"/>
      <c r="AT79" s="159" t="s">
        <v>587</v>
      </c>
      <c r="AU79" s="160" t="s">
        <v>589</v>
      </c>
      <c r="AV79" s="160" t="s">
        <v>589</v>
      </c>
      <c r="AW79" s="160" t="s">
        <v>589</v>
      </c>
      <c r="AX79" s="161" t="s">
        <v>754</v>
      </c>
    </row>
    <row r="80" spans="1:50" s="93" customFormat="1" ht="151.5" hidden="1" customHeight="1" x14ac:dyDescent="0.3">
      <c r="A80" s="365"/>
      <c r="B80" s="395"/>
      <c r="C80" s="390"/>
      <c r="D80" s="392"/>
      <c r="E80" s="388"/>
      <c r="F80" s="388"/>
      <c r="G80" s="388"/>
      <c r="H80" s="373"/>
      <c r="I80" s="388"/>
      <c r="J80" s="381"/>
      <c r="K80" s="383"/>
      <c r="L80" s="375"/>
      <c r="M80" s="386"/>
      <c r="N80" s="136"/>
      <c r="O80" s="383"/>
      <c r="P80" s="375"/>
      <c r="Q80" s="378"/>
      <c r="R80" s="89">
        <v>2</v>
      </c>
      <c r="S80" s="195"/>
      <c r="T80" s="196"/>
      <c r="U80" s="197"/>
      <c r="V80" s="197"/>
      <c r="W80" s="198"/>
      <c r="X80" s="197"/>
      <c r="Y80" s="197"/>
      <c r="Z80" s="197"/>
      <c r="AA80" s="90"/>
      <c r="AB80" s="199"/>
      <c r="AC80" s="200"/>
      <c r="AD80" s="199"/>
      <c r="AE80" s="200"/>
      <c r="AF80" s="201"/>
      <c r="AG80" s="202"/>
      <c r="AH80" s="203"/>
      <c r="AI80" s="174"/>
      <c r="AJ80" s="173"/>
      <c r="AK80" s="173"/>
      <c r="AL80" s="203"/>
      <c r="AM80" s="166"/>
      <c r="AN80" s="166"/>
      <c r="AO80" s="158"/>
      <c r="AP80" s="166"/>
      <c r="AQ80" s="166"/>
      <c r="AR80" s="158"/>
      <c r="AS80" s="159"/>
      <c r="AT80" s="159" t="s">
        <v>587</v>
      </c>
      <c r="AU80" s="160" t="s">
        <v>589</v>
      </c>
      <c r="AV80" s="160" t="s">
        <v>589</v>
      </c>
      <c r="AW80" s="160" t="s">
        <v>589</v>
      </c>
      <c r="AX80" s="160"/>
    </row>
    <row r="81" spans="1:50" s="93" customFormat="1" ht="151.5" hidden="1" customHeight="1" x14ac:dyDescent="0.3">
      <c r="A81" s="365"/>
      <c r="B81" s="396"/>
      <c r="C81" s="390"/>
      <c r="D81" s="392"/>
      <c r="E81" s="388"/>
      <c r="F81" s="388"/>
      <c r="G81" s="388"/>
      <c r="H81" s="373"/>
      <c r="I81" s="388"/>
      <c r="J81" s="381"/>
      <c r="K81" s="384"/>
      <c r="L81" s="376"/>
      <c r="M81" s="386"/>
      <c r="N81" s="136"/>
      <c r="O81" s="384"/>
      <c r="P81" s="376"/>
      <c r="Q81" s="379"/>
      <c r="R81" s="89">
        <v>3</v>
      </c>
      <c r="S81" s="195"/>
      <c r="T81" s="196"/>
      <c r="U81" s="197"/>
      <c r="V81" s="197"/>
      <c r="W81" s="198"/>
      <c r="X81" s="197"/>
      <c r="Y81" s="197"/>
      <c r="Z81" s="197"/>
      <c r="AA81" s="90"/>
      <c r="AB81" s="199"/>
      <c r="AC81" s="200"/>
      <c r="AD81" s="199"/>
      <c r="AE81" s="200"/>
      <c r="AF81" s="201"/>
      <c r="AG81" s="202"/>
      <c r="AH81" s="203"/>
      <c r="AI81" s="174"/>
      <c r="AJ81" s="173"/>
      <c r="AK81" s="173"/>
      <c r="AL81" s="203"/>
      <c r="AM81" s="166"/>
      <c r="AN81" s="166"/>
      <c r="AO81" s="158"/>
      <c r="AP81" s="166"/>
      <c r="AQ81" s="166"/>
      <c r="AR81" s="158"/>
      <c r="AS81" s="159"/>
      <c r="AT81" s="159" t="s">
        <v>587</v>
      </c>
      <c r="AU81" s="160" t="s">
        <v>589</v>
      </c>
      <c r="AV81" s="160" t="s">
        <v>589</v>
      </c>
      <c r="AW81" s="160" t="s">
        <v>589</v>
      </c>
      <c r="AX81" s="160"/>
    </row>
    <row r="82" spans="1:50" s="93" customFormat="1" ht="151.5" customHeight="1" x14ac:dyDescent="0.3">
      <c r="A82" s="365">
        <f>1+A79</f>
        <v>25</v>
      </c>
      <c r="B82" s="394" t="s">
        <v>234</v>
      </c>
      <c r="C82" s="389" t="s">
        <v>363</v>
      </c>
      <c r="D82" s="389" t="s">
        <v>364</v>
      </c>
      <c r="E82" s="387" t="s">
        <v>120</v>
      </c>
      <c r="F82" s="393" t="s">
        <v>508</v>
      </c>
      <c r="G82" s="393" t="s">
        <v>509</v>
      </c>
      <c r="H82" s="372" t="s">
        <v>510</v>
      </c>
      <c r="I82" s="387" t="s">
        <v>218</v>
      </c>
      <c r="J82" s="380">
        <v>1</v>
      </c>
      <c r="K82" s="382" t="str">
        <f>IF(J82&lt;=0,"",IF(J82&lt;=2,"Muy Baja",IF(J82&lt;=24,"Baja",IF(J82&lt;=500,"Media",IF(J82&lt;=5000,"Alta","Muy Alta")))))</f>
        <v>Muy Baja</v>
      </c>
      <c r="L82" s="374">
        <f>IF(K82="","",IF(K82="Muy Baja",0.2,IF(K82="Baja",0.4,IF(K82="Media",0.6,IF(K82="Alta",0.8,IF(K82="Muy Alta",1,))))))</f>
        <v>0.2</v>
      </c>
      <c r="M82" s="385" t="s">
        <v>247</v>
      </c>
      <c r="N82" s="135" t="str">
        <f>IF(NOT(ISERROR(MATCH(M82,'Tabla Impacto'!$B$221:$B$223,0))),'Tabla Impacto'!$F$223&amp;"Por favor no seleccionar los criterios de impacto(Afectación Económica o presupuestal y Pérdida Reputacional)",M82)</f>
        <v xml:space="preserve"> El riesgo afecta la imagen de alguna área de la organización</v>
      </c>
      <c r="O82" s="382" t="str">
        <f>IF(OR(N82='Tabla Impacto'!$C$11,N82='Tabla Impacto'!$D$11),"Leve",IF(OR(N82='Tabla Impacto'!$C$12,N82='Tabla Impacto'!$D$12),"Menor",IF(OR(N82='Tabla Impacto'!$C$13,N82='Tabla Impacto'!$D$13),"Moderado",IF(OR(N82='Tabla Impacto'!$C$14,N82='Tabla Impacto'!$D$14),"Mayor",IF(OR(N82='Tabla Impacto'!$C$15,N82='Tabla Impacto'!$D$15),"Catastrófico","")))))</f>
        <v>Leve</v>
      </c>
      <c r="P82" s="374">
        <f>IF(O82="","",IF(O82="Leve",0.2,IF(O82="Menor",0.4,IF(O82="Moderado",0.6,IF(O82="Mayor",0.8,IF(O82="Catastrófico",1,))))))</f>
        <v>0.2</v>
      </c>
      <c r="Q82" s="377" t="str">
        <f>IF(OR(AND(K82="Muy Baja",O82="Leve"),AND(K82="Muy Baja",O82="Menor"),AND(K82="Baja",O82="Leve")),"Bajo",IF(OR(AND(K82="Muy baja",O82="Moderado"),AND(K82="Baja",O82="Menor"),AND(K82="Baja",O82="Moderado"),AND(K82="Media",O82="Leve"),AND(K82="Media",O82="Menor"),AND(K82="Media",O82="Moderado"),AND(K82="Alta",O82="Leve"),AND(K82="Alta",O82="Menor")),"Moderado",IF(OR(AND(K82="Muy Baja",O82="Mayor"),AND(K82="Baja",O82="Mayor"),AND(K82="Media",O82="Mayor"),AND(K82="Alta",O82="Moderado"),AND(K82="Alta",O82="Mayor"),AND(K82="Muy Alta",O82="Leve"),AND(K82="Muy Alta",O82="Menor"),AND(K82="Muy Alta",O82="Moderado"),AND(K82="Muy Alta",O82="Mayor")),"Alto",IF(OR(AND(K82="Muy Baja",O82="Catastrófico"),AND(K82="Baja",O82="Catastrófico"),AND(K82="Media",O82="Catastrófico"),AND(K82="Alta",O82="Catastrófico"),AND(K82="Muy Alta",O82="Catastrófico")),"Extremo",""))))</f>
        <v>Bajo</v>
      </c>
      <c r="R82" s="89">
        <v>1</v>
      </c>
      <c r="S82" s="195" t="s">
        <v>511</v>
      </c>
      <c r="T82" s="196" t="str">
        <f t="shared" si="66"/>
        <v>Probabilidad</v>
      </c>
      <c r="U82" s="197" t="s">
        <v>15</v>
      </c>
      <c r="V82" s="197" t="s">
        <v>9</v>
      </c>
      <c r="W82" s="198" t="str">
        <f t="shared" si="67"/>
        <v>30%</v>
      </c>
      <c r="X82" s="197" t="s">
        <v>20</v>
      </c>
      <c r="Y82" s="197" t="s">
        <v>23</v>
      </c>
      <c r="Z82" s="197" t="s">
        <v>111</v>
      </c>
      <c r="AA82" s="90">
        <f>IFERROR(IF(T82="Probabilidad",(L82-(+L82*W82)),IF(T82="Impacto",L82,"")),"")</f>
        <v>0.14000000000000001</v>
      </c>
      <c r="AB82" s="199" t="str">
        <f t="shared" si="68"/>
        <v>Muy Baja</v>
      </c>
      <c r="AC82" s="200">
        <f t="shared" si="69"/>
        <v>0.14000000000000001</v>
      </c>
      <c r="AD82" s="199" t="str">
        <f t="shared" si="70"/>
        <v>Leve</v>
      </c>
      <c r="AE82" s="200">
        <f>IFERROR(IF(T82="Impacto",(P82-(+P82*W82)),IF(T82="Probabilidad",P82,"")),"")</f>
        <v>0.2</v>
      </c>
      <c r="AF82" s="201" t="str">
        <f t="shared" si="71"/>
        <v>Bajo</v>
      </c>
      <c r="AG82" s="202" t="s">
        <v>122</v>
      </c>
      <c r="AH82" s="195" t="s">
        <v>512</v>
      </c>
      <c r="AI82" s="160" t="s">
        <v>195</v>
      </c>
      <c r="AJ82" s="159" t="s">
        <v>283</v>
      </c>
      <c r="AK82" s="159" t="s">
        <v>206</v>
      </c>
      <c r="AL82" s="195" t="s">
        <v>370</v>
      </c>
      <c r="AM82" s="166" t="s">
        <v>511</v>
      </c>
      <c r="AN82" s="166" t="s">
        <v>815</v>
      </c>
      <c r="AO82" s="158">
        <v>1</v>
      </c>
      <c r="AP82" s="166" t="s">
        <v>512</v>
      </c>
      <c r="AQ82" s="166" t="s">
        <v>815</v>
      </c>
      <c r="AR82" s="158">
        <v>1</v>
      </c>
      <c r="AS82" s="159"/>
      <c r="AT82" s="159" t="s">
        <v>587</v>
      </c>
      <c r="AU82" s="160" t="s">
        <v>589</v>
      </c>
      <c r="AV82" s="160" t="s">
        <v>589</v>
      </c>
      <c r="AW82" s="160" t="s">
        <v>589</v>
      </c>
      <c r="AX82" s="161" t="s">
        <v>754</v>
      </c>
    </row>
    <row r="83" spans="1:50" s="93" customFormat="1" ht="151.5" hidden="1" customHeight="1" x14ac:dyDescent="0.3">
      <c r="A83" s="365"/>
      <c r="B83" s="395"/>
      <c r="C83" s="390"/>
      <c r="D83" s="392"/>
      <c r="E83" s="388"/>
      <c r="F83" s="373"/>
      <c r="G83" s="373"/>
      <c r="H83" s="373"/>
      <c r="I83" s="388"/>
      <c r="J83" s="381"/>
      <c r="K83" s="383"/>
      <c r="L83" s="375"/>
      <c r="M83" s="386"/>
      <c r="N83" s="136"/>
      <c r="O83" s="383"/>
      <c r="P83" s="375"/>
      <c r="Q83" s="378"/>
      <c r="R83" s="89">
        <v>2</v>
      </c>
      <c r="S83" s="195"/>
      <c r="T83" s="196" t="str">
        <f t="shared" ref="T83:T89" si="72">IF(OR(U83="Preventivo",U83="Detectivo"),"Probabilidad",IF(U83="Correctivo","Impacto",""))</f>
        <v/>
      </c>
      <c r="U83" s="197"/>
      <c r="V83" s="197"/>
      <c r="W83" s="198"/>
      <c r="X83" s="197"/>
      <c r="Y83" s="197"/>
      <c r="Z83" s="197"/>
      <c r="AA83" s="90" t="str">
        <f>IFERROR(IF(T83="Probabilidad",(AA82-(+AA82*W83)),IF(T83="Impacto",L83,"")),"")</f>
        <v/>
      </c>
      <c r="AB83" s="199" t="str">
        <f t="shared" ref="AB83:AB88" si="73">IFERROR(IF(AA83="","",IF(AA83&lt;=0.2,"Muy Baja",IF(AA83&lt;=0.4,"Baja",IF(AA83&lt;=0.6,"Media",IF(AA83&lt;=0.8,"Alta","Muy Alta"))))),"")</f>
        <v/>
      </c>
      <c r="AC83" s="200" t="str">
        <f t="shared" ref="AC83:AC88" si="74">+AA83</f>
        <v/>
      </c>
      <c r="AD83" s="199" t="str">
        <f t="shared" ref="AD83:AD88" si="75">IFERROR(IF(AE83="","",IF(AE83&lt;=0.2,"Leve",IF(AE83&lt;=0.4,"Menor",IF(AE83&lt;=0.6,"Moderado",IF(AE83&lt;=0.8,"Mayor","Catastrófico"))))),"")</f>
        <v/>
      </c>
      <c r="AE83" s="200" t="str">
        <f>IFERROR(IF(T83="Impacto",(P83-(+P83*W83)),IF(T83="Probabilidad",P83,"")),"")</f>
        <v/>
      </c>
      <c r="AF83" s="201" t="str">
        <f t="shared" ref="AF83:AF88" si="76">IFERROR(IF(OR(AND(AB83="Muy Baja",AD83="Leve"),AND(AB83="Muy Baja",AD83="Menor"),AND(AB83="Baja",AD83="Leve")),"Bajo",IF(OR(AND(AB83="Muy baja",AD83="Moderado"),AND(AB83="Baja",AD83="Menor"),AND(AB83="Baja",AD83="Moderado"),AND(AB83="Media",AD83="Leve"),AND(AB83="Media",AD83="Menor"),AND(AB83="Media",AD83="Moderado"),AND(AB83="Alta",AD83="Leve"),AND(AB83="Alta",AD83="Menor")),"Moderado",IF(OR(AND(AB83="Muy Baja",AD83="Mayor"),AND(AB83="Baja",AD83="Mayor"),AND(AB83="Media",AD83="Mayor"),AND(AB83="Alta",AD83="Moderado"),AND(AB83="Alta",AD83="Mayor"),AND(AB83="Muy Alta",AD83="Leve"),AND(AB83="Muy Alta",AD83="Menor"),AND(AB83="Muy Alta",AD83="Moderado"),AND(AB83="Muy Alta",AD83="Mayor")),"Alto",IF(OR(AND(AB83="Muy Baja",AD83="Catastrófico"),AND(AB83="Baja",AD83="Catastrófico"),AND(AB83="Media",AD83="Catastrófico"),AND(AB83="Alta",AD83="Catastrófico"),AND(AB83="Muy Alta",AD83="Catastrófico")),"Extremo","")))),"")</f>
        <v/>
      </c>
      <c r="AG83" s="202"/>
      <c r="AH83" s="195"/>
      <c r="AI83" s="160"/>
      <c r="AJ83" s="159"/>
      <c r="AK83" s="159"/>
      <c r="AL83" s="195"/>
      <c r="AM83" s="166"/>
      <c r="AN83" s="166"/>
      <c r="AO83" s="158"/>
      <c r="AP83" s="166"/>
      <c r="AQ83" s="166"/>
      <c r="AR83" s="158"/>
      <c r="AS83" s="159"/>
      <c r="AT83" s="159" t="s">
        <v>587</v>
      </c>
      <c r="AU83" s="160" t="s">
        <v>589</v>
      </c>
      <c r="AV83" s="160" t="s">
        <v>589</v>
      </c>
      <c r="AW83" s="160" t="s">
        <v>589</v>
      </c>
      <c r="AX83" s="160"/>
    </row>
    <row r="84" spans="1:50" s="93" customFormat="1" ht="151.5" hidden="1" customHeight="1" x14ac:dyDescent="0.3">
      <c r="A84" s="365"/>
      <c r="B84" s="396"/>
      <c r="C84" s="390"/>
      <c r="D84" s="392"/>
      <c r="E84" s="388"/>
      <c r="F84" s="373"/>
      <c r="G84" s="373"/>
      <c r="H84" s="373"/>
      <c r="I84" s="388"/>
      <c r="J84" s="381"/>
      <c r="K84" s="384"/>
      <c r="L84" s="376"/>
      <c r="M84" s="386"/>
      <c r="N84" s="136"/>
      <c r="O84" s="384"/>
      <c r="P84" s="376"/>
      <c r="Q84" s="379"/>
      <c r="R84" s="89">
        <v>3</v>
      </c>
      <c r="S84" s="195"/>
      <c r="T84" s="196" t="str">
        <f t="shared" si="72"/>
        <v/>
      </c>
      <c r="U84" s="197"/>
      <c r="V84" s="197"/>
      <c r="W84" s="198"/>
      <c r="X84" s="197"/>
      <c r="Y84" s="197"/>
      <c r="Z84" s="197"/>
      <c r="AA84" s="90" t="str">
        <f>IFERROR(IF(T84="Probabilidad",(AA83-(+AA83*W84)),IF(T84="Impacto",L84,"")),"")</f>
        <v/>
      </c>
      <c r="AB84" s="199" t="str">
        <f t="shared" si="73"/>
        <v/>
      </c>
      <c r="AC84" s="200" t="str">
        <f t="shared" si="74"/>
        <v/>
      </c>
      <c r="AD84" s="199" t="str">
        <f t="shared" si="75"/>
        <v/>
      </c>
      <c r="AE84" s="200" t="str">
        <f>IFERROR(IF(T84="Impacto",(P84-(+P84*W84)),IF(T84="Probabilidad",P84,"")),"")</f>
        <v/>
      </c>
      <c r="AF84" s="201" t="str">
        <f t="shared" si="76"/>
        <v/>
      </c>
      <c r="AG84" s="202"/>
      <c r="AH84" s="195"/>
      <c r="AI84" s="160"/>
      <c r="AJ84" s="159"/>
      <c r="AK84" s="159"/>
      <c r="AL84" s="195"/>
      <c r="AM84" s="166"/>
      <c r="AN84" s="166"/>
      <c r="AO84" s="158"/>
      <c r="AP84" s="166"/>
      <c r="AQ84" s="166"/>
      <c r="AR84" s="158"/>
      <c r="AS84" s="159"/>
      <c r="AT84" s="159" t="s">
        <v>587</v>
      </c>
      <c r="AU84" s="160" t="s">
        <v>589</v>
      </c>
      <c r="AV84" s="160" t="s">
        <v>589</v>
      </c>
      <c r="AW84" s="160" t="s">
        <v>589</v>
      </c>
      <c r="AX84" s="160"/>
    </row>
    <row r="85" spans="1:50" s="93" customFormat="1" ht="178.5" customHeight="1" x14ac:dyDescent="0.3">
      <c r="A85" s="365">
        <f>1+A82</f>
        <v>26</v>
      </c>
      <c r="B85" s="394" t="s">
        <v>371</v>
      </c>
      <c r="C85" s="389" t="s">
        <v>372</v>
      </c>
      <c r="D85" s="389" t="s">
        <v>373</v>
      </c>
      <c r="E85" s="387" t="s">
        <v>120</v>
      </c>
      <c r="F85" s="387" t="s">
        <v>374</v>
      </c>
      <c r="G85" s="387" t="s">
        <v>375</v>
      </c>
      <c r="H85" s="372" t="s">
        <v>376</v>
      </c>
      <c r="I85" s="387" t="s">
        <v>218</v>
      </c>
      <c r="J85" s="380">
        <v>850</v>
      </c>
      <c r="K85" s="382" t="str">
        <f>IF(J85&lt;=0,"",IF(J85&lt;=2,"Muy Baja",IF(J85&lt;=24,"Baja",IF(J85&lt;=500,"Media",IF(J85&lt;=5000,"Alta","Muy Alta")))))</f>
        <v>Alta</v>
      </c>
      <c r="L85" s="374">
        <f>IF(K85="","",IF(K85="Muy Baja",0.2,IF(K85="Baja",0.4,IF(K85="Media",0.6,IF(K85="Alta",0.8,IF(K85="Muy Alta",1,))))))</f>
        <v>0.8</v>
      </c>
      <c r="M85" s="385" t="s">
        <v>257</v>
      </c>
      <c r="N85" s="135" t="str">
        <f>IF(NOT(ISERROR(MATCH(M85,'Tabla Impacto'!$B$221:$B$223,0))),'Tabla Impacto'!$F$223&amp;"Por favor no seleccionar los criterios de impacto(Afectación Económica o presupuestal y Pérdida Reputacional)",M85)</f>
        <v xml:space="preserve"> El riesgo afecta la imagen de la entidad con efecto publicitario sostenido a nivel de sector administrativo, nivel departamental o municipal</v>
      </c>
      <c r="O85" s="382" t="str">
        <f>IF(OR(N85='Tabla Impacto'!$C$11,N85='Tabla Impacto'!$D$11),"Leve",IF(OR(N85='Tabla Impacto'!$C$12,N85='Tabla Impacto'!$D$12),"Menor",IF(OR(N85='Tabla Impacto'!$C$13,N85='Tabla Impacto'!$D$13),"Moderado",IF(OR(N85='Tabla Impacto'!$C$14,N85='Tabla Impacto'!$D$14),"Mayor",IF(OR(N85='Tabla Impacto'!$C$15,N85='Tabla Impacto'!$D$15),"Catastrófico","")))))</f>
        <v>Mayor</v>
      </c>
      <c r="P85" s="374">
        <f>IF(O85="","",IF(O85="Leve",0.2,IF(O85="Menor",0.4,IF(O85="Moderado",0.6,IF(O85="Mayor",0.8,IF(O85="Catastrófico",1,))))))</f>
        <v>0.8</v>
      </c>
      <c r="Q85" s="377" t="str">
        <f>IF(OR(AND(K85="Muy Baja",O85="Leve"),AND(K85="Muy Baja",O85="Menor"),AND(K85="Baja",O85="Leve")),"Bajo",IF(OR(AND(K85="Muy baja",O85="Moderado"),AND(K85="Baja",O85="Menor"),AND(K85="Baja",O85="Moderado"),AND(K85="Media",O85="Leve"),AND(K85="Media",O85="Menor"),AND(K85="Media",O85="Moderado"),AND(K85="Alta",O85="Leve"),AND(K85="Alta",O85="Menor")),"Moderado",IF(OR(AND(K85="Muy Baja",O85="Mayor"),AND(K85="Baja",O85="Mayor"),AND(K85="Media",O85="Mayor"),AND(K85="Alta",O85="Moderado"),AND(K85="Alta",O85="Mayor"),AND(K85="Muy Alta",O85="Leve"),AND(K85="Muy Alta",O85="Menor"),AND(K85="Muy Alta",O85="Moderado"),AND(K85="Muy Alta",O85="Mayor")),"Alto",IF(OR(AND(K85="Muy Baja",O85="Catastrófico"),AND(K85="Baja",O85="Catastrófico"),AND(K85="Media",O85="Catastrófico"),AND(K85="Alta",O85="Catastrófico"),AND(K85="Muy Alta",O85="Catastrófico")),"Extremo",""))))</f>
        <v>Alto</v>
      </c>
      <c r="R85" s="89">
        <v>1</v>
      </c>
      <c r="S85" s="195" t="s">
        <v>491</v>
      </c>
      <c r="T85" s="196" t="str">
        <f t="shared" si="72"/>
        <v>Probabilidad</v>
      </c>
      <c r="U85" s="197" t="s">
        <v>14</v>
      </c>
      <c r="V85" s="197" t="s">
        <v>9</v>
      </c>
      <c r="W85" s="198" t="str">
        <f t="shared" ref="W85:W89" si="77">IF(AND(U85="Preventivo",V85="Automático"),"50%",IF(AND(U85="Preventivo",V85="Manual"),"40%",IF(AND(U85="Detectivo",V85="Automático"),"40%",IF(AND(U85="Detectivo",V85="Manual"),"30%",IF(AND(U85="Correctivo",V85="Automático"),"35%",IF(AND(U85="Correctivo",V85="Manual"),"25%",""))))))</f>
        <v>40%</v>
      </c>
      <c r="X85" s="197" t="s">
        <v>20</v>
      </c>
      <c r="Y85" s="197" t="s">
        <v>22</v>
      </c>
      <c r="Z85" s="197" t="s">
        <v>110</v>
      </c>
      <c r="AA85" s="90">
        <f>IFERROR(IF(T85="Probabilidad",(L85-(+L85*W85)),IF(T85="Impacto",L85,"")),"")</f>
        <v>0.48</v>
      </c>
      <c r="AB85" s="199" t="str">
        <f t="shared" si="73"/>
        <v>Media</v>
      </c>
      <c r="AC85" s="200">
        <f t="shared" si="74"/>
        <v>0.48</v>
      </c>
      <c r="AD85" s="199" t="str">
        <f t="shared" si="75"/>
        <v>Mayor</v>
      </c>
      <c r="AE85" s="200">
        <f>IFERROR(IF(T85="Impacto",(P85-(+P85*W85)),IF(T85="Probabilidad",P85,"")),"")</f>
        <v>0.8</v>
      </c>
      <c r="AF85" s="201" t="str">
        <f t="shared" si="76"/>
        <v>Alto</v>
      </c>
      <c r="AG85" s="202" t="s">
        <v>122</v>
      </c>
      <c r="AH85" s="216" t="s">
        <v>377</v>
      </c>
      <c r="AI85" s="161" t="s">
        <v>193</v>
      </c>
      <c r="AJ85" s="159" t="s">
        <v>283</v>
      </c>
      <c r="AK85" s="159" t="s">
        <v>206</v>
      </c>
      <c r="AL85" s="195" t="s">
        <v>379</v>
      </c>
      <c r="AM85" s="166" t="s">
        <v>705</v>
      </c>
      <c r="AN85" s="166" t="s">
        <v>706</v>
      </c>
      <c r="AO85" s="158">
        <v>1</v>
      </c>
      <c r="AP85" s="166" t="s">
        <v>780</v>
      </c>
      <c r="AQ85" s="166" t="s">
        <v>707</v>
      </c>
      <c r="AR85" s="158">
        <v>1</v>
      </c>
      <c r="AS85" s="159"/>
      <c r="AT85" s="159" t="s">
        <v>587</v>
      </c>
      <c r="AU85" s="160" t="s">
        <v>589</v>
      </c>
      <c r="AV85" s="160" t="s">
        <v>589</v>
      </c>
      <c r="AW85" s="160" t="s">
        <v>589</v>
      </c>
      <c r="AX85" s="161" t="s">
        <v>754</v>
      </c>
    </row>
    <row r="86" spans="1:50" s="93" customFormat="1" ht="151.5" customHeight="1" x14ac:dyDescent="0.3">
      <c r="A86" s="365"/>
      <c r="B86" s="395"/>
      <c r="C86" s="390"/>
      <c r="D86" s="392"/>
      <c r="E86" s="388"/>
      <c r="F86" s="388"/>
      <c r="G86" s="388"/>
      <c r="H86" s="373"/>
      <c r="I86" s="388"/>
      <c r="J86" s="381"/>
      <c r="K86" s="383"/>
      <c r="L86" s="375"/>
      <c r="M86" s="386"/>
      <c r="N86" s="136"/>
      <c r="O86" s="383"/>
      <c r="P86" s="375"/>
      <c r="Q86" s="378"/>
      <c r="R86" s="89">
        <v>2</v>
      </c>
      <c r="S86" s="203" t="s">
        <v>822</v>
      </c>
      <c r="T86" s="196" t="str">
        <f t="shared" si="72"/>
        <v>Probabilidad</v>
      </c>
      <c r="U86" s="197" t="s">
        <v>14</v>
      </c>
      <c r="V86" s="197" t="s">
        <v>9</v>
      </c>
      <c r="W86" s="198" t="str">
        <f t="shared" si="77"/>
        <v>40%</v>
      </c>
      <c r="X86" s="197" t="s">
        <v>20</v>
      </c>
      <c r="Y86" s="197" t="s">
        <v>22</v>
      </c>
      <c r="Z86" s="197" t="s">
        <v>110</v>
      </c>
      <c r="AA86" s="90">
        <f>IFERROR(IF(T86="Probabilidad",(AA85-(+AA85*W86)),IF(T86="Impacto",L86,"")),"")</f>
        <v>0.28799999999999998</v>
      </c>
      <c r="AB86" s="199" t="str">
        <f t="shared" si="73"/>
        <v>Baja</v>
      </c>
      <c r="AC86" s="200">
        <f t="shared" si="74"/>
        <v>0.28799999999999998</v>
      </c>
      <c r="AD86" s="199" t="str">
        <f t="shared" si="75"/>
        <v>Leve</v>
      </c>
      <c r="AE86" s="200">
        <f t="shared" ref="AE86:AE87" si="78">IFERROR(IF(T86="Impacto",(P86-(+P86*W86)),IF(T86="Probabilidad",P86,"")),"")</f>
        <v>0</v>
      </c>
      <c r="AF86" s="201" t="str">
        <f t="shared" si="76"/>
        <v>Bajo</v>
      </c>
      <c r="AG86" s="202" t="s">
        <v>122</v>
      </c>
      <c r="AH86" s="195" t="s">
        <v>378</v>
      </c>
      <c r="AI86" s="161" t="s">
        <v>193</v>
      </c>
      <c r="AJ86" s="159" t="s">
        <v>283</v>
      </c>
      <c r="AK86" s="159" t="s">
        <v>206</v>
      </c>
      <c r="AL86" s="195" t="s">
        <v>686</v>
      </c>
      <c r="AM86" s="166" t="s">
        <v>708</v>
      </c>
      <c r="AN86" s="166" t="s">
        <v>709</v>
      </c>
      <c r="AO86" s="158">
        <v>0.5</v>
      </c>
      <c r="AP86" s="166" t="s">
        <v>710</v>
      </c>
      <c r="AQ86" s="166" t="s">
        <v>711</v>
      </c>
      <c r="AR86" s="158">
        <v>0.75</v>
      </c>
      <c r="AS86" s="157"/>
      <c r="AT86" s="159" t="s">
        <v>587</v>
      </c>
      <c r="AU86" s="160" t="s">
        <v>589</v>
      </c>
      <c r="AV86" s="160" t="s">
        <v>589</v>
      </c>
      <c r="AW86" s="160" t="s">
        <v>589</v>
      </c>
      <c r="AX86" s="161" t="s">
        <v>826</v>
      </c>
    </row>
    <row r="87" spans="1:50" s="93" customFormat="1" ht="151.5" hidden="1" customHeight="1" x14ac:dyDescent="0.3">
      <c r="A87" s="365"/>
      <c r="B87" s="396"/>
      <c r="C87" s="390"/>
      <c r="D87" s="392"/>
      <c r="E87" s="388"/>
      <c r="F87" s="388"/>
      <c r="G87" s="388"/>
      <c r="H87" s="373"/>
      <c r="I87" s="388"/>
      <c r="J87" s="381"/>
      <c r="K87" s="384"/>
      <c r="L87" s="376"/>
      <c r="M87" s="386"/>
      <c r="N87" s="136"/>
      <c r="O87" s="384"/>
      <c r="P87" s="376"/>
      <c r="Q87" s="379"/>
      <c r="R87" s="89">
        <v>3</v>
      </c>
      <c r="S87" s="195"/>
      <c r="T87" s="196" t="str">
        <f t="shared" si="72"/>
        <v/>
      </c>
      <c r="U87" s="197"/>
      <c r="V87" s="197"/>
      <c r="W87" s="198" t="str">
        <f t="shared" si="77"/>
        <v/>
      </c>
      <c r="X87" s="197"/>
      <c r="Y87" s="197"/>
      <c r="Z87" s="197"/>
      <c r="AA87" s="90" t="str">
        <f>IFERROR(IF(T87="Probabilidad",(AA86-(+AA86*W87)),IF(T87="Impacto",L87,"")),"")</f>
        <v/>
      </c>
      <c r="AB87" s="199" t="str">
        <f t="shared" si="73"/>
        <v/>
      </c>
      <c r="AC87" s="200" t="str">
        <f t="shared" si="74"/>
        <v/>
      </c>
      <c r="AD87" s="199" t="str">
        <f t="shared" si="75"/>
        <v/>
      </c>
      <c r="AE87" s="200" t="str">
        <f t="shared" si="78"/>
        <v/>
      </c>
      <c r="AF87" s="201" t="str">
        <f t="shared" si="76"/>
        <v/>
      </c>
      <c r="AG87" s="202"/>
      <c r="AH87" s="195"/>
      <c r="AI87" s="161"/>
      <c r="AJ87" s="159"/>
      <c r="AK87" s="159"/>
      <c r="AL87" s="195"/>
      <c r="AM87" s="177"/>
      <c r="AN87" s="177"/>
      <c r="AO87" s="160"/>
      <c r="AP87" s="177"/>
      <c r="AQ87" s="177"/>
      <c r="AR87" s="160"/>
      <c r="AS87" s="160"/>
      <c r="AT87" s="160"/>
      <c r="AU87" s="160"/>
      <c r="AV87" s="160"/>
      <c r="AW87" s="160"/>
      <c r="AX87" s="160"/>
    </row>
    <row r="88" spans="1:50" s="93" customFormat="1" ht="174.6" customHeight="1" x14ac:dyDescent="0.3">
      <c r="A88" s="365">
        <f>1+A85</f>
        <v>27</v>
      </c>
      <c r="B88" s="353" t="s">
        <v>380</v>
      </c>
      <c r="C88" s="389" t="s">
        <v>381</v>
      </c>
      <c r="D88" s="389" t="s">
        <v>382</v>
      </c>
      <c r="E88" s="387" t="s">
        <v>120</v>
      </c>
      <c r="F88" s="391" t="s">
        <v>383</v>
      </c>
      <c r="G88" s="391" t="s">
        <v>386</v>
      </c>
      <c r="H88" s="372" t="s">
        <v>387</v>
      </c>
      <c r="I88" s="387" t="s">
        <v>219</v>
      </c>
      <c r="J88" s="380">
        <v>4</v>
      </c>
      <c r="K88" s="382" t="str">
        <f>IF(J88&lt;=0,"",IF(J88&lt;=2,"Muy Baja",IF(J88&lt;=24,"Baja",IF(J88&lt;=500,"Media",IF(J88&lt;=5000,"Alta","Muy Alta")))))</f>
        <v>Baja</v>
      </c>
      <c r="L88" s="374">
        <f>IF(K88="","",IF(K88="Muy Baja",0.2,IF(K88="Baja",0.4,IF(K88="Media",0.6,IF(K88="Alta",0.8,IF(K88="Muy Alta",1,))))))</f>
        <v>0.4</v>
      </c>
      <c r="M88" s="385" t="s">
        <v>246</v>
      </c>
      <c r="N88" s="135" t="str">
        <f>IF(NOT(ISERROR(MATCH(M88,'Tabla Impacto'!$B$221:$B$223,0))),'Tabla Impacto'!$F$223&amp;"Por favor no seleccionar los criterios de impacto(Afectación Económica o presupuestal y Pérdida Reputacional)",M88)</f>
        <v xml:space="preserve"> Afectación menor a 10 SMLMV .</v>
      </c>
      <c r="O88" s="382" t="str">
        <f>IF(OR(N88='Tabla Impacto'!$C$11,N88='Tabla Impacto'!$D$11),"Leve",IF(OR(N88='Tabla Impacto'!$C$12,N88='Tabla Impacto'!$D$12),"Menor",IF(OR(N88='Tabla Impacto'!$C$13,N88='Tabla Impacto'!$D$13),"Moderado",IF(OR(N88='Tabla Impacto'!$C$14,N88='Tabla Impacto'!$D$14),"Mayor",IF(OR(N88='Tabla Impacto'!$C$15,N88='Tabla Impacto'!$D$15),"Catastrófico","")))))</f>
        <v>Leve</v>
      </c>
      <c r="P88" s="374">
        <f>IF(O88="","",IF(O88="Leve",0.2,IF(O88="Menor",0.4,IF(O88="Moderado",0.6,IF(O88="Mayor",0.8,IF(O88="Catastrófico",1,))))))</f>
        <v>0.2</v>
      </c>
      <c r="Q88" s="377" t="str">
        <f>IF(OR(AND(K88="Muy Baja",O88="Leve"),AND(K88="Muy Baja",O88="Menor"),AND(K88="Baja",O88="Leve")),"Bajo",IF(OR(AND(K88="Muy baja",O88="Moderado"),AND(K88="Baja",O88="Menor"),AND(K88="Baja",O88="Moderado"),AND(K88="Media",O88="Leve"),AND(K88="Media",O88="Menor"),AND(K88="Media",O88="Moderado"),AND(K88="Alta",O88="Leve"),AND(K88="Alta",O88="Menor")),"Moderado",IF(OR(AND(K88="Muy Baja",O88="Mayor"),AND(K88="Baja",O88="Mayor"),AND(K88="Media",O88="Mayor"),AND(K88="Alta",O88="Moderado"),AND(K88="Alta",O88="Mayor"),AND(K88="Muy Alta",O88="Leve"),AND(K88="Muy Alta",O88="Menor"),AND(K88="Muy Alta",O88="Moderado"),AND(K88="Muy Alta",O88="Mayor")),"Alto",IF(OR(AND(K88="Muy Baja",O88="Catastrófico"),AND(K88="Baja",O88="Catastrófico"),AND(K88="Media",O88="Catastrófico"),AND(K88="Alta",O88="Catastrófico"),AND(K88="Muy Alta",O88="Catastrófico")),"Extremo",""))))</f>
        <v>Bajo</v>
      </c>
      <c r="R88" s="89">
        <v>1</v>
      </c>
      <c r="S88" s="203" t="s">
        <v>448</v>
      </c>
      <c r="T88" s="196" t="str">
        <f t="shared" si="72"/>
        <v>Probabilidad</v>
      </c>
      <c r="U88" s="197" t="s">
        <v>14</v>
      </c>
      <c r="V88" s="197" t="s">
        <v>9</v>
      </c>
      <c r="W88" s="198" t="str">
        <f t="shared" si="77"/>
        <v>40%</v>
      </c>
      <c r="X88" s="197" t="s">
        <v>19</v>
      </c>
      <c r="Y88" s="197" t="s">
        <v>22</v>
      </c>
      <c r="Z88" s="197" t="s">
        <v>110</v>
      </c>
      <c r="AA88" s="90">
        <f>IFERROR(IF(T88="Probabilidad",(L88-(+L88*W88)),IF(T88="Impacto",L88,"")),"")</f>
        <v>0.24</v>
      </c>
      <c r="AB88" s="199" t="str">
        <f t="shared" si="73"/>
        <v>Baja</v>
      </c>
      <c r="AC88" s="200">
        <f t="shared" si="74"/>
        <v>0.24</v>
      </c>
      <c r="AD88" s="199" t="str">
        <f t="shared" si="75"/>
        <v>Leve</v>
      </c>
      <c r="AE88" s="200">
        <f>IFERROR(IF(T88="Impacto",(P88-(+P88*W88)),IF(T88="Probabilidad",P88,"")),"")</f>
        <v>0.2</v>
      </c>
      <c r="AF88" s="201" t="str">
        <f t="shared" si="76"/>
        <v>Bajo</v>
      </c>
      <c r="AG88" s="202" t="s">
        <v>122</v>
      </c>
      <c r="AH88" s="195" t="s">
        <v>561</v>
      </c>
      <c r="AI88" s="160" t="s">
        <v>197</v>
      </c>
      <c r="AJ88" s="173" t="s">
        <v>389</v>
      </c>
      <c r="AK88" s="229" t="s">
        <v>206</v>
      </c>
      <c r="AL88" s="195" t="s">
        <v>390</v>
      </c>
      <c r="AM88" s="166" t="s">
        <v>712</v>
      </c>
      <c r="AN88" s="166" t="s">
        <v>713</v>
      </c>
      <c r="AO88" s="158">
        <v>1</v>
      </c>
      <c r="AP88" s="166" t="s">
        <v>781</v>
      </c>
      <c r="AQ88" s="166" t="s">
        <v>714</v>
      </c>
      <c r="AR88" s="158">
        <v>1</v>
      </c>
      <c r="AS88" s="159"/>
      <c r="AT88" s="159" t="s">
        <v>587</v>
      </c>
      <c r="AU88" s="160" t="s">
        <v>589</v>
      </c>
      <c r="AV88" s="160" t="s">
        <v>589</v>
      </c>
      <c r="AW88" s="160" t="s">
        <v>589</v>
      </c>
      <c r="AX88" s="161" t="s">
        <v>754</v>
      </c>
    </row>
    <row r="89" spans="1:50" s="93" customFormat="1" ht="151.5" hidden="1" customHeight="1" x14ac:dyDescent="0.3">
      <c r="A89" s="365"/>
      <c r="B89" s="354"/>
      <c r="C89" s="392"/>
      <c r="D89" s="392"/>
      <c r="E89" s="388"/>
      <c r="F89" s="388"/>
      <c r="G89" s="388"/>
      <c r="H89" s="373"/>
      <c r="I89" s="388"/>
      <c r="J89" s="381"/>
      <c r="K89" s="383"/>
      <c r="L89" s="375"/>
      <c r="M89" s="386"/>
      <c r="N89" s="136"/>
      <c r="O89" s="383"/>
      <c r="P89" s="375"/>
      <c r="Q89" s="378"/>
      <c r="R89" s="89">
        <v>2</v>
      </c>
      <c r="S89" s="195"/>
      <c r="T89" s="196" t="str">
        <f t="shared" si="72"/>
        <v/>
      </c>
      <c r="U89" s="197"/>
      <c r="V89" s="197"/>
      <c r="W89" s="198" t="str">
        <f t="shared" si="77"/>
        <v/>
      </c>
      <c r="X89" s="197"/>
      <c r="Y89" s="197"/>
      <c r="Z89" s="197"/>
      <c r="AA89" s="90" t="str">
        <f>IFERROR(IF(T89="Probabilidad",(L89-(+L89*W89)),IF(T89="Impacto",L89,"")),"")</f>
        <v/>
      </c>
      <c r="AB89" s="199" t="str">
        <f t="shared" ref="AB89" si="79">IFERROR(IF(AA89="","",IF(AA89&lt;=0.2,"Muy Baja",IF(AA89&lt;=0.4,"Baja",IF(AA89&lt;=0.6,"Media",IF(AA89&lt;=0.8,"Alta","Muy Alta"))))),"")</f>
        <v/>
      </c>
      <c r="AC89" s="200" t="str">
        <f t="shared" ref="AC89" si="80">+AA89</f>
        <v/>
      </c>
      <c r="AD89" s="199" t="str">
        <f t="shared" ref="AD89" si="81">IFERROR(IF(AE89="","",IF(AE89&lt;=0.2,"Leve",IF(AE89&lt;=0.4,"Menor",IF(AE89&lt;=0.6,"Moderado",IF(AE89&lt;=0.8,"Mayor","Catastrófico"))))),"")</f>
        <v/>
      </c>
      <c r="AE89" s="200" t="str">
        <f>IFERROR(IF(T89="Impacto",(P89-(+P89*W89)),IF(T89="Probabilidad",P89,"")),"")</f>
        <v/>
      </c>
      <c r="AF89" s="201" t="str">
        <f t="shared" ref="AF89" si="82">IFERROR(IF(OR(AND(AB89="Muy Baja",AD89="Leve"),AND(AB89="Muy Baja",AD89="Menor"),AND(AB89="Baja",AD89="Leve")),"Bajo",IF(OR(AND(AB89="Muy baja",AD89="Moderado"),AND(AB89="Baja",AD89="Menor"),AND(AB89="Baja",AD89="Moderado"),AND(AB89="Media",AD89="Leve"),AND(AB89="Media",AD89="Menor"),AND(AB89="Media",AD89="Moderado"),AND(AB89="Alta",AD89="Leve"),AND(AB89="Alta",AD89="Menor")),"Moderado",IF(OR(AND(AB89="Muy Baja",AD89="Mayor"),AND(AB89="Baja",AD89="Mayor"),AND(AB89="Media",AD89="Mayor"),AND(AB89="Alta",AD89="Moderado"),AND(AB89="Alta",AD89="Mayor"),AND(AB89="Muy Alta",AD89="Leve"),AND(AB89="Muy Alta",AD89="Menor"),AND(AB89="Muy Alta",AD89="Moderado"),AND(AB89="Muy Alta",AD89="Mayor")),"Alto",IF(OR(AND(AB89="Muy Baja",AD89="Catastrófico"),AND(AB89="Baja",AD89="Catastrófico"),AND(AB89="Media",AD89="Catastrófico"),AND(AB89="Alta",AD89="Catastrófico"),AND(AB89="Muy Alta",AD89="Catastrófico")),"Extremo","")))),"")</f>
        <v/>
      </c>
      <c r="AG89" s="202"/>
      <c r="AH89" s="195"/>
      <c r="AI89" s="160"/>
      <c r="AJ89" s="173"/>
      <c r="AK89" s="229"/>
      <c r="AL89" s="195"/>
      <c r="AM89" s="166"/>
      <c r="AN89" s="166"/>
      <c r="AO89" s="158"/>
      <c r="AP89" s="166"/>
      <c r="AQ89" s="166"/>
      <c r="AR89" s="158"/>
      <c r="AS89" s="159"/>
      <c r="AT89" s="159" t="s">
        <v>587</v>
      </c>
      <c r="AU89" s="160" t="s">
        <v>589</v>
      </c>
      <c r="AV89" s="160" t="s">
        <v>589</v>
      </c>
      <c r="AW89" s="160" t="s">
        <v>589</v>
      </c>
      <c r="AX89" s="160"/>
    </row>
    <row r="90" spans="1:50" s="93" customFormat="1" ht="151.5" hidden="1" customHeight="1" x14ac:dyDescent="0.3">
      <c r="A90" s="365"/>
      <c r="B90" s="355"/>
      <c r="C90" s="392"/>
      <c r="D90" s="392"/>
      <c r="E90" s="388"/>
      <c r="F90" s="388"/>
      <c r="G90" s="388"/>
      <c r="H90" s="373"/>
      <c r="I90" s="388"/>
      <c r="J90" s="381"/>
      <c r="K90" s="384"/>
      <c r="L90" s="376"/>
      <c r="M90" s="386"/>
      <c r="N90" s="136"/>
      <c r="O90" s="384"/>
      <c r="P90" s="376"/>
      <c r="Q90" s="379"/>
      <c r="R90" s="89">
        <v>3</v>
      </c>
      <c r="S90" s="230"/>
      <c r="T90" s="196" t="str">
        <f t="shared" ref="T90" si="83">IF(OR(U90="Preventivo",U90="Detectivo"),"Probabilidad",IF(U90="Correctivo","Impacto",""))</f>
        <v/>
      </c>
      <c r="U90" s="197"/>
      <c r="V90" s="197"/>
      <c r="W90" s="198" t="str">
        <f t="shared" ref="W90" si="84">IF(AND(U90="Preventivo",V90="Automático"),"50%",IF(AND(U90="Preventivo",V90="Manual"),"40%",IF(AND(U90="Detectivo",V90="Automático"),"40%",IF(AND(U90="Detectivo",V90="Manual"),"30%",IF(AND(U90="Correctivo",V90="Automático"),"35%",IF(AND(U90="Correctivo",V90="Manual"),"25%",""))))))</f>
        <v/>
      </c>
      <c r="X90" s="197"/>
      <c r="Y90" s="197"/>
      <c r="Z90" s="197"/>
      <c r="AA90" s="90" t="str">
        <f>IFERROR(IF(T90="Probabilidad",(L90-(+L90*W90)),IF(T90="Impacto",L90,"")),"")</f>
        <v/>
      </c>
      <c r="AB90" s="199" t="str">
        <f t="shared" ref="AB90" si="85">IFERROR(IF(AA90="","",IF(AA90&lt;=0.2,"Muy Baja",IF(AA90&lt;=0.4,"Baja",IF(AA90&lt;=0.6,"Media",IF(AA90&lt;=0.8,"Alta","Muy Alta"))))),"")</f>
        <v/>
      </c>
      <c r="AC90" s="200" t="str">
        <f t="shared" ref="AC90" si="86">+AA90</f>
        <v/>
      </c>
      <c r="AD90" s="199" t="str">
        <f t="shared" ref="AD90" si="87">IFERROR(IF(AE90="","",IF(AE90&lt;=0.2,"Leve",IF(AE90&lt;=0.4,"Menor",IF(AE90&lt;=0.6,"Moderado",IF(AE90&lt;=0.8,"Mayor","Catastrófico"))))),"")</f>
        <v/>
      </c>
      <c r="AE90" s="200" t="str">
        <f>IFERROR(IF(T90="Impacto",(P90-(+P90*W90)),IF(T90="Probabilidad",P90,"")),"")</f>
        <v/>
      </c>
      <c r="AF90" s="201" t="str">
        <f t="shared" ref="AF90" si="88">IFERROR(IF(OR(AND(AB90="Muy Baja",AD90="Leve"),AND(AB90="Muy Baja",AD90="Menor"),AND(AB90="Baja",AD90="Leve")),"Bajo",IF(OR(AND(AB90="Muy baja",AD90="Moderado"),AND(AB90="Baja",AD90="Menor"),AND(AB90="Baja",AD90="Moderado"),AND(AB90="Media",AD90="Leve"),AND(AB90="Media",AD90="Menor"),AND(AB90="Media",AD90="Moderado"),AND(AB90="Alta",AD90="Leve"),AND(AB90="Alta",AD90="Menor")),"Moderado",IF(OR(AND(AB90="Muy Baja",AD90="Mayor"),AND(AB90="Baja",AD90="Mayor"),AND(AB90="Media",AD90="Mayor"),AND(AB90="Alta",AD90="Moderado"),AND(AB90="Alta",AD90="Mayor"),AND(AB90="Muy Alta",AD90="Leve"),AND(AB90="Muy Alta",AD90="Menor"),AND(AB90="Muy Alta",AD90="Moderado"),AND(AB90="Muy Alta",AD90="Mayor")),"Alto",IF(OR(AND(AB90="Muy Baja",AD90="Catastrófico"),AND(AB90="Baja",AD90="Catastrófico"),AND(AB90="Media",AD90="Catastrófico"),AND(AB90="Alta",AD90="Catastrófico"),AND(AB90="Muy Alta",AD90="Catastrófico")),"Extremo","")))),"")</f>
        <v/>
      </c>
      <c r="AG90" s="202"/>
      <c r="AH90" s="230"/>
      <c r="AI90" s="167"/>
      <c r="AJ90" s="167"/>
      <c r="AK90" s="167"/>
      <c r="AL90" s="230"/>
      <c r="AM90" s="166"/>
      <c r="AN90" s="166"/>
      <c r="AO90" s="158"/>
      <c r="AP90" s="166"/>
      <c r="AQ90" s="166"/>
      <c r="AR90" s="158"/>
      <c r="AS90" s="159"/>
      <c r="AT90" s="159" t="s">
        <v>587</v>
      </c>
      <c r="AU90" s="160" t="s">
        <v>589</v>
      </c>
      <c r="AV90" s="160" t="s">
        <v>589</v>
      </c>
      <c r="AW90" s="160" t="s">
        <v>589</v>
      </c>
      <c r="AX90" s="160"/>
    </row>
    <row r="91" spans="1:50" s="93" customFormat="1" ht="367.8" customHeight="1" x14ac:dyDescent="0.3">
      <c r="A91" s="365">
        <f>1+A88</f>
        <v>28</v>
      </c>
      <c r="B91" s="353" t="s">
        <v>380</v>
      </c>
      <c r="C91" s="389" t="s">
        <v>381</v>
      </c>
      <c r="D91" s="389" t="s">
        <v>382</v>
      </c>
      <c r="E91" s="387" t="s">
        <v>118</v>
      </c>
      <c r="F91" s="387" t="s">
        <v>384</v>
      </c>
      <c r="G91" s="387" t="s">
        <v>450</v>
      </c>
      <c r="H91" s="372" t="s">
        <v>449</v>
      </c>
      <c r="I91" s="387" t="s">
        <v>218</v>
      </c>
      <c r="J91" s="380">
        <v>12</v>
      </c>
      <c r="K91" s="382" t="str">
        <f>IF(J91&lt;=0,"",IF(J91&lt;=2,"Muy Baja",IF(J91&lt;=24,"Baja",IF(J91&lt;=500,"Media",IF(J91&lt;=5000,"Alta","Muy Alta")))))</f>
        <v>Baja</v>
      </c>
      <c r="L91" s="374">
        <f>IF(K91="","",IF(K91="Muy Baja",0.2,IF(K91="Baja",0.4,IF(K91="Media",0.6,IF(K91="Alta",0.8,IF(K91="Muy Alta",1,))))))</f>
        <v>0.4</v>
      </c>
      <c r="M91" s="385" t="s">
        <v>255</v>
      </c>
      <c r="N91" s="135" t="str">
        <f>IF(NOT(ISERROR(MATCH(M91,'Tabla Impacto'!$B$221:$B$223,0))),'Tabla Impacto'!$F$223&amp;"Por favor no seleccionar los criterios de impacto(Afectación Económica o presupuestal y Pérdida Reputacional)",M91)</f>
        <v xml:space="preserve"> El riesgo afecta la imagen de la entidad internamente, de conocimiento general, nivel interno, de junta directiva y accionistas y/o de proveedores</v>
      </c>
      <c r="O91" s="382" t="str">
        <f>IF(OR(N91='Tabla Impacto'!$C$11,N91='Tabla Impacto'!$D$11),"Leve",IF(OR(N91='Tabla Impacto'!$C$12,N91='Tabla Impacto'!$D$12),"Menor",IF(OR(N91='Tabla Impacto'!$C$13,N91='Tabla Impacto'!$D$13),"Moderado",IF(OR(N91='Tabla Impacto'!$C$14,N91='Tabla Impacto'!$D$14),"Mayor",IF(OR(N91='Tabla Impacto'!$C$15,N91='Tabla Impacto'!$D$15),"Catastrófico","")))))</f>
        <v>Menor</v>
      </c>
      <c r="P91" s="374">
        <f>IF(O91="","",IF(O91="Leve",0.2,IF(O91="Menor",0.4,IF(O91="Moderado",0.6,IF(O91="Mayor",0.8,IF(O91="Catastrófico",1,))))))</f>
        <v>0.4</v>
      </c>
      <c r="Q91" s="377" t="str">
        <f>IF(OR(AND(K91="Muy Baja",O91="Leve"),AND(K91="Muy Baja",O91="Menor"),AND(K91="Baja",O91="Leve")),"Bajo",IF(OR(AND(K91="Muy baja",O91="Moderado"),AND(K91="Baja",O91="Menor"),AND(K91="Baja",O91="Moderado"),AND(K91="Media",O91="Leve"),AND(K91="Media",O91="Menor"),AND(K91="Media",O91="Moderado"),AND(K91="Alta",O91="Leve"),AND(K91="Alta",O91="Menor")),"Moderado",IF(OR(AND(K91="Muy Baja",O91="Mayor"),AND(K91="Baja",O91="Mayor"),AND(K91="Media",O91="Mayor"),AND(K91="Alta",O91="Moderado"),AND(K91="Alta",O91="Mayor"),AND(K91="Muy Alta",O91="Leve"),AND(K91="Muy Alta",O91="Menor"),AND(K91="Muy Alta",O91="Moderado"),AND(K91="Muy Alta",O91="Mayor")),"Alto",IF(OR(AND(K91="Muy Baja",O91="Catastrófico"),AND(K91="Baja",O91="Catastrófico"),AND(K91="Media",O91="Catastrófico"),AND(K91="Alta",O91="Catastrófico"),AND(K91="Muy Alta",O91="Catastrófico")),"Extremo",""))))</f>
        <v>Moderado</v>
      </c>
      <c r="R91" s="89">
        <v>1</v>
      </c>
      <c r="S91" s="195" t="s">
        <v>451</v>
      </c>
      <c r="T91" s="196" t="str">
        <f>IF(OR(U91="Preventivo",U91="Detectivo"),"Probabilidad",IF(U91="Correctivo","Impacto",""))</f>
        <v>Probabilidad</v>
      </c>
      <c r="U91" s="197" t="s">
        <v>15</v>
      </c>
      <c r="V91" s="197" t="s">
        <v>9</v>
      </c>
      <c r="W91" s="198" t="str">
        <f>IF(AND(U91="Preventivo",V91="Automático"),"50%",IF(AND(U91="Preventivo",V91="Manual"),"40%",IF(AND(U91="Detectivo",V91="Automático"),"40%",IF(AND(U91="Detectivo",V91="Manual"),"30%",IF(AND(U91="Correctivo",V91="Automático"),"35%",IF(AND(U91="Correctivo",V91="Manual"),"25%",""))))))</f>
        <v>30%</v>
      </c>
      <c r="X91" s="197" t="s">
        <v>19</v>
      </c>
      <c r="Y91" s="197" t="s">
        <v>22</v>
      </c>
      <c r="Z91" s="197" t="s">
        <v>110</v>
      </c>
      <c r="AA91" s="90">
        <f>IFERROR(IF(T91="Probabilidad",(AA88-(+AA88*W91)),IF(T91="Impacto",L89,"")),"")</f>
        <v>0.16799999999999998</v>
      </c>
      <c r="AB91" s="199" t="str">
        <f>IFERROR(IF(AA91="","",IF(AA91&lt;=0.2,"Muy Baja",IF(AA91&lt;=0.4,"Baja",IF(AA91&lt;=0.6,"Media",IF(AA91&lt;=0.8,"Alta","Muy Alta"))))),"")</f>
        <v>Muy Baja</v>
      </c>
      <c r="AC91" s="200">
        <f>+AA91</f>
        <v>0.16799999999999998</v>
      </c>
      <c r="AD91" s="199" t="str">
        <f>IFERROR(IF(AE91="","",IF(AE91&lt;=0.2,"Leve",IF(AE91&lt;=0.4,"Menor",IF(AE91&lt;=0.6,"Moderado",IF(AE91&lt;=0.8,"Mayor","Catastrófico"))))),"")</f>
        <v>Leve</v>
      </c>
      <c r="AE91" s="200">
        <f>+AE88</f>
        <v>0.2</v>
      </c>
      <c r="AF91" s="201" t="str">
        <f>IFERROR(IF(OR(AND(AB91="Muy Baja",AD91="Leve"),AND(AB91="Muy Baja",AD91="Menor"),AND(AB91="Baja",AD91="Leve")),"Bajo",IF(OR(AND(AB91="Muy baja",AD91="Moderado"),AND(AB91="Baja",AD91="Menor"),AND(AB91="Baja",AD91="Moderado"),AND(AB91="Media",AD91="Leve"),AND(AB91="Media",AD91="Menor"),AND(AB91="Media",AD91="Moderado"),AND(AB91="Alta",AD91="Leve"),AND(AB91="Alta",AD91="Menor")),"Moderado",IF(OR(AND(AB91="Muy Baja",AD91="Mayor"),AND(AB91="Baja",AD91="Mayor"),AND(AB91="Media",AD91="Mayor"),AND(AB91="Alta",AD91="Moderado"),AND(AB91="Alta",AD91="Mayor"),AND(AB91="Muy Alta",AD91="Leve"),AND(AB91="Muy Alta",AD91="Menor"),AND(AB91="Muy Alta",AD91="Moderado"),AND(AB91="Muy Alta",AD91="Mayor")),"Alto",IF(OR(AND(AB91="Muy Baja",AD91="Catastrófico"),AND(AB91="Baja",AD91="Catastrófico"),AND(AB91="Media",AD91="Catastrófico"),AND(AB91="Alta",AD91="Catastrófico"),AND(AB91="Muy Alta",AD91="Catastrófico")),"Extremo","")))),"")</f>
        <v>Bajo</v>
      </c>
      <c r="AG91" s="202" t="s">
        <v>122</v>
      </c>
      <c r="AH91" s="203" t="s">
        <v>452</v>
      </c>
      <c r="AI91" s="160" t="s">
        <v>203</v>
      </c>
      <c r="AJ91" s="173" t="s">
        <v>389</v>
      </c>
      <c r="AK91" s="229" t="s">
        <v>206</v>
      </c>
      <c r="AL91" s="195" t="s">
        <v>391</v>
      </c>
      <c r="AM91" s="166" t="s">
        <v>782</v>
      </c>
      <c r="AN91" s="166" t="s">
        <v>783</v>
      </c>
      <c r="AO91" s="158">
        <v>1</v>
      </c>
      <c r="AP91" s="166" t="s">
        <v>715</v>
      </c>
      <c r="AQ91" s="166" t="s">
        <v>716</v>
      </c>
      <c r="AR91" s="158">
        <v>1</v>
      </c>
      <c r="AS91" s="159"/>
      <c r="AT91" s="159" t="s">
        <v>587</v>
      </c>
      <c r="AU91" s="160" t="s">
        <v>589</v>
      </c>
      <c r="AV91" s="160" t="s">
        <v>589</v>
      </c>
      <c r="AW91" s="160" t="s">
        <v>589</v>
      </c>
      <c r="AX91" s="161" t="s">
        <v>754</v>
      </c>
    </row>
    <row r="92" spans="1:50" s="93" customFormat="1" ht="151.5" hidden="1" customHeight="1" x14ac:dyDescent="0.3">
      <c r="A92" s="365"/>
      <c r="B92" s="354"/>
      <c r="C92" s="392"/>
      <c r="D92" s="392"/>
      <c r="E92" s="388"/>
      <c r="F92" s="388"/>
      <c r="G92" s="388"/>
      <c r="H92" s="373"/>
      <c r="I92" s="388"/>
      <c r="J92" s="381"/>
      <c r="K92" s="383"/>
      <c r="L92" s="375"/>
      <c r="M92" s="386"/>
      <c r="N92" s="136"/>
      <c r="O92" s="383"/>
      <c r="P92" s="375"/>
      <c r="Q92" s="378"/>
      <c r="R92" s="89">
        <v>2</v>
      </c>
      <c r="S92" s="195"/>
      <c r="T92" s="196"/>
      <c r="U92" s="197"/>
      <c r="V92" s="197"/>
      <c r="W92" s="198"/>
      <c r="X92" s="197"/>
      <c r="Y92" s="197"/>
      <c r="Z92" s="197"/>
      <c r="AA92" s="90"/>
      <c r="AB92" s="199"/>
      <c r="AC92" s="200"/>
      <c r="AD92" s="199"/>
      <c r="AE92" s="200"/>
      <c r="AF92" s="201"/>
      <c r="AG92" s="202"/>
      <c r="AH92" s="195"/>
      <c r="AI92" s="160"/>
      <c r="AJ92" s="173"/>
      <c r="AK92" s="229"/>
      <c r="AL92" s="195"/>
      <c r="AM92" s="166"/>
      <c r="AN92" s="166"/>
      <c r="AO92" s="158"/>
      <c r="AP92" s="166"/>
      <c r="AQ92" s="166"/>
      <c r="AR92" s="158"/>
      <c r="AS92" s="159"/>
      <c r="AT92" s="159" t="s">
        <v>587</v>
      </c>
      <c r="AU92" s="160" t="s">
        <v>589</v>
      </c>
      <c r="AV92" s="160" t="s">
        <v>589</v>
      </c>
      <c r="AW92" s="160" t="s">
        <v>589</v>
      </c>
      <c r="AX92" s="160"/>
    </row>
    <row r="93" spans="1:50" s="93" customFormat="1" ht="151.5" hidden="1" customHeight="1" x14ac:dyDescent="0.3">
      <c r="A93" s="365"/>
      <c r="B93" s="355"/>
      <c r="C93" s="392"/>
      <c r="D93" s="392"/>
      <c r="E93" s="388"/>
      <c r="F93" s="388"/>
      <c r="G93" s="388"/>
      <c r="H93" s="373"/>
      <c r="I93" s="388"/>
      <c r="J93" s="381"/>
      <c r="K93" s="384"/>
      <c r="L93" s="376"/>
      <c r="M93" s="386"/>
      <c r="N93" s="136"/>
      <c r="O93" s="384"/>
      <c r="P93" s="376"/>
      <c r="Q93" s="379"/>
      <c r="R93" s="89">
        <v>3</v>
      </c>
      <c r="S93" s="195"/>
      <c r="T93" s="196"/>
      <c r="U93" s="197"/>
      <c r="V93" s="197"/>
      <c r="W93" s="198"/>
      <c r="X93" s="197"/>
      <c r="Y93" s="197"/>
      <c r="Z93" s="197"/>
      <c r="AA93" s="90"/>
      <c r="AB93" s="199"/>
      <c r="AC93" s="200"/>
      <c r="AD93" s="199"/>
      <c r="AE93" s="200"/>
      <c r="AF93" s="201"/>
      <c r="AG93" s="202"/>
      <c r="AH93" s="195"/>
      <c r="AI93" s="160"/>
      <c r="AJ93" s="173"/>
      <c r="AK93" s="229"/>
      <c r="AL93" s="195"/>
      <c r="AM93" s="166"/>
      <c r="AN93" s="166"/>
      <c r="AO93" s="158"/>
      <c r="AP93" s="166"/>
      <c r="AQ93" s="166"/>
      <c r="AR93" s="158"/>
      <c r="AS93" s="159"/>
      <c r="AT93" s="159" t="s">
        <v>587</v>
      </c>
      <c r="AU93" s="160" t="s">
        <v>589</v>
      </c>
      <c r="AV93" s="160" t="s">
        <v>589</v>
      </c>
      <c r="AW93" s="160" t="s">
        <v>589</v>
      </c>
      <c r="AX93" s="160"/>
    </row>
    <row r="94" spans="1:50" s="93" customFormat="1" ht="193.2" customHeight="1" x14ac:dyDescent="0.3">
      <c r="A94" s="365">
        <f>1+A91</f>
        <v>29</v>
      </c>
      <c r="B94" s="353" t="s">
        <v>380</v>
      </c>
      <c r="C94" s="389" t="s">
        <v>381</v>
      </c>
      <c r="D94" s="389" t="s">
        <v>382</v>
      </c>
      <c r="E94" s="387" t="s">
        <v>120</v>
      </c>
      <c r="F94" s="387" t="s">
        <v>385</v>
      </c>
      <c r="G94" s="387" t="s">
        <v>224</v>
      </c>
      <c r="H94" s="372" t="s">
        <v>388</v>
      </c>
      <c r="I94" s="387" t="s">
        <v>115</v>
      </c>
      <c r="J94" s="380">
        <v>20</v>
      </c>
      <c r="K94" s="382" t="str">
        <f>IF(J94&lt;=0,"",IF(J94&lt;=2,"Muy Baja",IF(J94&lt;=24,"Baja",IF(J94&lt;=500,"Media",IF(J94&lt;=5000,"Alta","Muy Alta")))))</f>
        <v>Baja</v>
      </c>
      <c r="L94" s="374">
        <f>IF(K94="","",IF(K94="Muy Baja",0.2,IF(K94="Baja",0.4,IF(K94="Media",0.6,IF(K94="Alta",0.8,IF(K94="Muy Alta",1,))))))</f>
        <v>0.4</v>
      </c>
      <c r="M94" s="385" t="s">
        <v>250</v>
      </c>
      <c r="N94" s="135" t="str">
        <f>IF(NOT(ISERROR(MATCH(M94,'Tabla Impacto'!$B$221:$B$223,0))),'Tabla Impacto'!$F$223&amp;"Por favor no seleccionar los criterios de impacto(Afectación Económica o presupuestal y Pérdida Reputacional)",M94)</f>
        <v xml:space="preserve"> El riesgo afecta la imagen de la entidad con algunos usuarios de relevancia frente al logro de los objetivos</v>
      </c>
      <c r="O94" s="382" t="str">
        <f>IF(OR(N94='Tabla Impacto'!$C$11,N94='Tabla Impacto'!$D$11),"Leve",IF(OR(N94='Tabla Impacto'!$C$12,N94='Tabla Impacto'!$D$12),"Menor",IF(OR(N94='Tabla Impacto'!$C$13,N94='Tabla Impacto'!$D$13),"Moderado",IF(OR(N94='Tabla Impacto'!$C$14,N94='Tabla Impacto'!$D$14),"Mayor",IF(OR(N94='Tabla Impacto'!$C$15,N94='Tabla Impacto'!$D$15),"Catastrófico","")))))</f>
        <v>Moderado</v>
      </c>
      <c r="P94" s="374">
        <f>IF(O94="","",IF(O94="Leve",0.2,IF(O94="Menor",0.4,IF(O94="Moderado",0.6,IF(O94="Mayor",0.8,IF(O94="Catastrófico",1,))))))</f>
        <v>0.6</v>
      </c>
      <c r="Q94" s="377" t="str">
        <f>IF(OR(AND(K94="Muy Baja",O94="Leve"),AND(K94="Muy Baja",O94="Menor"),AND(K94="Baja",O94="Leve")),"Bajo",IF(OR(AND(K94="Muy baja",O94="Moderado"),AND(K94="Baja",O94="Menor"),AND(K94="Baja",O94="Moderado"),AND(K94="Media",O94="Leve"),AND(K94="Media",O94="Menor"),AND(K94="Media",O94="Moderado"),AND(K94="Alta",O94="Leve"),AND(K94="Alta",O94="Menor")),"Moderado",IF(OR(AND(K94="Muy Baja",O94="Mayor"),AND(K94="Baja",O94="Mayor"),AND(K94="Media",O94="Mayor"),AND(K94="Alta",O94="Moderado"),AND(K94="Alta",O94="Mayor"),AND(K94="Muy Alta",O94="Leve"),AND(K94="Muy Alta",O94="Menor"),AND(K94="Muy Alta",O94="Moderado"),AND(K94="Muy Alta",O94="Mayor")),"Alto",IF(OR(AND(K94="Muy Baja",O94="Catastrófico"),AND(K94="Baja",O94="Catastrófico"),AND(K94="Media",O94="Catastrófico"),AND(K94="Alta",O94="Catastrófico"),AND(K94="Muy Alta",O94="Catastrófico")),"Extremo",""))))</f>
        <v>Moderado</v>
      </c>
      <c r="R94" s="89">
        <v>1</v>
      </c>
      <c r="S94" s="195" t="s">
        <v>451</v>
      </c>
      <c r="T94" s="196" t="str">
        <f>IF(OR(U94="Preventivo",U94="Detectivo"),"Probabilidad",IF(U94="Correctivo","Impacto",""))</f>
        <v>Probabilidad</v>
      </c>
      <c r="U94" s="197" t="s">
        <v>15</v>
      </c>
      <c r="V94" s="197" t="s">
        <v>9</v>
      </c>
      <c r="W94" s="198" t="str">
        <f>IF(AND(U94="Preventivo",V94="Automático"),"50%",IF(AND(U94="Preventivo",V94="Manual"),"40%",IF(AND(U94="Detectivo",V94="Automático"),"40%",IF(AND(U94="Detectivo",V94="Manual"),"30%",IF(AND(U94="Correctivo",V94="Automático"),"35%",IF(AND(U94="Correctivo",V94="Manual"),"25%",""))))))</f>
        <v>30%</v>
      </c>
      <c r="X94" s="197" t="s">
        <v>19</v>
      </c>
      <c r="Y94" s="197" t="s">
        <v>22</v>
      </c>
      <c r="Z94" s="197" t="s">
        <v>110</v>
      </c>
      <c r="AA94" s="90">
        <f>IFERROR(IF(T94="Probabilidad",(AA91-(+AA91*W94)),IF(T94="Impacto",L90,"")),"")</f>
        <v>0.11759999999999998</v>
      </c>
      <c r="AB94" s="199" t="str">
        <f>IFERROR(IF(AA94="","",IF(AA94&lt;=0.2,"Muy Baja",IF(AA94&lt;=0.4,"Baja",IF(AA94&lt;=0.6,"Media",IF(AA94&lt;=0.8,"Alta","Muy Alta"))))),"")</f>
        <v>Muy Baja</v>
      </c>
      <c r="AC94" s="200">
        <f>+AA94</f>
        <v>0.11759999999999998</v>
      </c>
      <c r="AD94" s="199" t="str">
        <f>IFERROR(IF(AE94="","",IF(AE94&lt;=0.2,"Leve",IF(AE94&lt;=0.4,"Menor",IF(AE94&lt;=0.6,"Moderado",IF(AE94&lt;=0.8,"Mayor","Catastrófico"))))),"")</f>
        <v>Leve</v>
      </c>
      <c r="AE94" s="200">
        <f>+P88</f>
        <v>0.2</v>
      </c>
      <c r="AF94" s="201" t="str">
        <f>IFERROR(IF(OR(AND(AB94="Muy Baja",AD94="Leve"),AND(AB94="Muy Baja",AD94="Menor"),AND(AB94="Baja",AD94="Leve")),"Bajo",IF(OR(AND(AB94="Muy baja",AD94="Moderado"),AND(AB94="Baja",AD94="Menor"),AND(AB94="Baja",AD94="Moderado"),AND(AB94="Media",AD94="Leve"),AND(AB94="Media",AD94="Menor"),AND(AB94="Media",AD94="Moderado"),AND(AB94="Alta",AD94="Leve"),AND(AB94="Alta",AD94="Menor")),"Moderado",IF(OR(AND(AB94="Muy Baja",AD94="Mayor"),AND(AB94="Baja",AD94="Mayor"),AND(AB94="Media",AD94="Mayor"),AND(AB94="Alta",AD94="Moderado"),AND(AB94="Alta",AD94="Mayor"),AND(AB94="Muy Alta",AD94="Leve"),AND(AB94="Muy Alta",AD94="Menor"),AND(AB94="Muy Alta",AD94="Moderado"),AND(AB94="Muy Alta",AD94="Mayor")),"Alto",IF(OR(AND(AB94="Muy Baja",AD94="Catastrófico"),AND(AB94="Baja",AD94="Catastrófico"),AND(AB94="Media",AD94="Catastrófico"),AND(AB94="Alta",AD94="Catastrófico"),AND(AB94="Muy Alta",AD94="Catastrófico")),"Extremo","")))),"")</f>
        <v>Bajo</v>
      </c>
      <c r="AG94" s="202" t="s">
        <v>122</v>
      </c>
      <c r="AH94" s="195" t="s">
        <v>392</v>
      </c>
      <c r="AI94" s="160" t="s">
        <v>197</v>
      </c>
      <c r="AJ94" s="173" t="s">
        <v>389</v>
      </c>
      <c r="AK94" s="229" t="s">
        <v>206</v>
      </c>
      <c r="AL94" s="195" t="s">
        <v>225</v>
      </c>
      <c r="AM94" s="166" t="s">
        <v>784</v>
      </c>
      <c r="AN94" s="166" t="s">
        <v>717</v>
      </c>
      <c r="AO94" s="158">
        <v>1</v>
      </c>
      <c r="AP94" s="166" t="s">
        <v>718</v>
      </c>
      <c r="AQ94" s="166" t="s">
        <v>719</v>
      </c>
      <c r="AR94" s="158">
        <v>1</v>
      </c>
      <c r="AS94" s="159"/>
      <c r="AT94" s="159" t="s">
        <v>587</v>
      </c>
      <c r="AU94" s="160" t="s">
        <v>589</v>
      </c>
      <c r="AV94" s="160" t="s">
        <v>589</v>
      </c>
      <c r="AW94" s="160" t="s">
        <v>589</v>
      </c>
      <c r="AX94" s="161" t="s">
        <v>754</v>
      </c>
    </row>
    <row r="95" spans="1:50" s="93" customFormat="1" ht="151.5" hidden="1" customHeight="1" x14ac:dyDescent="0.3">
      <c r="A95" s="365"/>
      <c r="B95" s="354"/>
      <c r="C95" s="392"/>
      <c r="D95" s="392"/>
      <c r="E95" s="388"/>
      <c r="F95" s="388"/>
      <c r="G95" s="388"/>
      <c r="H95" s="373"/>
      <c r="I95" s="388"/>
      <c r="J95" s="381"/>
      <c r="K95" s="383"/>
      <c r="L95" s="375"/>
      <c r="M95" s="386"/>
      <c r="N95" s="136"/>
      <c r="O95" s="383"/>
      <c r="P95" s="375"/>
      <c r="Q95" s="378"/>
      <c r="R95" s="89">
        <v>2</v>
      </c>
      <c r="S95" s="195"/>
      <c r="T95" s="196" t="str">
        <f t="shared" ref="T95:T102" si="89">IF(OR(U95="Preventivo",U95="Detectivo"),"Probabilidad",IF(U95="Correctivo","Impacto",""))</f>
        <v/>
      </c>
      <c r="U95" s="197"/>
      <c r="V95" s="197"/>
      <c r="W95" s="198"/>
      <c r="X95" s="197"/>
      <c r="Y95" s="197"/>
      <c r="Z95" s="197"/>
      <c r="AA95" s="90" t="str">
        <f>IFERROR(IF(T95="Probabilidad",(#REF!-(+#REF!*W95)),IF(T95="Impacto",L95,"")),"")</f>
        <v/>
      </c>
      <c r="AB95" s="199" t="str">
        <f t="shared" ref="AB95:AB102" si="90">IFERROR(IF(AA95="","",IF(AA95&lt;=0.2,"Muy Baja",IF(AA95&lt;=0.4,"Baja",IF(AA95&lt;=0.6,"Media",IF(AA95&lt;=0.8,"Alta","Muy Alta"))))),"")</f>
        <v/>
      </c>
      <c r="AC95" s="200" t="str">
        <f t="shared" ref="AC95:AC102" si="91">+AA95</f>
        <v/>
      </c>
      <c r="AD95" s="199" t="str">
        <f t="shared" ref="AD95:AD102" si="92">IFERROR(IF(AE95="","",IF(AE95&lt;=0.2,"Leve",IF(AE95&lt;=0.4,"Menor",IF(AE95&lt;=0.6,"Moderado",IF(AE95&lt;=0.8,"Mayor","Catastrófico"))))),"")</f>
        <v/>
      </c>
      <c r="AE95" s="200" t="str">
        <f t="shared" ref="AE95:AE102" si="93">IFERROR(IF(T95="Impacto",(P95-(+P95*W95)),IF(T95="Probabilidad",P95,"")),"")</f>
        <v/>
      </c>
      <c r="AF95" s="201" t="str">
        <f t="shared" ref="AF95:AF102" si="94">IFERROR(IF(OR(AND(AB95="Muy Baja",AD95="Leve"),AND(AB95="Muy Baja",AD95="Menor"),AND(AB95="Baja",AD95="Leve")),"Bajo",IF(OR(AND(AB95="Muy baja",AD95="Moderado"),AND(AB95="Baja",AD95="Menor"),AND(AB95="Baja",AD95="Moderado"),AND(AB95="Media",AD95="Leve"),AND(AB95="Media",AD95="Menor"),AND(AB95="Media",AD95="Moderado"),AND(AB95="Alta",AD95="Leve"),AND(AB95="Alta",AD95="Menor")),"Moderado",IF(OR(AND(AB95="Muy Baja",AD95="Mayor"),AND(AB95="Baja",AD95="Mayor"),AND(AB95="Media",AD95="Mayor"),AND(AB95="Alta",AD95="Moderado"),AND(AB95="Alta",AD95="Mayor"),AND(AB95="Muy Alta",AD95="Leve"),AND(AB95="Muy Alta",AD95="Menor"),AND(AB95="Muy Alta",AD95="Moderado"),AND(AB95="Muy Alta",AD95="Mayor")),"Alto",IF(OR(AND(AB95="Muy Baja",AD95="Catastrófico"),AND(AB95="Baja",AD95="Catastrófico"),AND(AB95="Media",AD95="Catastrófico"),AND(AB95="Alta",AD95="Catastrófico"),AND(AB95="Muy Alta",AD95="Catastrófico")),"Extremo","")))),"")</f>
        <v/>
      </c>
      <c r="AG95" s="202"/>
      <c r="AH95" s="195"/>
      <c r="AI95" s="160"/>
      <c r="AJ95" s="159"/>
      <c r="AK95" s="159"/>
      <c r="AL95" s="195"/>
      <c r="AM95" s="166"/>
      <c r="AN95" s="166"/>
      <c r="AO95" s="158"/>
      <c r="AP95" s="166"/>
      <c r="AQ95" s="166"/>
      <c r="AR95" s="158"/>
      <c r="AS95" s="159"/>
      <c r="AT95" s="159" t="s">
        <v>587</v>
      </c>
      <c r="AU95" s="160" t="s">
        <v>589</v>
      </c>
      <c r="AV95" s="160" t="s">
        <v>589</v>
      </c>
      <c r="AW95" s="160" t="s">
        <v>589</v>
      </c>
      <c r="AX95" s="160"/>
    </row>
    <row r="96" spans="1:50" s="93" customFormat="1" ht="151.5" hidden="1" customHeight="1" x14ac:dyDescent="0.3">
      <c r="A96" s="365"/>
      <c r="B96" s="355"/>
      <c r="C96" s="392"/>
      <c r="D96" s="392"/>
      <c r="E96" s="388"/>
      <c r="F96" s="388"/>
      <c r="G96" s="388"/>
      <c r="H96" s="373"/>
      <c r="I96" s="388"/>
      <c r="J96" s="381"/>
      <c r="K96" s="384"/>
      <c r="L96" s="376"/>
      <c r="M96" s="386"/>
      <c r="N96" s="136"/>
      <c r="O96" s="384"/>
      <c r="P96" s="376"/>
      <c r="Q96" s="379"/>
      <c r="R96" s="89">
        <v>3</v>
      </c>
      <c r="S96" s="195"/>
      <c r="T96" s="196" t="str">
        <f t="shared" si="89"/>
        <v/>
      </c>
      <c r="U96" s="197"/>
      <c r="V96" s="197"/>
      <c r="W96" s="198"/>
      <c r="X96" s="197"/>
      <c r="Y96" s="197"/>
      <c r="Z96" s="197"/>
      <c r="AA96" s="90" t="str">
        <f>IFERROR(IF(T96="Probabilidad",(AA95-(+AA95*W96)),IF(T96="Impacto",L96,"")),"")</f>
        <v/>
      </c>
      <c r="AB96" s="199" t="str">
        <f t="shared" si="90"/>
        <v/>
      </c>
      <c r="AC96" s="200" t="str">
        <f t="shared" si="91"/>
        <v/>
      </c>
      <c r="AD96" s="199" t="str">
        <f t="shared" si="92"/>
        <v/>
      </c>
      <c r="AE96" s="200" t="str">
        <f t="shared" si="93"/>
        <v/>
      </c>
      <c r="AF96" s="201" t="str">
        <f t="shared" si="94"/>
        <v/>
      </c>
      <c r="AG96" s="202"/>
      <c r="AH96" s="195"/>
      <c r="AI96" s="160"/>
      <c r="AJ96" s="159"/>
      <c r="AK96" s="159"/>
      <c r="AL96" s="195"/>
      <c r="AM96" s="166"/>
      <c r="AN96" s="166"/>
      <c r="AO96" s="158"/>
      <c r="AP96" s="166"/>
      <c r="AQ96" s="166"/>
      <c r="AR96" s="158"/>
      <c r="AS96" s="159"/>
      <c r="AT96" s="159" t="s">
        <v>587</v>
      </c>
      <c r="AU96" s="160" t="s">
        <v>589</v>
      </c>
      <c r="AV96" s="160" t="s">
        <v>589</v>
      </c>
      <c r="AW96" s="160" t="s">
        <v>589</v>
      </c>
      <c r="AX96" s="160"/>
    </row>
    <row r="97" spans="1:50" s="93" customFormat="1" ht="228" customHeight="1" x14ac:dyDescent="0.3">
      <c r="A97" s="365">
        <f>1+A94</f>
        <v>30</v>
      </c>
      <c r="B97" s="394" t="s">
        <v>393</v>
      </c>
      <c r="C97" s="389" t="s">
        <v>422</v>
      </c>
      <c r="D97" s="389" t="s">
        <v>394</v>
      </c>
      <c r="E97" s="387" t="s">
        <v>118</v>
      </c>
      <c r="F97" s="387" t="s">
        <v>395</v>
      </c>
      <c r="G97" s="387" t="s">
        <v>396</v>
      </c>
      <c r="H97" s="372" t="s">
        <v>397</v>
      </c>
      <c r="I97" s="387" t="s">
        <v>115</v>
      </c>
      <c r="J97" s="380">
        <v>30</v>
      </c>
      <c r="K97" s="382" t="str">
        <f>IF(J97&lt;=0,"",IF(J97&lt;=2,"Muy Baja",IF(J97&lt;=24,"Baja",IF(J97&lt;=500,"Media",IF(J97&lt;=5000,"Alta","Muy Alta")))))</f>
        <v>Media</v>
      </c>
      <c r="L97" s="374">
        <f>IF(K97="","",IF(K97="Muy Baja",0.2,IF(K97="Baja",0.4,IF(K97="Media",0.6,IF(K97="Alta",0.8,IF(K97="Muy Alta",1,))))))</f>
        <v>0.6</v>
      </c>
      <c r="M97" s="385" t="s">
        <v>257</v>
      </c>
      <c r="N97" s="135" t="str">
        <f>IF(NOT(ISERROR(MATCH(M97,'Tabla Impacto'!$B$221:$B$223,0))),'Tabla Impacto'!$F$223&amp;"Por favor no seleccionar los criterios de impacto(Afectación Económica o presupuestal y Pérdida Reputacional)",M97)</f>
        <v xml:space="preserve"> El riesgo afecta la imagen de la entidad con efecto publicitario sostenido a nivel de sector administrativo, nivel departamental o municipal</v>
      </c>
      <c r="O97" s="382" t="str">
        <f>IF(OR(N97='Tabla Impacto'!$C$11,N97='Tabla Impacto'!$D$11),"Leve",IF(OR(N97='Tabla Impacto'!$C$12,N97='Tabla Impacto'!$D$12),"Menor",IF(OR(N97='Tabla Impacto'!$C$13,N97='Tabla Impacto'!$D$13),"Moderado",IF(OR(N97='Tabla Impacto'!$C$14,N97='Tabla Impacto'!$D$14),"Mayor",IF(OR(N97='Tabla Impacto'!$C$15,N97='Tabla Impacto'!$D$15),"Catastrófico","")))))</f>
        <v>Mayor</v>
      </c>
      <c r="P97" s="374">
        <f>IF(O97="","",IF(O97="Leve",0.2,IF(O97="Menor",0.4,IF(O97="Moderado",0.6,IF(O97="Mayor",0.8,IF(O97="Catastrófico",1,))))))</f>
        <v>0.8</v>
      </c>
      <c r="Q97" s="377" t="str">
        <f>IF(OR(AND(K97="Muy Baja",O97="Leve"),AND(K97="Muy Baja",O97="Menor"),AND(K97="Baja",O97="Leve")),"Bajo",IF(OR(AND(K97="Muy baja",O97="Moderado"),AND(K97="Baja",O97="Menor"),AND(K97="Baja",O97="Moderado"),AND(K97="Media",O97="Leve"),AND(K97="Media",O97="Menor"),AND(K97="Media",O97="Moderado"),AND(K97="Alta",O97="Leve"),AND(K97="Alta",O97="Menor")),"Moderado",IF(OR(AND(K97="Muy Baja",O97="Mayor"),AND(K97="Baja",O97="Mayor"),AND(K97="Media",O97="Mayor"),AND(K97="Alta",O97="Moderado"),AND(K97="Alta",O97="Mayor"),AND(K97="Muy Alta",O97="Leve"),AND(K97="Muy Alta",O97="Menor"),AND(K97="Muy Alta",O97="Moderado"),AND(K97="Muy Alta",O97="Mayor")),"Alto",IF(OR(AND(K97="Muy Baja",O97="Catastrófico"),AND(K97="Baja",O97="Catastrófico"),AND(K97="Media",O97="Catastrófico"),AND(K97="Alta",O97="Catastrófico"),AND(K97="Muy Alta",O97="Catastrófico")),"Extremo",""))))</f>
        <v>Alto</v>
      </c>
      <c r="R97" s="89">
        <v>1</v>
      </c>
      <c r="S97" s="195" t="s">
        <v>398</v>
      </c>
      <c r="T97" s="196" t="str">
        <f t="shared" si="89"/>
        <v>Probabilidad</v>
      </c>
      <c r="U97" s="197" t="s">
        <v>14</v>
      </c>
      <c r="V97" s="197" t="s">
        <v>9</v>
      </c>
      <c r="W97" s="198" t="str">
        <f>IF(AND(U97="Preventivo",V97="Automático"),"50%",IF(AND(U97="Preventivo",V97="Manual"),"40%",IF(AND(U97="Detectivo",V97="Automático"),"40%",IF(AND(U97="Detectivo",V97="Manual"),"30%",IF(AND(U97="Correctivo",V97="Automático"),"35%",IF(AND(U97="Correctivo",V97="Manual"),"25%",""))))))</f>
        <v>40%</v>
      </c>
      <c r="X97" s="197" t="s">
        <v>19</v>
      </c>
      <c r="Y97" s="197" t="s">
        <v>22</v>
      </c>
      <c r="Z97" s="197" t="s">
        <v>110</v>
      </c>
      <c r="AA97" s="92">
        <f>IFERROR(IF(T97="Probabilidad",(L97-(+L97*W97)),IF(T97="Impacto",L97,"")),"")</f>
        <v>0.36</v>
      </c>
      <c r="AB97" s="199" t="str">
        <f t="shared" si="90"/>
        <v>Baja</v>
      </c>
      <c r="AC97" s="200">
        <f t="shared" si="91"/>
        <v>0.36</v>
      </c>
      <c r="AD97" s="199" t="str">
        <f t="shared" si="92"/>
        <v>Mayor</v>
      </c>
      <c r="AE97" s="200">
        <f t="shared" si="93"/>
        <v>0.8</v>
      </c>
      <c r="AF97" s="201" t="str">
        <f t="shared" si="94"/>
        <v>Alto</v>
      </c>
      <c r="AG97" s="202" t="s">
        <v>122</v>
      </c>
      <c r="AH97" s="203" t="s">
        <v>399</v>
      </c>
      <c r="AI97" s="174" t="s">
        <v>197</v>
      </c>
      <c r="AJ97" s="173" t="s">
        <v>283</v>
      </c>
      <c r="AK97" s="173" t="s">
        <v>206</v>
      </c>
      <c r="AL97" s="203" t="s">
        <v>442</v>
      </c>
      <c r="AM97" s="166" t="s">
        <v>720</v>
      </c>
      <c r="AN97" s="166" t="s">
        <v>721</v>
      </c>
      <c r="AO97" s="158">
        <v>1</v>
      </c>
      <c r="AP97" s="166" t="s">
        <v>722</v>
      </c>
      <c r="AQ97" s="166" t="s">
        <v>723</v>
      </c>
      <c r="AR97" s="158">
        <v>1</v>
      </c>
      <c r="AS97" s="159"/>
      <c r="AT97" s="159" t="s">
        <v>587</v>
      </c>
      <c r="AU97" s="160" t="s">
        <v>589</v>
      </c>
      <c r="AV97" s="160" t="s">
        <v>589</v>
      </c>
      <c r="AW97" s="160" t="s">
        <v>589</v>
      </c>
      <c r="AX97" s="161" t="s">
        <v>754</v>
      </c>
    </row>
    <row r="98" spans="1:50" s="93" customFormat="1" ht="151.5" hidden="1" customHeight="1" x14ac:dyDescent="0.3">
      <c r="A98" s="365"/>
      <c r="B98" s="395"/>
      <c r="C98" s="390"/>
      <c r="D98" s="390"/>
      <c r="E98" s="388"/>
      <c r="F98" s="388"/>
      <c r="G98" s="388"/>
      <c r="H98" s="373"/>
      <c r="I98" s="388"/>
      <c r="J98" s="381"/>
      <c r="K98" s="383"/>
      <c r="L98" s="375"/>
      <c r="M98" s="386"/>
      <c r="N98" s="135"/>
      <c r="O98" s="383"/>
      <c r="P98" s="375"/>
      <c r="Q98" s="378"/>
      <c r="R98" s="89">
        <v>2</v>
      </c>
      <c r="S98" s="195"/>
      <c r="T98" s="196" t="str">
        <f t="shared" si="89"/>
        <v/>
      </c>
      <c r="U98" s="197"/>
      <c r="V98" s="197"/>
      <c r="W98" s="198" t="str">
        <f>IF(AND(U98="Preventivo",V98="Automático"),"50%",IF(AND(U98="Preventivo",V98="Manual"),"40%",IF(AND(U98="Detectivo",V98="Automático"),"40%",IF(AND(U98="Detectivo",V98="Manual"),"30%",IF(AND(U98="Correctivo",V98="Automático"),"35%",IF(AND(U98="Correctivo",V98="Manual"),"25%",""))))))</f>
        <v/>
      </c>
      <c r="X98" s="197"/>
      <c r="Y98" s="197"/>
      <c r="Z98" s="197"/>
      <c r="AA98" s="92" t="str">
        <f>IFERROR(IF(T98="Probabilidad",(L98-(+L98*W98)),IF(T98="Impacto",L98,"")),"")</f>
        <v/>
      </c>
      <c r="AB98" s="199" t="str">
        <f t="shared" si="90"/>
        <v/>
      </c>
      <c r="AC98" s="200" t="str">
        <f t="shared" si="91"/>
        <v/>
      </c>
      <c r="AD98" s="199" t="str">
        <f t="shared" si="92"/>
        <v/>
      </c>
      <c r="AE98" s="200" t="str">
        <f t="shared" si="93"/>
        <v/>
      </c>
      <c r="AF98" s="201" t="str">
        <f t="shared" si="94"/>
        <v/>
      </c>
      <c r="AG98" s="202"/>
      <c r="AH98" s="195"/>
      <c r="AI98" s="174"/>
      <c r="AJ98" s="173"/>
      <c r="AK98" s="173"/>
      <c r="AL98" s="203"/>
      <c r="AM98" s="166"/>
      <c r="AN98" s="166"/>
      <c r="AO98" s="158"/>
      <c r="AP98" s="166"/>
      <c r="AQ98" s="166"/>
      <c r="AR98" s="158"/>
      <c r="AS98" s="159"/>
      <c r="AT98" s="159" t="s">
        <v>587</v>
      </c>
      <c r="AU98" s="160" t="s">
        <v>589</v>
      </c>
      <c r="AV98" s="160" t="s">
        <v>589</v>
      </c>
      <c r="AW98" s="160" t="s">
        <v>589</v>
      </c>
      <c r="AX98" s="160"/>
    </row>
    <row r="99" spans="1:50" s="93" customFormat="1" ht="151.5" hidden="1" customHeight="1" x14ac:dyDescent="0.3">
      <c r="A99" s="365"/>
      <c r="B99" s="396"/>
      <c r="C99" s="404"/>
      <c r="D99" s="390"/>
      <c r="E99" s="388"/>
      <c r="F99" s="388"/>
      <c r="G99" s="388"/>
      <c r="H99" s="373"/>
      <c r="I99" s="388"/>
      <c r="J99" s="381"/>
      <c r="K99" s="384"/>
      <c r="L99" s="376"/>
      <c r="M99" s="386"/>
      <c r="N99" s="135"/>
      <c r="O99" s="384"/>
      <c r="P99" s="376"/>
      <c r="Q99" s="379"/>
      <c r="R99" s="89">
        <v>3</v>
      </c>
      <c r="S99" s="195"/>
      <c r="T99" s="196" t="str">
        <f t="shared" si="89"/>
        <v/>
      </c>
      <c r="U99" s="197"/>
      <c r="V99" s="197"/>
      <c r="W99" s="198"/>
      <c r="X99" s="197"/>
      <c r="Y99" s="197"/>
      <c r="Z99" s="197"/>
      <c r="AA99" s="90" t="str">
        <f>IFERROR(IF(T99="Probabilidad",(AA98-(+AA98*W99)),IF(T99="Impacto",L99,"")),"")</f>
        <v/>
      </c>
      <c r="AB99" s="199" t="str">
        <f t="shared" si="90"/>
        <v/>
      </c>
      <c r="AC99" s="200" t="str">
        <f t="shared" si="91"/>
        <v/>
      </c>
      <c r="AD99" s="199" t="str">
        <f t="shared" si="92"/>
        <v/>
      </c>
      <c r="AE99" s="200" t="str">
        <f t="shared" si="93"/>
        <v/>
      </c>
      <c r="AF99" s="201" t="str">
        <f t="shared" si="94"/>
        <v/>
      </c>
      <c r="AG99" s="202"/>
      <c r="AH99" s="195"/>
      <c r="AI99" s="160"/>
      <c r="AJ99" s="159"/>
      <c r="AK99" s="159"/>
      <c r="AL99" s="195"/>
      <c r="AM99" s="166"/>
      <c r="AN99" s="166"/>
      <c r="AO99" s="158"/>
      <c r="AP99" s="166"/>
      <c r="AQ99" s="166"/>
      <c r="AR99" s="158"/>
      <c r="AS99" s="159"/>
      <c r="AT99" s="159" t="s">
        <v>587</v>
      </c>
      <c r="AU99" s="160" t="s">
        <v>589</v>
      </c>
      <c r="AV99" s="160" t="s">
        <v>589</v>
      </c>
      <c r="AW99" s="160" t="s">
        <v>589</v>
      </c>
      <c r="AX99" s="160"/>
    </row>
    <row r="100" spans="1:50" s="93" customFormat="1" ht="151.5" customHeight="1" x14ac:dyDescent="0.3">
      <c r="A100" s="365">
        <f>1+A97</f>
        <v>31</v>
      </c>
      <c r="B100" s="394" t="s">
        <v>393</v>
      </c>
      <c r="C100" s="389" t="s">
        <v>422</v>
      </c>
      <c r="D100" s="389" t="s">
        <v>394</v>
      </c>
      <c r="E100" s="387" t="s">
        <v>118</v>
      </c>
      <c r="F100" s="391" t="s">
        <v>400</v>
      </c>
      <c r="G100" s="391" t="s">
        <v>401</v>
      </c>
      <c r="H100" s="372" t="s">
        <v>402</v>
      </c>
      <c r="I100" s="387" t="s">
        <v>218</v>
      </c>
      <c r="J100" s="380">
        <v>12</v>
      </c>
      <c r="K100" s="382" t="str">
        <f>IF(J100&lt;=0,"",IF(J100&lt;=2,"Muy Baja",IF(J100&lt;=24,"Baja",IF(J100&lt;=500,"Media",IF(J100&lt;=5000,"Alta","Muy Alta")))))</f>
        <v>Baja</v>
      </c>
      <c r="L100" s="374">
        <f>IF(K100="","",IF(K100="Muy Baja",0.2,IF(K100="Baja",0.4,IF(K100="Media",0.6,IF(K100="Alta",0.8,IF(K100="Muy Alta",1,))))))</f>
        <v>0.4</v>
      </c>
      <c r="M100" s="385" t="s">
        <v>250</v>
      </c>
      <c r="N100" s="135" t="str">
        <f>IF(NOT(ISERROR(MATCH(M100,'Tabla Impacto'!$B$221:$B$223,0))),'Tabla Impacto'!$F$223&amp;"Por favor no seleccionar los criterios de impacto(Afectación Económica o presupuestal y Pérdida Reputacional)",M100)</f>
        <v xml:space="preserve"> El riesgo afecta la imagen de la entidad con algunos usuarios de relevancia frente al logro de los objetivos</v>
      </c>
      <c r="O100" s="382" t="str">
        <f>IF(OR(N100='Tabla Impacto'!$C$11,N100='Tabla Impacto'!$D$11),"Leve",IF(OR(N100='Tabla Impacto'!$C$12,N100='Tabla Impacto'!$D$12),"Menor",IF(OR(N100='Tabla Impacto'!$C$13,N100='Tabla Impacto'!$D$13),"Moderado",IF(OR(N100='Tabla Impacto'!$C$14,N100='Tabla Impacto'!$D$14),"Mayor",IF(OR(N100='Tabla Impacto'!$C$15,N100='Tabla Impacto'!$D$15),"Catastrófico","")))))</f>
        <v>Moderado</v>
      </c>
      <c r="P100" s="374">
        <f>IF(O100="","",IF(O100="Leve",0.2,IF(O100="Menor",0.4,IF(O100="Moderado",0.6,IF(O100="Mayor",0.8,IF(O100="Catastrófico",1,))))))</f>
        <v>0.6</v>
      </c>
      <c r="Q100" s="377" t="str">
        <f>IF(OR(AND(K100="Muy Baja",O100="Leve"),AND(K100="Muy Baja",O100="Menor"),AND(K100="Baja",O100="Leve")),"Bajo",IF(OR(AND(K100="Muy baja",O100="Moderado"),AND(K100="Baja",O100="Menor"),AND(K100="Baja",O100="Moderado"),AND(K100="Media",O100="Leve"),AND(K100="Media",O100="Menor"),AND(K100="Media",O100="Moderado"),AND(K100="Alta",O100="Leve"),AND(K100="Alta",O100="Menor")),"Moderado",IF(OR(AND(K100="Muy Baja",O100="Mayor"),AND(K100="Baja",O100="Mayor"),AND(K100="Media",O100="Mayor"),AND(K100="Alta",O100="Moderado"),AND(K100="Alta",O100="Mayor"),AND(K100="Muy Alta",O100="Leve"),AND(K100="Muy Alta",O100="Menor"),AND(K100="Muy Alta",O100="Moderado"),AND(K100="Muy Alta",O100="Mayor")),"Alto",IF(OR(AND(K100="Muy Baja",O100="Catastrófico"),AND(K100="Baja",O100="Catastrófico"),AND(K100="Media",O100="Catastrófico"),AND(K100="Alta",O100="Catastrófico"),AND(K100="Muy Alta",O100="Catastrófico")),"Extremo",""))))</f>
        <v>Moderado</v>
      </c>
      <c r="R100" s="89">
        <v>1</v>
      </c>
      <c r="S100" s="195" t="s">
        <v>403</v>
      </c>
      <c r="T100" s="196" t="str">
        <f t="shared" si="89"/>
        <v>Probabilidad</v>
      </c>
      <c r="U100" s="197" t="s">
        <v>14</v>
      </c>
      <c r="V100" s="197" t="s">
        <v>9</v>
      </c>
      <c r="W100" s="198" t="str">
        <f>IF(AND(U100="Preventivo",V100="Automático"),"50%",IF(AND(U100="Preventivo",V100="Manual"),"40%",IF(AND(U100="Detectivo",V100="Automático"),"40%",IF(AND(U100="Detectivo",V100="Manual"),"30%",IF(AND(U100="Correctivo",V100="Automático"),"35%",IF(AND(U100="Correctivo",V100="Manual"),"25%",""))))))</f>
        <v>40%</v>
      </c>
      <c r="X100" s="197" t="s">
        <v>19</v>
      </c>
      <c r="Y100" s="197" t="s">
        <v>22</v>
      </c>
      <c r="Z100" s="197" t="s">
        <v>110</v>
      </c>
      <c r="AA100" s="92">
        <f>IFERROR(IF(T100="Probabilidad",(L100-(+L100*W100)),IF(T100="Impacto",L100,"")),"")</f>
        <v>0.24</v>
      </c>
      <c r="AB100" s="199" t="str">
        <f t="shared" si="90"/>
        <v>Baja</v>
      </c>
      <c r="AC100" s="200">
        <f t="shared" si="91"/>
        <v>0.24</v>
      </c>
      <c r="AD100" s="199" t="str">
        <f t="shared" si="92"/>
        <v>Moderado</v>
      </c>
      <c r="AE100" s="200">
        <f t="shared" si="93"/>
        <v>0.6</v>
      </c>
      <c r="AF100" s="201" t="str">
        <f t="shared" si="94"/>
        <v>Moderado</v>
      </c>
      <c r="AG100" s="202" t="s">
        <v>122</v>
      </c>
      <c r="AH100" s="195" t="s">
        <v>404</v>
      </c>
      <c r="AI100" s="160" t="s">
        <v>193</v>
      </c>
      <c r="AJ100" s="159" t="s">
        <v>283</v>
      </c>
      <c r="AK100" s="159" t="s">
        <v>206</v>
      </c>
      <c r="AL100" s="195" t="s">
        <v>405</v>
      </c>
      <c r="AM100" s="166" t="s">
        <v>724</v>
      </c>
      <c r="AN100" s="166" t="s">
        <v>725</v>
      </c>
      <c r="AO100" s="158">
        <v>1</v>
      </c>
      <c r="AP100" s="166" t="s">
        <v>785</v>
      </c>
      <c r="AQ100" s="166" t="s">
        <v>726</v>
      </c>
      <c r="AR100" s="158">
        <v>1</v>
      </c>
      <c r="AS100" s="159"/>
      <c r="AT100" s="159" t="s">
        <v>587</v>
      </c>
      <c r="AU100" s="160" t="s">
        <v>589</v>
      </c>
      <c r="AV100" s="160" t="s">
        <v>589</v>
      </c>
      <c r="AW100" s="160" t="s">
        <v>589</v>
      </c>
      <c r="AX100" s="161" t="s">
        <v>754</v>
      </c>
    </row>
    <row r="101" spans="1:50" s="93" customFormat="1" ht="151.5" hidden="1" customHeight="1" x14ac:dyDescent="0.3">
      <c r="A101" s="365"/>
      <c r="B101" s="395"/>
      <c r="C101" s="390"/>
      <c r="D101" s="390"/>
      <c r="E101" s="388"/>
      <c r="F101" s="388"/>
      <c r="G101" s="388"/>
      <c r="H101" s="373"/>
      <c r="I101" s="388"/>
      <c r="J101" s="381"/>
      <c r="K101" s="383"/>
      <c r="L101" s="375"/>
      <c r="M101" s="386"/>
      <c r="N101" s="136"/>
      <c r="O101" s="383"/>
      <c r="P101" s="375"/>
      <c r="Q101" s="378"/>
      <c r="R101" s="89">
        <v>2</v>
      </c>
      <c r="S101" s="195"/>
      <c r="T101" s="196" t="str">
        <f t="shared" si="89"/>
        <v/>
      </c>
      <c r="U101" s="197"/>
      <c r="V101" s="197"/>
      <c r="W101" s="198" t="str">
        <f t="shared" ref="W101:W102" si="95">IF(AND(U101="Preventivo",V101="Automático"),"50%",IF(AND(U101="Preventivo",V101="Manual"),"40%",IF(AND(U101="Detectivo",V101="Automático"),"40%",IF(AND(U101="Detectivo",V101="Manual"),"30%",IF(AND(U101="Correctivo",V101="Automático"),"35%",IF(AND(U101="Correctivo",V101="Manual"),"25%",""))))))</f>
        <v/>
      </c>
      <c r="X101" s="197"/>
      <c r="Y101" s="197"/>
      <c r="Z101" s="197"/>
      <c r="AA101" s="90" t="str">
        <f>IFERROR(IF(T101="Probabilidad",(AA100-(+AA100*W101)),IF(T101="Impacto",L101,"")),"")</f>
        <v/>
      </c>
      <c r="AB101" s="199" t="str">
        <f t="shared" si="90"/>
        <v/>
      </c>
      <c r="AC101" s="200" t="str">
        <f t="shared" si="91"/>
        <v/>
      </c>
      <c r="AD101" s="199" t="str">
        <f t="shared" si="92"/>
        <v/>
      </c>
      <c r="AE101" s="200" t="str">
        <f t="shared" si="93"/>
        <v/>
      </c>
      <c r="AF101" s="201" t="str">
        <f t="shared" si="94"/>
        <v/>
      </c>
      <c r="AG101" s="202"/>
      <c r="AH101" s="203"/>
      <c r="AI101" s="174"/>
      <c r="AJ101" s="173"/>
      <c r="AK101" s="173"/>
      <c r="AL101" s="203"/>
      <c r="AM101" s="166"/>
      <c r="AN101" s="166"/>
      <c r="AO101" s="158"/>
      <c r="AP101" s="166"/>
      <c r="AQ101" s="166"/>
      <c r="AR101" s="158"/>
      <c r="AS101" s="159"/>
      <c r="AT101" s="159" t="s">
        <v>587</v>
      </c>
      <c r="AU101" s="160" t="s">
        <v>589</v>
      </c>
      <c r="AV101" s="160" t="s">
        <v>589</v>
      </c>
      <c r="AW101" s="160" t="s">
        <v>589</v>
      </c>
      <c r="AX101" s="160"/>
    </row>
    <row r="102" spans="1:50" s="93" customFormat="1" ht="151.5" hidden="1" customHeight="1" x14ac:dyDescent="0.3">
      <c r="A102" s="365"/>
      <c r="B102" s="396"/>
      <c r="C102" s="404"/>
      <c r="D102" s="390"/>
      <c r="E102" s="388"/>
      <c r="F102" s="388"/>
      <c r="G102" s="388"/>
      <c r="H102" s="373"/>
      <c r="I102" s="388"/>
      <c r="J102" s="381"/>
      <c r="K102" s="384"/>
      <c r="L102" s="376"/>
      <c r="M102" s="386"/>
      <c r="N102" s="136"/>
      <c r="O102" s="384"/>
      <c r="P102" s="376"/>
      <c r="Q102" s="379"/>
      <c r="R102" s="89">
        <v>3</v>
      </c>
      <c r="S102" s="195"/>
      <c r="T102" s="196" t="str">
        <f t="shared" si="89"/>
        <v/>
      </c>
      <c r="U102" s="197"/>
      <c r="V102" s="197"/>
      <c r="W102" s="198" t="str">
        <f t="shared" si="95"/>
        <v/>
      </c>
      <c r="X102" s="197"/>
      <c r="Y102" s="197"/>
      <c r="Z102" s="197"/>
      <c r="AA102" s="90" t="str">
        <f>IFERROR(IF(T102="Probabilidad",(AA101-(+AA101*W102)),IF(T102="Impacto",L102,"")),"")</f>
        <v/>
      </c>
      <c r="AB102" s="199" t="str">
        <f t="shared" si="90"/>
        <v/>
      </c>
      <c r="AC102" s="200" t="str">
        <f t="shared" si="91"/>
        <v/>
      </c>
      <c r="AD102" s="199" t="str">
        <f t="shared" si="92"/>
        <v/>
      </c>
      <c r="AE102" s="200" t="str">
        <f t="shared" si="93"/>
        <v/>
      </c>
      <c r="AF102" s="201" t="str">
        <f t="shared" si="94"/>
        <v/>
      </c>
      <c r="AG102" s="202"/>
      <c r="AH102" s="195"/>
      <c r="AI102" s="160"/>
      <c r="AJ102" s="159"/>
      <c r="AK102" s="159"/>
      <c r="AL102" s="195"/>
      <c r="AM102" s="166"/>
      <c r="AN102" s="166"/>
      <c r="AO102" s="158"/>
      <c r="AP102" s="166"/>
      <c r="AQ102" s="166"/>
      <c r="AR102" s="158"/>
      <c r="AS102" s="159"/>
      <c r="AT102" s="159" t="s">
        <v>587</v>
      </c>
      <c r="AU102" s="160" t="s">
        <v>589</v>
      </c>
      <c r="AV102" s="160" t="s">
        <v>589</v>
      </c>
      <c r="AW102" s="160" t="s">
        <v>589</v>
      </c>
      <c r="AX102" s="160"/>
    </row>
    <row r="103" spans="1:50" s="93" customFormat="1" ht="151.5" customHeight="1" x14ac:dyDescent="0.3">
      <c r="A103" s="365">
        <f>1+A100</f>
        <v>32</v>
      </c>
      <c r="B103" s="394" t="s">
        <v>393</v>
      </c>
      <c r="C103" s="389" t="s">
        <v>422</v>
      </c>
      <c r="D103" s="389" t="s">
        <v>394</v>
      </c>
      <c r="E103" s="372" t="s">
        <v>120</v>
      </c>
      <c r="F103" s="393" t="s">
        <v>443</v>
      </c>
      <c r="G103" s="393" t="s">
        <v>444</v>
      </c>
      <c r="H103" s="372" t="s">
        <v>445</v>
      </c>
      <c r="I103" s="387" t="s">
        <v>218</v>
      </c>
      <c r="J103" s="380">
        <v>12</v>
      </c>
      <c r="K103" s="382" t="str">
        <f>IF(J103&lt;=0,"",IF(J103&lt;=2,"Muy Baja",IF(J103&lt;=24,"Baja",IF(J103&lt;=500,"Media",IF(J103&lt;=5000,"Alta","Muy Alta")))))</f>
        <v>Baja</v>
      </c>
      <c r="L103" s="374">
        <f>IF(K103="","",IF(K103="Muy Baja",0.2,IF(K103="Baja",0.4,IF(K103="Media",0.6,IF(K103="Alta",0.8,IF(K103="Muy Alta",1,))))))</f>
        <v>0.4</v>
      </c>
      <c r="M103" s="385" t="s">
        <v>250</v>
      </c>
      <c r="N103" s="135" t="str">
        <f>IF(NOT(ISERROR(MATCH(M103,'Tabla Impacto'!$B$221:$B$223,0))),'Tabla Impacto'!$F$223&amp;"Por favor no seleccionar los criterios de impacto(Afectación Económica o presupuestal y Pérdida Reputacional)",M103)</f>
        <v xml:space="preserve"> El riesgo afecta la imagen de la entidad con algunos usuarios de relevancia frente al logro de los objetivos</v>
      </c>
      <c r="O103" s="382" t="str">
        <f>IF(OR(N103='Tabla Impacto'!$C$11,N103='Tabla Impacto'!$D$11),"Leve",IF(OR(N103='Tabla Impacto'!$C$12,N103='Tabla Impacto'!$D$12),"Menor",IF(OR(N103='Tabla Impacto'!$C$13,N103='Tabla Impacto'!$D$13),"Moderado",IF(OR(N103='Tabla Impacto'!$C$14,N103='Tabla Impacto'!$D$14),"Mayor",IF(OR(N103='Tabla Impacto'!$C$15,N103='Tabla Impacto'!$D$15),"Catastrófico","")))))</f>
        <v>Moderado</v>
      </c>
      <c r="P103" s="374">
        <f>IF(O103="","",IF(O103="Leve",0.2,IF(O103="Menor",0.4,IF(O103="Moderado",0.6,IF(O103="Mayor",0.8,IF(O103="Catastrófico",1,))))))</f>
        <v>0.6</v>
      </c>
      <c r="Q103" s="377" t="str">
        <f>IF(OR(AND(K103="Muy Baja",O103="Leve"),AND(K103="Muy Baja",O103="Menor"),AND(K103="Baja",O103="Leve")),"Bajo",IF(OR(AND(K103="Muy baja",O103="Moderado"),AND(K103="Baja",O103="Menor"),AND(K103="Baja",O103="Moderado"),AND(K103="Media",O103="Leve"),AND(K103="Media",O103="Menor"),AND(K103="Media",O103="Moderado"),AND(K103="Alta",O103="Leve"),AND(K103="Alta",O103="Menor")),"Moderado",IF(OR(AND(K103="Muy Baja",O103="Mayor"),AND(K103="Baja",O103="Mayor"),AND(K103="Media",O103="Mayor"),AND(K103="Alta",O103="Moderado"),AND(K103="Alta",O103="Mayor"),AND(K103="Muy Alta",O103="Leve"),AND(K103="Muy Alta",O103="Menor"),AND(K103="Muy Alta",O103="Moderado"),AND(K103="Muy Alta",O103="Mayor")),"Alto",IF(OR(AND(K103="Muy Baja",O103="Catastrófico"),AND(K103="Baja",O103="Catastrófico"),AND(K103="Media",O103="Catastrófico"),AND(K103="Alta",O103="Catastrófico"),AND(K103="Muy Alta",O103="Catastrófico")),"Extremo",""))))</f>
        <v>Moderado</v>
      </c>
      <c r="R103" s="89">
        <v>1</v>
      </c>
      <c r="S103" s="195" t="s">
        <v>406</v>
      </c>
      <c r="T103" s="196" t="str">
        <f t="shared" ref="T103:T105" si="96">IF(OR(U103="Preventivo",U103="Detectivo"),"Probabilidad",IF(U103="Correctivo","Impacto",""))</f>
        <v>Probabilidad</v>
      </c>
      <c r="U103" s="197" t="s">
        <v>14</v>
      </c>
      <c r="V103" s="197" t="s">
        <v>9</v>
      </c>
      <c r="W103" s="198" t="str">
        <f>IF(AND(U103="Preventivo",V103="Automático"),"50%",IF(AND(U103="Preventivo",V103="Manual"),"40%",IF(AND(U103="Detectivo",V103="Automático"),"40%",IF(AND(U103="Detectivo",V103="Manual"),"30%",IF(AND(U103="Correctivo",V103="Automático"),"35%",IF(AND(U103="Correctivo",V103="Manual"),"25%",""))))))</f>
        <v>40%</v>
      </c>
      <c r="X103" s="197" t="s">
        <v>19</v>
      </c>
      <c r="Y103" s="197" t="s">
        <v>22</v>
      </c>
      <c r="Z103" s="197" t="s">
        <v>110</v>
      </c>
      <c r="AA103" s="92">
        <f>IFERROR(IF(T103="Probabilidad",(L103-(+L103*W103)),IF(T103="Impacto",L103,"")),"")</f>
        <v>0.24</v>
      </c>
      <c r="AB103" s="199" t="str">
        <f t="shared" ref="AB103:AB105" si="97">IFERROR(IF(AA103="","",IF(AA103&lt;=0.2,"Muy Baja",IF(AA103&lt;=0.4,"Baja",IF(AA103&lt;=0.6,"Media",IF(AA103&lt;=0.8,"Alta","Muy Alta"))))),"")</f>
        <v>Baja</v>
      </c>
      <c r="AC103" s="200">
        <f t="shared" ref="AC103:AC105" si="98">+AA103</f>
        <v>0.24</v>
      </c>
      <c r="AD103" s="199" t="str">
        <f t="shared" ref="AD103:AD105" si="99">IFERROR(IF(AE103="","",IF(AE103&lt;=0.2,"Leve",IF(AE103&lt;=0.4,"Menor",IF(AE103&lt;=0.6,"Moderado",IF(AE103&lt;=0.8,"Mayor","Catastrófico"))))),"")</f>
        <v>Moderado</v>
      </c>
      <c r="AE103" s="200">
        <f t="shared" ref="AE103:AE105" si="100">IFERROR(IF(T103="Impacto",(P103-(+P103*W103)),IF(T103="Probabilidad",P103,"")),"")</f>
        <v>0.6</v>
      </c>
      <c r="AF103" s="201" t="str">
        <f t="shared" ref="AF103:AF105" si="101">IFERROR(IF(OR(AND(AB103="Muy Baja",AD103="Leve"),AND(AB103="Muy Baja",AD103="Menor"),AND(AB103="Baja",AD103="Leve")),"Bajo",IF(OR(AND(AB103="Muy baja",AD103="Moderado"),AND(AB103="Baja",AD103="Menor"),AND(AB103="Baja",AD103="Moderado"),AND(AB103="Media",AD103="Leve"),AND(AB103="Media",AD103="Menor"),AND(AB103="Media",AD103="Moderado"),AND(AB103="Alta",AD103="Leve"),AND(AB103="Alta",AD103="Menor")),"Moderado",IF(OR(AND(AB103="Muy Baja",AD103="Mayor"),AND(AB103="Baja",AD103="Mayor"),AND(AB103="Media",AD103="Mayor"),AND(AB103="Alta",AD103="Moderado"),AND(AB103="Alta",AD103="Mayor"),AND(AB103="Muy Alta",AD103="Leve"),AND(AB103="Muy Alta",AD103="Menor"),AND(AB103="Muy Alta",AD103="Moderado"),AND(AB103="Muy Alta",AD103="Mayor")),"Alto",IF(OR(AND(AB103="Muy Baja",AD103="Catastrófico"),AND(AB103="Baja",AD103="Catastrófico"),AND(AB103="Media",AD103="Catastrófico"),AND(AB103="Alta",AD103="Catastrófico"),AND(AB103="Muy Alta",AD103="Catastrófico")),"Extremo","")))),"")</f>
        <v>Moderado</v>
      </c>
      <c r="AG103" s="202" t="s">
        <v>122</v>
      </c>
      <c r="AH103" s="195" t="s">
        <v>407</v>
      </c>
      <c r="AI103" s="161" t="s">
        <v>203</v>
      </c>
      <c r="AJ103" s="159" t="s">
        <v>283</v>
      </c>
      <c r="AK103" s="159" t="s">
        <v>206</v>
      </c>
      <c r="AL103" s="195" t="s">
        <v>408</v>
      </c>
      <c r="AM103" s="166" t="s">
        <v>727</v>
      </c>
      <c r="AN103" s="166" t="s">
        <v>786</v>
      </c>
      <c r="AO103" s="158">
        <v>1</v>
      </c>
      <c r="AP103" s="166" t="s">
        <v>728</v>
      </c>
      <c r="AQ103" s="166" t="s">
        <v>729</v>
      </c>
      <c r="AR103" s="158">
        <v>1</v>
      </c>
      <c r="AS103" s="175"/>
      <c r="AT103" s="159" t="s">
        <v>587</v>
      </c>
      <c r="AU103" s="160" t="s">
        <v>589</v>
      </c>
      <c r="AV103" s="160" t="s">
        <v>589</v>
      </c>
      <c r="AW103" s="160" t="s">
        <v>589</v>
      </c>
      <c r="AX103" s="161" t="s">
        <v>754</v>
      </c>
    </row>
    <row r="104" spans="1:50" s="93" customFormat="1" ht="151.5" customHeight="1" x14ac:dyDescent="0.3">
      <c r="A104" s="365"/>
      <c r="B104" s="395"/>
      <c r="C104" s="390"/>
      <c r="D104" s="390"/>
      <c r="E104" s="373"/>
      <c r="F104" s="373"/>
      <c r="G104" s="373"/>
      <c r="H104" s="373"/>
      <c r="I104" s="388"/>
      <c r="J104" s="381"/>
      <c r="K104" s="383"/>
      <c r="L104" s="375"/>
      <c r="M104" s="386"/>
      <c r="N104" s="136"/>
      <c r="O104" s="383"/>
      <c r="P104" s="375"/>
      <c r="Q104" s="378"/>
      <c r="R104" s="89">
        <v>2</v>
      </c>
      <c r="S104" s="203" t="s">
        <v>446</v>
      </c>
      <c r="T104" s="196" t="str">
        <f t="shared" si="96"/>
        <v>Probabilidad</v>
      </c>
      <c r="U104" s="197" t="s">
        <v>15</v>
      </c>
      <c r="V104" s="197" t="s">
        <v>9</v>
      </c>
      <c r="W104" s="198" t="str">
        <f t="shared" ref="W104:W105" si="102">IF(AND(U104="Preventivo",V104="Automático"),"50%",IF(AND(U104="Preventivo",V104="Manual"),"40%",IF(AND(U104="Detectivo",V104="Automático"),"40%",IF(AND(U104="Detectivo",V104="Manual"),"30%",IF(AND(U104="Correctivo",V104="Automático"),"35%",IF(AND(U104="Correctivo",V104="Manual"),"25%",""))))))</f>
        <v>30%</v>
      </c>
      <c r="X104" s="197" t="s">
        <v>20</v>
      </c>
      <c r="Y104" s="197" t="s">
        <v>23</v>
      </c>
      <c r="Z104" s="197" t="s">
        <v>110</v>
      </c>
      <c r="AA104" s="90">
        <f>IFERROR(IF(T104="Probabilidad",(AA103-(+AA103*W104)),IF(T104="Impacto",L104,"")),"")</f>
        <v>0.16799999999999998</v>
      </c>
      <c r="AB104" s="199" t="str">
        <f t="shared" si="97"/>
        <v>Muy Baja</v>
      </c>
      <c r="AC104" s="200">
        <f t="shared" si="98"/>
        <v>0.16799999999999998</v>
      </c>
      <c r="AD104" s="199" t="str">
        <f t="shared" si="99"/>
        <v>Leve</v>
      </c>
      <c r="AE104" s="200">
        <f t="shared" si="100"/>
        <v>0</v>
      </c>
      <c r="AF104" s="201" t="str">
        <f t="shared" si="101"/>
        <v>Bajo</v>
      </c>
      <c r="AG104" s="202" t="s">
        <v>122</v>
      </c>
      <c r="AH104" s="203" t="s">
        <v>686</v>
      </c>
      <c r="AI104" s="231"/>
      <c r="AJ104" s="228"/>
      <c r="AK104" s="228"/>
      <c r="AL104" s="195" t="s">
        <v>686</v>
      </c>
      <c r="AM104" s="166" t="s">
        <v>730</v>
      </c>
      <c r="AN104" s="166" t="s">
        <v>731</v>
      </c>
      <c r="AO104" s="158">
        <v>1</v>
      </c>
      <c r="AP104" s="166" t="s">
        <v>732</v>
      </c>
      <c r="AQ104" s="166" t="s">
        <v>733</v>
      </c>
      <c r="AR104" s="158">
        <v>1</v>
      </c>
      <c r="AS104" s="159"/>
      <c r="AT104" s="159" t="s">
        <v>587</v>
      </c>
      <c r="AU104" s="160" t="s">
        <v>589</v>
      </c>
      <c r="AV104" s="160" t="s">
        <v>589</v>
      </c>
      <c r="AW104" s="160" t="s">
        <v>589</v>
      </c>
      <c r="AX104" s="161" t="s">
        <v>754</v>
      </c>
    </row>
    <row r="105" spans="1:50" s="93" customFormat="1" ht="151.5" customHeight="1" x14ac:dyDescent="0.3">
      <c r="A105" s="365"/>
      <c r="B105" s="396"/>
      <c r="C105" s="404"/>
      <c r="D105" s="390"/>
      <c r="E105" s="373"/>
      <c r="F105" s="373"/>
      <c r="G105" s="373"/>
      <c r="H105" s="373"/>
      <c r="I105" s="388"/>
      <c r="J105" s="381"/>
      <c r="K105" s="384"/>
      <c r="L105" s="376"/>
      <c r="M105" s="386"/>
      <c r="N105" s="136"/>
      <c r="O105" s="384"/>
      <c r="P105" s="376"/>
      <c r="Q105" s="379"/>
      <c r="R105" s="89">
        <v>3</v>
      </c>
      <c r="S105" s="203" t="s">
        <v>447</v>
      </c>
      <c r="T105" s="196" t="str">
        <f t="shared" si="96"/>
        <v>Probabilidad</v>
      </c>
      <c r="U105" s="197" t="s">
        <v>14</v>
      </c>
      <c r="V105" s="197" t="s">
        <v>9</v>
      </c>
      <c r="W105" s="198" t="str">
        <f t="shared" si="102"/>
        <v>40%</v>
      </c>
      <c r="X105" s="197" t="s">
        <v>19</v>
      </c>
      <c r="Y105" s="197" t="s">
        <v>22</v>
      </c>
      <c r="Z105" s="197" t="s">
        <v>110</v>
      </c>
      <c r="AA105" s="90">
        <f>IFERROR(IF(T105="Probabilidad",(AA104-(+AA104*W105)),IF(T105="Impacto",L105,"")),"")</f>
        <v>0.10079999999999999</v>
      </c>
      <c r="AB105" s="199" t="str">
        <f t="shared" si="97"/>
        <v>Muy Baja</v>
      </c>
      <c r="AC105" s="200">
        <f t="shared" si="98"/>
        <v>0.10079999999999999</v>
      </c>
      <c r="AD105" s="199" t="str">
        <f t="shared" si="99"/>
        <v>Leve</v>
      </c>
      <c r="AE105" s="200">
        <f t="shared" si="100"/>
        <v>0</v>
      </c>
      <c r="AF105" s="201" t="str">
        <f t="shared" si="101"/>
        <v>Bajo</v>
      </c>
      <c r="AG105" s="202" t="s">
        <v>122</v>
      </c>
      <c r="AH105" s="203" t="s">
        <v>686</v>
      </c>
      <c r="AI105" s="231"/>
      <c r="AJ105" s="228"/>
      <c r="AK105" s="228"/>
      <c r="AL105" s="195" t="s">
        <v>686</v>
      </c>
      <c r="AM105" s="166" t="s">
        <v>734</v>
      </c>
      <c r="AN105" s="166" t="s">
        <v>735</v>
      </c>
      <c r="AO105" s="158">
        <v>1</v>
      </c>
      <c r="AP105" s="166" t="s">
        <v>736</v>
      </c>
      <c r="AQ105" s="166" t="s">
        <v>737</v>
      </c>
      <c r="AR105" s="158">
        <v>1</v>
      </c>
      <c r="AS105" s="159"/>
      <c r="AT105" s="159" t="s">
        <v>587</v>
      </c>
      <c r="AU105" s="160" t="s">
        <v>589</v>
      </c>
      <c r="AV105" s="160" t="s">
        <v>589</v>
      </c>
      <c r="AW105" s="160" t="s">
        <v>589</v>
      </c>
      <c r="AX105" s="161" t="s">
        <v>754</v>
      </c>
    </row>
    <row r="106" spans="1:50" s="93" customFormat="1" ht="151.5" customHeight="1" x14ac:dyDescent="0.3">
      <c r="A106" s="365">
        <f>1+A103</f>
        <v>33</v>
      </c>
      <c r="B106" s="353" t="s">
        <v>212</v>
      </c>
      <c r="C106" s="362" t="s">
        <v>409</v>
      </c>
      <c r="D106" s="362" t="s">
        <v>410</v>
      </c>
      <c r="E106" s="359" t="s">
        <v>118</v>
      </c>
      <c r="F106" s="372" t="s">
        <v>532</v>
      </c>
      <c r="G106" s="372" t="s">
        <v>533</v>
      </c>
      <c r="H106" s="372" t="s">
        <v>534</v>
      </c>
      <c r="I106" s="359" t="s">
        <v>117</v>
      </c>
      <c r="J106" s="338">
        <v>365</v>
      </c>
      <c r="K106" s="341" t="str">
        <f>IF(J106&lt;=0,"",IF(J106&lt;=2,"Muy Baja",IF(J106&lt;=24,"Baja",IF(J106&lt;=500,"Media",IF(J106&lt;=5000,"Alta","Muy Alta")))))</f>
        <v>Media</v>
      </c>
      <c r="L106" s="344">
        <f>IF(K106="","",IF(K106="Muy Baja",0.2,IF(K106="Baja",0.4,IF(K106="Media",0.6,IF(K106="Alta",0.8,IF(K106="Muy Alta",1,))))))</f>
        <v>0.6</v>
      </c>
      <c r="M106" s="347" t="s">
        <v>250</v>
      </c>
      <c r="N106" s="139" t="str">
        <f>IF(NOT(ISERROR(MATCH(M106,'Tabla Impacto'!$B$221:$B$223,0))),'Tabla Impacto'!$F$223&amp;"Por favor no seleccionar los criterios de impacto(Afectación Económica o presupuestal y Pérdida Reputacional)",M106)</f>
        <v xml:space="preserve"> El riesgo afecta la imagen de la entidad con algunos usuarios de relevancia frente al logro de los objetivos</v>
      </c>
      <c r="O106" s="341" t="str">
        <f>IF(OR(N106='Tabla Impacto'!$C$11,N106='Tabla Impacto'!$D$11),"Leve",IF(OR(N106='Tabla Impacto'!$C$12,N106='Tabla Impacto'!$D$12),"Menor",IF(OR(N106='Tabla Impacto'!$C$13,N106='Tabla Impacto'!$D$13),"Moderado",IF(OR(N106='Tabla Impacto'!$C$14,N106='Tabla Impacto'!$D$14),"Mayor",IF(OR(N106='Tabla Impacto'!$C$15,N106='Tabla Impacto'!$D$15),"Catastrófico","")))))</f>
        <v>Moderado</v>
      </c>
      <c r="P106" s="344">
        <f>IF(O106="","",IF(O106="Leve",0.2,IF(O106="Menor",0.4,IF(O106="Moderado",0.6,IF(O106="Mayor",0.8,IF(O106="Catastrófico",1,))))))</f>
        <v>0.6</v>
      </c>
      <c r="Q106" s="350" t="str">
        <f>IF(OR(AND(K106="Muy Baja",O106="Leve"),AND(K106="Muy Baja",O106="Menor"),AND(K106="Baja",O106="Leve")),"Bajo",IF(OR(AND(K106="Muy baja",O106="Moderado"),AND(K106="Baja",O106="Menor"),AND(K106="Baja",O106="Moderado"),AND(K106="Media",O106="Leve"),AND(K106="Media",O106="Menor"),AND(K106="Media",O106="Moderado"),AND(K106="Alta",O106="Leve"),AND(K106="Alta",O106="Menor")),"Moderado",IF(OR(AND(K106="Muy Baja",O106="Mayor"),AND(K106="Baja",O106="Mayor"),AND(K106="Media",O106="Mayor"),AND(K106="Alta",O106="Moderado"),AND(K106="Alta",O106="Mayor"),AND(K106="Muy Alta",O106="Leve"),AND(K106="Muy Alta",O106="Menor"),AND(K106="Muy Alta",O106="Moderado"),AND(K106="Muy Alta",O106="Mayor")),"Alto",IF(OR(AND(K106="Muy Baja",O106="Catastrófico"),AND(K106="Baja",O106="Catastrófico"),AND(K106="Media",O106="Catastrófico"),AND(K106="Alta",O106="Catastrófico"),AND(K106="Muy Alta",O106="Catastrófico")),"Extremo",""))))</f>
        <v>Moderado</v>
      </c>
      <c r="R106" s="102">
        <v>1</v>
      </c>
      <c r="S106" s="203" t="s">
        <v>787</v>
      </c>
      <c r="T106" s="196" t="str">
        <f t="shared" ref="T106:T114" si="103">IF(OR(U106="Preventivo",U106="Detectivo"),"Probabilidad",IF(U106="Correctivo","Impacto",""))</f>
        <v>Probabilidad</v>
      </c>
      <c r="U106" s="197" t="s">
        <v>15</v>
      </c>
      <c r="V106" s="197" t="s">
        <v>9</v>
      </c>
      <c r="W106" s="198" t="str">
        <f>IF(AND(U106="Preventivo",V106="Automático"),"50%",IF(AND(U106="Preventivo",V106="Manual"),"40%",IF(AND(U106="Detectivo",V106="Automático"),"40%",IF(AND(U106="Detectivo",V106="Manual"),"30%",IF(AND(U106="Correctivo",V106="Automático"),"35%",IF(AND(U106="Correctivo",V106="Manual"),"25%",""))))))</f>
        <v>30%</v>
      </c>
      <c r="X106" s="197" t="s">
        <v>19</v>
      </c>
      <c r="Y106" s="197" t="s">
        <v>22</v>
      </c>
      <c r="Z106" s="197" t="s">
        <v>110</v>
      </c>
      <c r="AA106" s="90">
        <f>IFERROR(IF(T106="Probabilidad",(L106-(+L106*W106)),IF(T106="Impacto",L106,"")),"")</f>
        <v>0.42</v>
      </c>
      <c r="AB106" s="199" t="str">
        <f t="shared" ref="AB106:AB114" si="104">IFERROR(IF(AA106="","",IF(AA106&lt;=0.2,"Muy Baja",IF(AA106&lt;=0.4,"Baja",IF(AA106&lt;=0.6,"Media",IF(AA106&lt;=0.8,"Alta","Muy Alta"))))),"")</f>
        <v>Media</v>
      </c>
      <c r="AC106" s="200">
        <f t="shared" ref="AC106:AC114" si="105">+AA106</f>
        <v>0.42</v>
      </c>
      <c r="AD106" s="199" t="str">
        <f t="shared" ref="AD106:AD114" si="106">IFERROR(IF(AE106="","",IF(AE106&lt;=0.2,"Leve",IF(AE106&lt;=0.4,"Menor",IF(AE106&lt;=0.6,"Moderado",IF(AE106&lt;=0.8,"Mayor","Catastrófico"))))),"")</f>
        <v>Moderado</v>
      </c>
      <c r="AE106" s="200">
        <f>IFERROR(IF(T106="Impacto",(P106-(+P106*W106)),IF(T106="Probabilidad",P106,"")),"")</f>
        <v>0.6</v>
      </c>
      <c r="AF106" s="201" t="str">
        <f t="shared" ref="AF106:AF114" si="107">IFERROR(IF(OR(AND(AB106="Muy Baja",AD106="Leve"),AND(AB106="Muy Baja",AD106="Menor"),AND(AB106="Baja",AD106="Leve")),"Bajo",IF(OR(AND(AB106="Muy baja",AD106="Moderado"),AND(AB106="Baja",AD106="Menor"),AND(AB106="Baja",AD106="Moderado"),AND(AB106="Media",AD106="Leve"),AND(AB106="Media",AD106="Menor"),AND(AB106="Media",AD106="Moderado"),AND(AB106="Alta",AD106="Leve"),AND(AB106="Alta",AD106="Menor")),"Moderado",IF(OR(AND(AB106="Muy Baja",AD106="Mayor"),AND(AB106="Baja",AD106="Mayor"),AND(AB106="Media",AD106="Mayor"),AND(AB106="Alta",AD106="Moderado"),AND(AB106="Alta",AD106="Mayor"),AND(AB106="Muy Alta",AD106="Leve"),AND(AB106="Muy Alta",AD106="Menor"),AND(AB106="Muy Alta",AD106="Moderado"),AND(AB106="Muy Alta",AD106="Mayor")),"Alto",IF(OR(AND(AB106="Muy Baja",AD106="Catastrófico"),AND(AB106="Baja",AD106="Catastrófico"),AND(AB106="Media",AD106="Catastrófico"),AND(AB106="Alta",AD106="Catastrófico"),AND(AB106="Muy Alta",AD106="Catastrófico")),"Extremo","")))),"")</f>
        <v>Moderado</v>
      </c>
      <c r="AG106" s="202" t="s">
        <v>122</v>
      </c>
      <c r="AH106" s="203" t="s">
        <v>535</v>
      </c>
      <c r="AI106" s="160" t="s">
        <v>197</v>
      </c>
      <c r="AJ106" s="159" t="s">
        <v>283</v>
      </c>
      <c r="AK106" s="159" t="s">
        <v>206</v>
      </c>
      <c r="AL106" s="203" t="s">
        <v>537</v>
      </c>
      <c r="AM106" s="166" t="s">
        <v>788</v>
      </c>
      <c r="AN106" s="166" t="s">
        <v>803</v>
      </c>
      <c r="AO106" s="158">
        <v>1</v>
      </c>
      <c r="AP106" s="166" t="s">
        <v>789</v>
      </c>
      <c r="AQ106" s="166" t="s">
        <v>738</v>
      </c>
      <c r="AR106" s="158">
        <v>1</v>
      </c>
      <c r="AS106" s="159"/>
      <c r="AT106" s="159" t="s">
        <v>587</v>
      </c>
      <c r="AU106" s="160" t="s">
        <v>589</v>
      </c>
      <c r="AV106" s="160" t="s">
        <v>589</v>
      </c>
      <c r="AW106" s="160" t="s">
        <v>589</v>
      </c>
      <c r="AX106" s="161" t="s">
        <v>754</v>
      </c>
    </row>
    <row r="107" spans="1:50" s="93" customFormat="1" ht="151.5" customHeight="1" x14ac:dyDescent="0.3">
      <c r="A107" s="365"/>
      <c r="B107" s="354"/>
      <c r="C107" s="367"/>
      <c r="D107" s="367"/>
      <c r="E107" s="360"/>
      <c r="F107" s="373"/>
      <c r="G107" s="373"/>
      <c r="H107" s="373"/>
      <c r="I107" s="360"/>
      <c r="J107" s="339"/>
      <c r="K107" s="342"/>
      <c r="L107" s="345"/>
      <c r="M107" s="348"/>
      <c r="N107" s="140"/>
      <c r="O107" s="342"/>
      <c r="P107" s="345"/>
      <c r="Q107" s="351"/>
      <c r="R107" s="102">
        <v>2</v>
      </c>
      <c r="S107" s="203" t="s">
        <v>501</v>
      </c>
      <c r="T107" s="196" t="str">
        <f t="shared" si="103"/>
        <v>Probabilidad</v>
      </c>
      <c r="U107" s="197" t="s">
        <v>14</v>
      </c>
      <c r="V107" s="197" t="s">
        <v>9</v>
      </c>
      <c r="W107" s="198" t="str">
        <f>IF(AND(U107="Preventivo",V107="Automático"),"50%",IF(AND(U107="Preventivo",V107="Manual"),"40%",IF(AND(U107="Detectivo",V107="Automático"),"40%",IF(AND(U107="Detectivo",V107="Manual"),"30%",IF(AND(U107="Correctivo",V107="Automático"),"35%",IF(AND(U107="Correctivo",V107="Manual"),"25%",""))))))</f>
        <v>40%</v>
      </c>
      <c r="X107" s="197" t="s">
        <v>20</v>
      </c>
      <c r="Y107" s="197" t="s">
        <v>22</v>
      </c>
      <c r="Z107" s="197" t="s">
        <v>110</v>
      </c>
      <c r="AA107" s="90">
        <f>IFERROR(IF(T107="Probabilidad",(AA106-(+AA106*W107)),IF(T107="Impacto",L107,"")),"")</f>
        <v>0.252</v>
      </c>
      <c r="AB107" s="199" t="str">
        <f t="shared" si="104"/>
        <v>Baja</v>
      </c>
      <c r="AC107" s="200">
        <f t="shared" si="105"/>
        <v>0.252</v>
      </c>
      <c r="AD107" s="199" t="str">
        <f t="shared" si="106"/>
        <v>Moderado</v>
      </c>
      <c r="AE107" s="200">
        <v>0.6</v>
      </c>
      <c r="AF107" s="201" t="str">
        <f t="shared" si="107"/>
        <v>Moderado</v>
      </c>
      <c r="AG107" s="202" t="s">
        <v>122</v>
      </c>
      <c r="AH107" s="232" t="s">
        <v>213</v>
      </c>
      <c r="AI107" s="233" t="s">
        <v>197</v>
      </c>
      <c r="AJ107" s="159" t="s">
        <v>283</v>
      </c>
      <c r="AK107" s="159" t="s">
        <v>206</v>
      </c>
      <c r="AL107" s="234" t="s">
        <v>536</v>
      </c>
      <c r="AM107" s="183" t="s">
        <v>790</v>
      </c>
      <c r="AN107" s="184" t="s">
        <v>739</v>
      </c>
      <c r="AO107" s="158">
        <v>1</v>
      </c>
      <c r="AP107" s="166" t="s">
        <v>740</v>
      </c>
      <c r="AQ107" s="166" t="s">
        <v>741</v>
      </c>
      <c r="AR107" s="158">
        <v>1</v>
      </c>
      <c r="AS107" s="159"/>
      <c r="AT107" s="159" t="s">
        <v>587</v>
      </c>
      <c r="AU107" s="160" t="s">
        <v>589</v>
      </c>
      <c r="AV107" s="160" t="s">
        <v>589</v>
      </c>
      <c r="AW107" s="160" t="s">
        <v>589</v>
      </c>
      <c r="AX107" s="161" t="s">
        <v>754</v>
      </c>
    </row>
    <row r="108" spans="1:50" s="93" customFormat="1" ht="99.75" hidden="1" customHeight="1" x14ac:dyDescent="0.3">
      <c r="A108" s="365"/>
      <c r="B108" s="355"/>
      <c r="C108" s="367"/>
      <c r="D108" s="367"/>
      <c r="E108" s="360"/>
      <c r="F108" s="373"/>
      <c r="G108" s="373"/>
      <c r="H108" s="373"/>
      <c r="I108" s="360"/>
      <c r="J108" s="339"/>
      <c r="K108" s="343"/>
      <c r="L108" s="346"/>
      <c r="M108" s="348"/>
      <c r="N108" s="140"/>
      <c r="O108" s="343"/>
      <c r="P108" s="346"/>
      <c r="Q108" s="352"/>
      <c r="R108" s="102">
        <v>3</v>
      </c>
      <c r="S108" s="195"/>
      <c r="T108" s="196" t="str">
        <f t="shared" si="103"/>
        <v/>
      </c>
      <c r="U108" s="197"/>
      <c r="V108" s="197"/>
      <c r="W108" s="198"/>
      <c r="X108" s="197"/>
      <c r="Y108" s="197"/>
      <c r="Z108" s="197"/>
      <c r="AA108" s="90" t="str">
        <f>IFERROR(IF(T108="Probabilidad",(AA107-(+AA107*W108)),IF(T108="Impacto",L108,"")),"")</f>
        <v/>
      </c>
      <c r="AB108" s="199" t="str">
        <f t="shared" si="104"/>
        <v/>
      </c>
      <c r="AC108" s="200" t="str">
        <f t="shared" si="105"/>
        <v/>
      </c>
      <c r="AD108" s="199" t="str">
        <f t="shared" si="106"/>
        <v/>
      </c>
      <c r="AE108" s="200" t="str">
        <f>IFERROR(IF(T108="Impacto",(P108-(+P108*W108)),IF(T108="Probabilidad",P108,"")),"")</f>
        <v/>
      </c>
      <c r="AF108" s="201" t="str">
        <f t="shared" si="107"/>
        <v/>
      </c>
      <c r="AG108" s="202"/>
      <c r="AH108" s="195"/>
      <c r="AI108" s="160"/>
      <c r="AJ108" s="159"/>
      <c r="AK108" s="159"/>
      <c r="AL108" s="195"/>
      <c r="AM108" s="166"/>
      <c r="AN108" s="166"/>
      <c r="AO108" s="158"/>
      <c r="AP108" s="166"/>
      <c r="AQ108" s="166"/>
      <c r="AR108" s="158"/>
      <c r="AS108" s="159"/>
      <c r="AT108" s="159"/>
      <c r="AU108" s="160" t="s">
        <v>589</v>
      </c>
      <c r="AV108" s="160" t="s">
        <v>589</v>
      </c>
      <c r="AW108" s="160" t="s">
        <v>589</v>
      </c>
      <c r="AX108" s="160"/>
    </row>
    <row r="109" spans="1:50" s="93" customFormat="1" ht="151.5" customHeight="1" x14ac:dyDescent="0.3">
      <c r="A109" s="365">
        <f>1+A106</f>
        <v>34</v>
      </c>
      <c r="B109" s="353" t="s">
        <v>212</v>
      </c>
      <c r="C109" s="362" t="s">
        <v>409</v>
      </c>
      <c r="D109" s="362" t="s">
        <v>410</v>
      </c>
      <c r="E109" s="359" t="s">
        <v>118</v>
      </c>
      <c r="F109" s="372" t="s">
        <v>500</v>
      </c>
      <c r="G109" s="372" t="s">
        <v>525</v>
      </c>
      <c r="H109" s="372" t="s">
        <v>526</v>
      </c>
      <c r="I109" s="359" t="s">
        <v>218</v>
      </c>
      <c r="J109" s="338">
        <v>365</v>
      </c>
      <c r="K109" s="341" t="str">
        <f>IF(J109&lt;=0,"",IF(J109&lt;=2,"Muy Baja",IF(J109&lt;=24,"Baja",IF(J109&lt;=500,"Media",IF(J109&lt;=5000,"Alta","Muy Alta")))))</f>
        <v>Media</v>
      </c>
      <c r="L109" s="344">
        <f>IF(K109="","",IF(K109="Muy Baja",0.2,IF(K109="Baja",0.4,IF(K109="Media",0.6,IF(K109="Alta",0.8,IF(K109="Muy Alta",1,))))))</f>
        <v>0.6</v>
      </c>
      <c r="M109" s="347" t="s">
        <v>250</v>
      </c>
      <c r="N109" s="139" t="str">
        <f>IF(NOT(ISERROR(MATCH(M109,'Tabla Impacto'!$B$221:$B$223,0))),'Tabla Impacto'!$F$223&amp;"Por favor no seleccionar los criterios de impacto(Afectación Económica o presupuestal y Pérdida Reputacional)",M109)</f>
        <v xml:space="preserve"> El riesgo afecta la imagen de la entidad con algunos usuarios de relevancia frente al logro de los objetivos</v>
      </c>
      <c r="O109" s="341" t="str">
        <f>IF(OR(N109='Tabla Impacto'!$C$11,N109='Tabla Impacto'!$D$11),"Leve",IF(OR(N109='Tabla Impacto'!$C$12,N109='Tabla Impacto'!$D$12),"Menor",IF(OR(N109='Tabla Impacto'!$C$13,N109='Tabla Impacto'!$D$13),"Moderado",IF(OR(N109='Tabla Impacto'!$C$14,N109='Tabla Impacto'!$D$14),"Mayor",IF(OR(N109='Tabla Impacto'!$C$15,N109='Tabla Impacto'!$D$15),"Catastrófico","")))))</f>
        <v>Moderado</v>
      </c>
      <c r="P109" s="344">
        <f>IF(O109="","",IF(O109="Leve",0.2,IF(O109="Menor",0.4,IF(O109="Moderado",0.6,IF(O109="Mayor",0.8,IF(O109="Catastrófico",1,))))))</f>
        <v>0.6</v>
      </c>
      <c r="Q109" s="350" t="str">
        <f>IF(OR(AND(K109="Muy Baja",O109="Leve"),AND(K109="Muy Baja",O109="Menor"),AND(K109="Baja",O109="Leve")),"Bajo",IF(OR(AND(K109="Muy baja",O109="Moderado"),AND(K109="Baja",O109="Menor"),AND(K109="Baja",O109="Moderado"),AND(K109="Media",O109="Leve"),AND(K109="Media",O109="Menor"),AND(K109="Media",O109="Moderado"),AND(K109="Alta",O109="Leve"),AND(K109="Alta",O109="Menor")),"Moderado",IF(OR(AND(K109="Muy Baja",O109="Mayor"),AND(K109="Baja",O109="Mayor"),AND(K109="Media",O109="Mayor"),AND(K109="Alta",O109="Moderado"),AND(K109="Alta",O109="Mayor"),AND(K109="Muy Alta",O109="Leve"),AND(K109="Muy Alta",O109="Menor"),AND(K109="Muy Alta",O109="Moderado"),AND(K109="Muy Alta",O109="Mayor")),"Alto",IF(OR(AND(K109="Muy Baja",O109="Catastrófico"),AND(K109="Baja",O109="Catastrófico"),AND(K109="Media",O109="Catastrófico"),AND(K109="Alta",O109="Catastrófico"),AND(K109="Muy Alta",O109="Catastrófico")),"Extremo",""))))</f>
        <v>Moderado</v>
      </c>
      <c r="R109" s="102">
        <v>1</v>
      </c>
      <c r="S109" s="195" t="s">
        <v>527</v>
      </c>
      <c r="T109" s="196" t="str">
        <f t="shared" si="103"/>
        <v>Probabilidad</v>
      </c>
      <c r="U109" s="197" t="s">
        <v>14</v>
      </c>
      <c r="V109" s="197" t="s">
        <v>9</v>
      </c>
      <c r="W109" s="198" t="str">
        <f>IF(AND(U109="Preventivo",V109="Automático"),"50%",IF(AND(U109="Preventivo",V109="Manual"),"40%",IF(AND(U109="Detectivo",V109="Automático"),"40%",IF(AND(U109="Detectivo",V109="Manual"),"30%",IF(AND(U109="Correctivo",V109="Automático"),"35%",IF(AND(U109="Correctivo",V109="Manual"),"25%",""))))))</f>
        <v>40%</v>
      </c>
      <c r="X109" s="197" t="s">
        <v>19</v>
      </c>
      <c r="Y109" s="197" t="s">
        <v>23</v>
      </c>
      <c r="Z109" s="197" t="s">
        <v>110</v>
      </c>
      <c r="AA109" s="90">
        <f>IFERROR(IF(T109="Probabilidad",(L109-(+L109*W109)),IF(T109="Impacto",L109,"")),"")</f>
        <v>0.36</v>
      </c>
      <c r="AB109" s="199" t="str">
        <f t="shared" si="104"/>
        <v>Baja</v>
      </c>
      <c r="AC109" s="200">
        <f t="shared" si="105"/>
        <v>0.36</v>
      </c>
      <c r="AD109" s="199" t="str">
        <f t="shared" si="106"/>
        <v>Moderado</v>
      </c>
      <c r="AE109" s="200">
        <f>IFERROR(IF(T109="Impacto",(P109-(+P109*W109)),IF(T109="Probabilidad",P109,"")),"")</f>
        <v>0.6</v>
      </c>
      <c r="AF109" s="201" t="str">
        <f t="shared" si="107"/>
        <v>Moderado</v>
      </c>
      <c r="AG109" s="202" t="s">
        <v>122</v>
      </c>
      <c r="AH109" s="232" t="s">
        <v>213</v>
      </c>
      <c r="AI109" s="233" t="s">
        <v>197</v>
      </c>
      <c r="AJ109" s="235" t="s">
        <v>283</v>
      </c>
      <c r="AK109" s="235" t="s">
        <v>206</v>
      </c>
      <c r="AL109" s="232" t="s">
        <v>230</v>
      </c>
      <c r="AM109" s="166" t="s">
        <v>791</v>
      </c>
      <c r="AN109" s="166" t="s">
        <v>742</v>
      </c>
      <c r="AO109" s="158">
        <v>1</v>
      </c>
      <c r="AP109" s="166" t="s">
        <v>743</v>
      </c>
      <c r="AQ109" s="166" t="s">
        <v>744</v>
      </c>
      <c r="AR109" s="158">
        <v>1</v>
      </c>
      <c r="AS109" s="159"/>
      <c r="AT109" s="159" t="s">
        <v>587</v>
      </c>
      <c r="AU109" s="160" t="s">
        <v>589</v>
      </c>
      <c r="AV109" s="160" t="s">
        <v>589</v>
      </c>
      <c r="AW109" s="160" t="s">
        <v>589</v>
      </c>
      <c r="AX109" s="161" t="s">
        <v>754</v>
      </c>
    </row>
    <row r="110" spans="1:50" s="93" customFormat="1" ht="151.5" customHeight="1" x14ac:dyDescent="0.3">
      <c r="A110" s="365"/>
      <c r="B110" s="354"/>
      <c r="C110" s="367"/>
      <c r="D110" s="367"/>
      <c r="E110" s="360"/>
      <c r="F110" s="373"/>
      <c r="G110" s="373"/>
      <c r="H110" s="373"/>
      <c r="I110" s="360"/>
      <c r="J110" s="339"/>
      <c r="K110" s="342"/>
      <c r="L110" s="345"/>
      <c r="M110" s="348"/>
      <c r="N110" s="140"/>
      <c r="O110" s="342"/>
      <c r="P110" s="345"/>
      <c r="Q110" s="351"/>
      <c r="R110" s="102">
        <v>2</v>
      </c>
      <c r="S110" s="195" t="s">
        <v>528</v>
      </c>
      <c r="T110" s="196" t="str">
        <f t="shared" si="103"/>
        <v>Probabilidad</v>
      </c>
      <c r="U110" s="197" t="s">
        <v>14</v>
      </c>
      <c r="V110" s="197" t="s">
        <v>9</v>
      </c>
      <c r="W110" s="198" t="str">
        <f>IF(AND(U110="Preventivo",V110="Automático"),"50%",IF(AND(U110="Preventivo",V110="Manual"),"40%",IF(AND(U110="Detectivo",V110="Automático"),"40%",IF(AND(U110="Detectivo",V110="Manual"),"30%",IF(AND(U110="Correctivo",V110="Automático"),"35%",IF(AND(U110="Correctivo",V110="Manual"),"25%",""))))))</f>
        <v>40%</v>
      </c>
      <c r="X110" s="197" t="s">
        <v>20</v>
      </c>
      <c r="Y110" s="197" t="s">
        <v>22</v>
      </c>
      <c r="Z110" s="197" t="s">
        <v>110</v>
      </c>
      <c r="AA110" s="90">
        <f>IFERROR(IF(T110="Probabilidad",(AA109-(+AA109*W110)),IF(T110="Impacto",L110,"")),"")</f>
        <v>0.216</v>
      </c>
      <c r="AB110" s="199" t="str">
        <f t="shared" si="104"/>
        <v>Baja</v>
      </c>
      <c r="AC110" s="200">
        <f t="shared" si="105"/>
        <v>0.216</v>
      </c>
      <c r="AD110" s="199" t="str">
        <f t="shared" si="106"/>
        <v>Moderado</v>
      </c>
      <c r="AE110" s="200">
        <v>0.6</v>
      </c>
      <c r="AF110" s="201" t="str">
        <f t="shared" si="107"/>
        <v>Moderado</v>
      </c>
      <c r="AG110" s="202" t="s">
        <v>122</v>
      </c>
      <c r="AH110" s="232" t="s">
        <v>231</v>
      </c>
      <c r="AI110" s="233" t="s">
        <v>195</v>
      </c>
      <c r="AJ110" s="235" t="s">
        <v>283</v>
      </c>
      <c r="AK110" s="235" t="s">
        <v>206</v>
      </c>
      <c r="AL110" s="203" t="s">
        <v>232</v>
      </c>
      <c r="AM110" s="166" t="s">
        <v>792</v>
      </c>
      <c r="AN110" s="185" t="s">
        <v>793</v>
      </c>
      <c r="AO110" s="158">
        <v>1</v>
      </c>
      <c r="AP110" s="182" t="s">
        <v>745</v>
      </c>
      <c r="AQ110" s="166" t="s">
        <v>746</v>
      </c>
      <c r="AR110" s="158">
        <v>1</v>
      </c>
      <c r="AS110" s="159"/>
      <c r="AT110" s="159" t="s">
        <v>587</v>
      </c>
      <c r="AU110" s="160" t="s">
        <v>589</v>
      </c>
      <c r="AV110" s="160" t="s">
        <v>589</v>
      </c>
      <c r="AW110" s="160" t="s">
        <v>589</v>
      </c>
      <c r="AX110" s="161" t="s">
        <v>754</v>
      </c>
    </row>
    <row r="111" spans="1:50" s="93" customFormat="1" ht="151.5" hidden="1" customHeight="1" x14ac:dyDescent="0.3">
      <c r="A111" s="365"/>
      <c r="B111" s="355"/>
      <c r="C111" s="367"/>
      <c r="D111" s="367"/>
      <c r="E111" s="360"/>
      <c r="F111" s="373"/>
      <c r="G111" s="373"/>
      <c r="H111" s="373"/>
      <c r="I111" s="360"/>
      <c r="J111" s="339"/>
      <c r="K111" s="343"/>
      <c r="L111" s="346"/>
      <c r="M111" s="348"/>
      <c r="N111" s="140"/>
      <c r="O111" s="343"/>
      <c r="P111" s="346"/>
      <c r="Q111" s="352"/>
      <c r="R111" s="102">
        <v>3</v>
      </c>
      <c r="S111" s="195"/>
      <c r="T111" s="196" t="str">
        <f t="shared" si="103"/>
        <v/>
      </c>
      <c r="U111" s="197"/>
      <c r="V111" s="197"/>
      <c r="W111" s="198"/>
      <c r="X111" s="197"/>
      <c r="Y111" s="197"/>
      <c r="Z111" s="197"/>
      <c r="AA111" s="90" t="str">
        <f>IFERROR(IF(T111="Probabilidad",(AA110-(+AA110*W111)),IF(T111="Impacto",L111,"")),"")</f>
        <v/>
      </c>
      <c r="AB111" s="199" t="str">
        <f t="shared" si="104"/>
        <v/>
      </c>
      <c r="AC111" s="200" t="str">
        <f t="shared" si="105"/>
        <v/>
      </c>
      <c r="AD111" s="199" t="str">
        <f t="shared" si="106"/>
        <v/>
      </c>
      <c r="AE111" s="200" t="str">
        <f>IFERROR(IF(T111="Impacto",(P111-(+P111*W111)),IF(T111="Probabilidad",P111,"")),"")</f>
        <v/>
      </c>
      <c r="AF111" s="201" t="str">
        <f t="shared" si="107"/>
        <v/>
      </c>
      <c r="AG111" s="202"/>
      <c r="AH111" s="195"/>
      <c r="AI111" s="160"/>
      <c r="AJ111" s="159"/>
      <c r="AK111" s="159"/>
      <c r="AL111" s="195"/>
      <c r="AM111" s="166"/>
      <c r="AN111" s="166"/>
      <c r="AO111" s="158"/>
      <c r="AP111" s="166"/>
      <c r="AQ111" s="166"/>
      <c r="AR111" s="158"/>
      <c r="AS111" s="159"/>
      <c r="AT111" s="159"/>
      <c r="AU111" s="159"/>
      <c r="AV111" s="159"/>
      <c r="AW111" s="159"/>
      <c r="AX111" s="160"/>
    </row>
    <row r="112" spans="1:50" s="93" customFormat="1" ht="151.5" customHeight="1" x14ac:dyDescent="0.3">
      <c r="A112" s="365">
        <f>1+A109</f>
        <v>35</v>
      </c>
      <c r="B112" s="353" t="s">
        <v>212</v>
      </c>
      <c r="C112" s="362" t="s">
        <v>409</v>
      </c>
      <c r="D112" s="362" t="s">
        <v>410</v>
      </c>
      <c r="E112" s="359" t="s">
        <v>120</v>
      </c>
      <c r="F112" s="372" t="s">
        <v>529</v>
      </c>
      <c r="G112" s="372" t="s">
        <v>214</v>
      </c>
      <c r="H112" s="372" t="s">
        <v>530</v>
      </c>
      <c r="I112" s="359" t="s">
        <v>220</v>
      </c>
      <c r="J112" s="338">
        <v>365</v>
      </c>
      <c r="K112" s="341" t="str">
        <f>IF(J112&lt;=0,"",IF(J112&lt;=2,"Muy Baja",IF(J112&lt;=24,"Baja",IF(J112&lt;=500,"Media",IF(J112&lt;=5000,"Alta","Muy Alta")))))</f>
        <v>Media</v>
      </c>
      <c r="L112" s="344">
        <f>IF(K112="","",IF(K112="Muy Baja",0.2,IF(K112="Baja",0.4,IF(K112="Media",0.6,IF(K112="Alta",0.8,IF(K112="Muy Alta",1,))))))</f>
        <v>0.6</v>
      </c>
      <c r="M112" s="347" t="s">
        <v>257</v>
      </c>
      <c r="N112" s="139" t="str">
        <f>IF(NOT(ISERROR(MATCH(M112,'Tabla Impacto'!$B$221:$B$223,0))),'Tabla Impacto'!$F$223&amp;"Por favor no seleccionar los criterios de impacto(Afectación Económica o presupuestal y Pérdida Reputacional)",M112)</f>
        <v xml:space="preserve"> El riesgo afecta la imagen de la entidad con efecto publicitario sostenido a nivel de sector administrativo, nivel departamental o municipal</v>
      </c>
      <c r="O112" s="341" t="str">
        <f>IF(OR(N112='Tabla Impacto'!$C$11,N112='Tabla Impacto'!$D$11),"Leve",IF(OR(N112='Tabla Impacto'!$C$12,N112='Tabla Impacto'!$D$12),"Menor",IF(OR(N112='Tabla Impacto'!$C$13,N112='Tabla Impacto'!$D$13),"Moderado",IF(OR(N112='Tabla Impacto'!$C$14,N112='Tabla Impacto'!$D$14),"Mayor",IF(OR(N112='Tabla Impacto'!$C$15,N112='Tabla Impacto'!$D$15),"Catastrófico","")))))</f>
        <v>Mayor</v>
      </c>
      <c r="P112" s="344">
        <f>IF(O112="","",IF(O112="Leve",0.2,IF(O112="Menor",0.4,IF(O112="Moderado",0.6,IF(O112="Mayor",0.8,IF(O112="Catastrófico",1,))))))</f>
        <v>0.8</v>
      </c>
      <c r="Q112" s="350" t="str">
        <f>IF(OR(AND(K112="Muy Baja",O112="Leve"),AND(K112="Muy Baja",O112="Menor"),AND(K112="Baja",O112="Leve")),"Bajo",IF(OR(AND(K112="Muy baja",O112="Moderado"),AND(K112="Baja",O112="Menor"),AND(K112="Baja",O112="Moderado"),AND(K112="Media",O112="Leve"),AND(K112="Media",O112="Menor"),AND(K112="Media",O112="Moderado"),AND(K112="Alta",O112="Leve"),AND(K112="Alta",O112="Menor")),"Moderado",IF(OR(AND(K112="Muy Baja",O112="Mayor"),AND(K112="Baja",O112="Mayor"),AND(K112="Media",O112="Mayor"),AND(K112="Alta",O112="Moderado"),AND(K112="Alta",O112="Mayor"),AND(K112="Muy Alta",O112="Leve"),AND(K112="Muy Alta",O112="Menor"),AND(K112="Muy Alta",O112="Moderado"),AND(K112="Muy Alta",O112="Mayor")),"Alto",IF(OR(AND(K112="Muy Baja",O112="Catastrófico"),AND(K112="Baja",O112="Catastrófico"),AND(K112="Media",O112="Catastrófico"),AND(K112="Alta",O112="Catastrófico"),AND(K112="Muy Alta",O112="Catastrófico")),"Extremo",""))))</f>
        <v>Alto</v>
      </c>
      <c r="R112" s="102">
        <v>1</v>
      </c>
      <c r="S112" s="203" t="s">
        <v>531</v>
      </c>
      <c r="T112" s="196" t="str">
        <f t="shared" si="103"/>
        <v>Probabilidad</v>
      </c>
      <c r="U112" s="197" t="s">
        <v>14</v>
      </c>
      <c r="V112" s="197" t="s">
        <v>9</v>
      </c>
      <c r="W112" s="198" t="str">
        <f>IF(AND(U112="Preventivo",V112="Automático"),"50%",IF(AND(U112="Preventivo",V112="Manual"),"40%",IF(AND(U112="Detectivo",V112="Automático"),"40%",IF(AND(U112="Detectivo",V112="Manual"),"30%",IF(AND(U112="Correctivo",V112="Automático"),"35%",IF(AND(U112="Correctivo",V112="Manual"),"25%",""))))))</f>
        <v>40%</v>
      </c>
      <c r="X112" s="197" t="s">
        <v>19</v>
      </c>
      <c r="Y112" s="197" t="s">
        <v>22</v>
      </c>
      <c r="Z112" s="197" t="s">
        <v>110</v>
      </c>
      <c r="AA112" s="90">
        <f>IFERROR(IF(T112="Probabilidad",(L112-(+L112*W112)),IF(T112="Impacto",L112,"")),"")</f>
        <v>0.36</v>
      </c>
      <c r="AB112" s="199" t="str">
        <f t="shared" si="104"/>
        <v>Baja</v>
      </c>
      <c r="AC112" s="200">
        <f t="shared" si="105"/>
        <v>0.36</v>
      </c>
      <c r="AD112" s="199" t="str">
        <f t="shared" si="106"/>
        <v>Mayor</v>
      </c>
      <c r="AE112" s="200">
        <f>IFERROR(IF(T112="Impacto",(P112-(+P112*W112)),IF(T112="Probabilidad",P112,"")),"")</f>
        <v>0.8</v>
      </c>
      <c r="AF112" s="201" t="str">
        <f t="shared" si="107"/>
        <v>Alto</v>
      </c>
      <c r="AG112" s="202" t="s">
        <v>122</v>
      </c>
      <c r="AH112" s="232" t="s">
        <v>213</v>
      </c>
      <c r="AI112" s="233" t="s">
        <v>197</v>
      </c>
      <c r="AJ112" s="235" t="s">
        <v>283</v>
      </c>
      <c r="AK112" s="235" t="s">
        <v>206</v>
      </c>
      <c r="AL112" s="232" t="s">
        <v>230</v>
      </c>
      <c r="AM112" s="166" t="s">
        <v>747</v>
      </c>
      <c r="AN112" s="166" t="s">
        <v>794</v>
      </c>
      <c r="AO112" s="158">
        <v>1</v>
      </c>
      <c r="AP112" s="166" t="s">
        <v>748</v>
      </c>
      <c r="AQ112" s="166" t="s">
        <v>795</v>
      </c>
      <c r="AR112" s="158">
        <v>1</v>
      </c>
      <c r="AS112" s="159"/>
      <c r="AT112" s="159" t="s">
        <v>587</v>
      </c>
      <c r="AU112" s="159"/>
      <c r="AV112" s="159" t="s">
        <v>589</v>
      </c>
      <c r="AW112" s="159" t="s">
        <v>589</v>
      </c>
      <c r="AX112" s="161" t="s">
        <v>754</v>
      </c>
    </row>
    <row r="113" spans="1:50" s="93" customFormat="1" ht="151.5" customHeight="1" x14ac:dyDescent="0.3">
      <c r="A113" s="365"/>
      <c r="B113" s="354"/>
      <c r="C113" s="367"/>
      <c r="D113" s="367"/>
      <c r="E113" s="360"/>
      <c r="F113" s="373"/>
      <c r="G113" s="373"/>
      <c r="H113" s="373"/>
      <c r="I113" s="360"/>
      <c r="J113" s="339"/>
      <c r="K113" s="342"/>
      <c r="L113" s="345"/>
      <c r="M113" s="348"/>
      <c r="N113" s="140"/>
      <c r="O113" s="342"/>
      <c r="P113" s="345"/>
      <c r="Q113" s="351"/>
      <c r="R113" s="102">
        <v>2</v>
      </c>
      <c r="S113" s="195" t="s">
        <v>221</v>
      </c>
      <c r="T113" s="196" t="str">
        <f t="shared" si="103"/>
        <v>Probabilidad</v>
      </c>
      <c r="U113" s="197" t="s">
        <v>15</v>
      </c>
      <c r="V113" s="197" t="s">
        <v>10</v>
      </c>
      <c r="W113" s="198" t="str">
        <f>IF(AND(U113="Preventivo",V113="Automático"),"50%",IF(AND(U113="Preventivo",V113="Manual"),"40%",IF(AND(U113="Detectivo",V113="Automático"),"40%",IF(AND(U113="Detectivo",V113="Manual"),"30%",IF(AND(U113="Correctivo",V113="Automático"),"35%",IF(AND(U113="Correctivo",V113="Manual"),"25%",""))))))</f>
        <v>40%</v>
      </c>
      <c r="X113" s="197" t="s">
        <v>19</v>
      </c>
      <c r="Y113" s="197" t="s">
        <v>22</v>
      </c>
      <c r="Z113" s="197" t="s">
        <v>110</v>
      </c>
      <c r="AA113" s="90">
        <f>IFERROR(IF(T113="Probabilidad",(AA112-(+AA112*W113)),IF(T113="Impacto",L113,"")),"")</f>
        <v>0.216</v>
      </c>
      <c r="AB113" s="199" t="str">
        <f t="shared" si="104"/>
        <v>Baja</v>
      </c>
      <c r="AC113" s="200">
        <f t="shared" si="105"/>
        <v>0.216</v>
      </c>
      <c r="AD113" s="199" t="str">
        <f t="shared" si="106"/>
        <v>Mayor</v>
      </c>
      <c r="AE113" s="200">
        <v>0.8</v>
      </c>
      <c r="AF113" s="201" t="str">
        <f t="shared" si="107"/>
        <v>Alto</v>
      </c>
      <c r="AG113" s="202" t="s">
        <v>122</v>
      </c>
      <c r="AH113" s="234" t="s">
        <v>231</v>
      </c>
      <c r="AI113" s="233" t="s">
        <v>197</v>
      </c>
      <c r="AJ113" s="235" t="s">
        <v>283</v>
      </c>
      <c r="AK113" s="235" t="s">
        <v>206</v>
      </c>
      <c r="AL113" s="232" t="s">
        <v>232</v>
      </c>
      <c r="AM113" s="186" t="s">
        <v>749</v>
      </c>
      <c r="AN113" s="187" t="s">
        <v>750</v>
      </c>
      <c r="AO113" s="158">
        <v>1</v>
      </c>
      <c r="AP113" s="186" t="s">
        <v>751</v>
      </c>
      <c r="AQ113" s="187" t="s">
        <v>752</v>
      </c>
      <c r="AR113" s="158">
        <v>1</v>
      </c>
      <c r="AS113" s="159"/>
      <c r="AT113" s="159" t="s">
        <v>587</v>
      </c>
      <c r="AU113" s="160" t="s">
        <v>589</v>
      </c>
      <c r="AV113" s="160" t="s">
        <v>589</v>
      </c>
      <c r="AW113" s="160" t="s">
        <v>589</v>
      </c>
      <c r="AX113" s="161" t="s">
        <v>754</v>
      </c>
    </row>
    <row r="114" spans="1:50" s="93" customFormat="1" ht="151.5" hidden="1" customHeight="1" x14ac:dyDescent="0.3">
      <c r="A114" s="365"/>
      <c r="B114" s="355"/>
      <c r="C114" s="367"/>
      <c r="D114" s="367"/>
      <c r="E114" s="360"/>
      <c r="F114" s="373"/>
      <c r="G114" s="373"/>
      <c r="H114" s="373"/>
      <c r="I114" s="360"/>
      <c r="J114" s="339"/>
      <c r="K114" s="343"/>
      <c r="L114" s="346"/>
      <c r="M114" s="348"/>
      <c r="N114" s="140"/>
      <c r="O114" s="343"/>
      <c r="P114" s="346"/>
      <c r="Q114" s="352"/>
      <c r="R114" s="102">
        <v>3</v>
      </c>
      <c r="S114" s="195"/>
      <c r="T114" s="196" t="str">
        <f t="shared" si="103"/>
        <v/>
      </c>
      <c r="U114" s="197"/>
      <c r="V114" s="197"/>
      <c r="W114" s="198"/>
      <c r="X114" s="197"/>
      <c r="Y114" s="197"/>
      <c r="Z114" s="197"/>
      <c r="AA114" s="90" t="str">
        <f>IFERROR(IF(T114="Probabilidad",(AA113-(+AA113*W114)),IF(T114="Impacto",L114,"")),"")</f>
        <v/>
      </c>
      <c r="AB114" s="199" t="str">
        <f t="shared" si="104"/>
        <v/>
      </c>
      <c r="AC114" s="200" t="str">
        <f t="shared" si="105"/>
        <v/>
      </c>
      <c r="AD114" s="199" t="str">
        <f t="shared" si="106"/>
        <v/>
      </c>
      <c r="AE114" s="200" t="str">
        <f>IFERROR(IF(T114="Impacto",(P114-(+P114*W114)),IF(T114="Probabilidad",P114,"")),"")</f>
        <v/>
      </c>
      <c r="AF114" s="201" t="str">
        <f t="shared" si="107"/>
        <v/>
      </c>
      <c r="AG114" s="202"/>
      <c r="AH114" s="195"/>
      <c r="AI114" s="160"/>
      <c r="AJ114" s="159"/>
      <c r="AK114" s="159"/>
      <c r="AL114" s="195"/>
      <c r="AM114" s="166"/>
      <c r="AN114" s="166"/>
      <c r="AO114" s="158"/>
      <c r="AP114" s="166"/>
      <c r="AQ114" s="166"/>
      <c r="AR114" s="158"/>
      <c r="AS114" s="159"/>
      <c r="AT114" s="159"/>
      <c r="AU114" s="160" t="s">
        <v>589</v>
      </c>
      <c r="AV114" s="160" t="s">
        <v>589</v>
      </c>
      <c r="AW114" s="160" t="s">
        <v>589</v>
      </c>
      <c r="AX114" s="160"/>
    </row>
    <row r="115" spans="1:50" s="93" customFormat="1" ht="151.5" customHeight="1" x14ac:dyDescent="0.3">
      <c r="A115" s="365">
        <f>1+A112</f>
        <v>36</v>
      </c>
      <c r="B115" s="353" t="s">
        <v>411</v>
      </c>
      <c r="C115" s="362" t="s">
        <v>412</v>
      </c>
      <c r="D115" s="362" t="s">
        <v>413</v>
      </c>
      <c r="E115" s="359" t="s">
        <v>118</v>
      </c>
      <c r="F115" s="405" t="s">
        <v>493</v>
      </c>
      <c r="G115" s="405" t="s">
        <v>245</v>
      </c>
      <c r="H115" s="356" t="s">
        <v>494</v>
      </c>
      <c r="I115" s="359" t="s">
        <v>218</v>
      </c>
      <c r="J115" s="369">
        <v>1096</v>
      </c>
      <c r="K115" s="341" t="str">
        <f>IF(J115&lt;=0,"",IF(J115&lt;=2,"Muy Baja",IF(J115&lt;=24,"Baja",IF(J115&lt;=500,"Media",IF(J115&lt;=5000,"Alta","Muy Alta")))))</f>
        <v>Alta</v>
      </c>
      <c r="L115" s="344">
        <f>IF(K115="","",IF(K115="Muy Baja",0.2,IF(K115="Baja",0.4,IF(K115="Media",0.6,IF(K115="Alta",0.8,IF(K115="Muy Alta",1,))))))</f>
        <v>0.8</v>
      </c>
      <c r="M115" s="347" t="s">
        <v>250</v>
      </c>
      <c r="N115" s="139" t="str">
        <f>IF(NOT(ISERROR(MATCH(M115,'Tabla Impacto'!$B$221:$B$223,0))),'Tabla Impacto'!$F$223&amp;"Por favor no seleccionar los criterios de impacto(Afectación Económica o presupuestal y Pérdida Reputacional)",M115)</f>
        <v xml:space="preserve"> El riesgo afecta la imagen de la entidad con algunos usuarios de relevancia frente al logro de los objetivos</v>
      </c>
      <c r="O115" s="341" t="str">
        <f>IF(OR(N115='Tabla Impacto'!$C$11,N115='Tabla Impacto'!$D$11),"Leve",IF(OR(N115='Tabla Impacto'!$C$12,N115='Tabla Impacto'!$D$12),"Menor",IF(OR(N115='Tabla Impacto'!$C$13,N115='Tabla Impacto'!$D$13),"Moderado",IF(OR(N115='Tabla Impacto'!$C$14,N115='Tabla Impacto'!$D$14),"Mayor",IF(OR(N115='Tabla Impacto'!$C$15,N115='Tabla Impacto'!$D$15),"Catastrófico","")))))</f>
        <v>Moderado</v>
      </c>
      <c r="P115" s="344">
        <f>IF(O115="","",IF(O115="Leve",0.2,IF(O115="Menor",0.4,IF(O115="Moderado",0.6,IF(O115="Mayor",0.8,IF(O115="Catastrófico",1,))))))</f>
        <v>0.6</v>
      </c>
      <c r="Q115" s="350" t="str">
        <f>IF(OR(AND(K115="Muy Baja",O115="Leve"),AND(K115="Muy Baja",O115="Menor"),AND(K115="Baja",O115="Leve")),"Bajo",IF(OR(AND(K115="Muy baja",O115="Moderado"),AND(K115="Baja",O115="Menor"),AND(K115="Baja",O115="Moderado"),AND(K115="Media",O115="Leve"),AND(K115="Media",O115="Menor"),AND(K115="Media",O115="Moderado"),AND(K115="Alta",O115="Leve"),AND(K115="Alta",O115="Menor")),"Moderado",IF(OR(AND(K115="Muy Baja",O115="Mayor"),AND(K115="Baja",O115="Mayor"),AND(K115="Media",O115="Mayor"),AND(K115="Alta",O115="Moderado"),AND(K115="Alta",O115="Mayor"),AND(K115="Muy Alta",O115="Leve"),AND(K115="Muy Alta",O115="Menor"),AND(K115="Muy Alta",O115="Moderado"),AND(K115="Muy Alta",O115="Mayor")),"Alto",IF(OR(AND(K115="Muy Baja",O115="Catastrófico"),AND(K115="Baja",O115="Catastrófico"),AND(K115="Media",O115="Catastrófico"),AND(K115="Alta",O115="Catastrófico"),AND(K115="Muy Alta",O115="Catastrófico")),"Extremo",""))))</f>
        <v>Alto</v>
      </c>
      <c r="R115" s="102">
        <v>1</v>
      </c>
      <c r="S115" s="203" t="s">
        <v>495</v>
      </c>
      <c r="T115" s="196" t="str">
        <f>IF(OR(U115="Preventivo",U115="Detectivo"),"Probabilidad",IF(U115="Correctivo","Impacto",""))</f>
        <v>Probabilidad</v>
      </c>
      <c r="U115" s="197" t="s">
        <v>15</v>
      </c>
      <c r="V115" s="197" t="s">
        <v>9</v>
      </c>
      <c r="W115" s="198" t="str">
        <f>IF(AND(U115="Preventivo",V115="Automático"),"50%",IF(AND(U115="Preventivo",V115="Manual"),"40%",IF(AND(U115="Detectivo",V115="Automático"),"40%",IF(AND(U115="Detectivo",V115="Manual"),"30%",IF(AND(U115="Correctivo",V115="Automático"),"35%",IF(AND(U115="Correctivo",V115="Manual"),"25%",""))))))</f>
        <v>30%</v>
      </c>
      <c r="X115" s="197" t="s">
        <v>19</v>
      </c>
      <c r="Y115" s="197" t="s">
        <v>22</v>
      </c>
      <c r="Z115" s="197" t="s">
        <v>110</v>
      </c>
      <c r="AA115" s="90">
        <f>IFERROR(IF(T115="Probabilidad",(L115-(+L115*W115)),IF(T115="Impacto",L115,"")),"")</f>
        <v>0.56000000000000005</v>
      </c>
      <c r="AB115" s="199" t="str">
        <f>IFERROR(IF(AA115="","",IF(AA115&lt;=0.2,"Muy Baja",IF(AA115&lt;=0.4,"Baja",IF(AA115&lt;=0.6,"Media",IF(AA115&lt;=0.8,"Alta","Muy Alta"))))),"")</f>
        <v>Media</v>
      </c>
      <c r="AC115" s="200">
        <f>+AA115</f>
        <v>0.56000000000000005</v>
      </c>
      <c r="AD115" s="199" t="str">
        <f>IFERROR(IF(AE115="","",IF(AE115&lt;=0.2,"Leve",IF(AE115&lt;=0.4,"Menor",IF(AE115&lt;=0.6,"Moderado",IF(AE115&lt;=0.8,"Mayor","Catastrófico"))))),"")</f>
        <v>Moderado</v>
      </c>
      <c r="AE115" s="200">
        <f>IFERROR(IF(T115="Impacto",(P115-(+P115*W115)),IF(T115="Probabilidad",P115,"")),"")</f>
        <v>0.6</v>
      </c>
      <c r="AF115" s="201" t="str">
        <f>IFERROR(IF(OR(AND(AB115="Muy Baja",AD115="Leve"),AND(AB115="Muy Baja",AD115="Menor"),AND(AB115="Baja",AD115="Leve")),"Bajo",IF(OR(AND(AB115="Muy baja",AD115="Moderado"),AND(AB115="Baja",AD115="Menor"),AND(AB115="Baja",AD115="Moderado"),AND(AB115="Media",AD115="Leve"),AND(AB115="Media",AD115="Menor"),AND(AB115="Media",AD115="Moderado"),AND(AB115="Alta",AD115="Leve"),AND(AB115="Alta",AD115="Menor")),"Moderado",IF(OR(AND(AB115="Muy Baja",AD115="Mayor"),AND(AB115="Baja",AD115="Mayor"),AND(AB115="Media",AD115="Mayor"),AND(AB115="Alta",AD115="Moderado"),AND(AB115="Alta",AD115="Mayor"),AND(AB115="Muy Alta",AD115="Leve"),AND(AB115="Muy Alta",AD115="Menor"),AND(AB115="Muy Alta",AD115="Moderado"),AND(AB115="Muy Alta",AD115="Mayor")),"Alto",IF(OR(AND(AB115="Muy Baja",AD115="Catastrófico"),AND(AB115="Baja",AD115="Catastrófico"),AND(AB115="Media",AD115="Catastrófico"),AND(AB115="Alta",AD115="Catastrófico"),AND(AB115="Muy Alta",AD115="Catastrófico")),"Extremo","")))),"")</f>
        <v>Moderado</v>
      </c>
      <c r="AG115" s="202" t="s">
        <v>122</v>
      </c>
      <c r="AH115" s="203" t="s">
        <v>274</v>
      </c>
      <c r="AI115" s="160" t="s">
        <v>273</v>
      </c>
      <c r="AJ115" s="159" t="s">
        <v>205</v>
      </c>
      <c r="AK115" s="159" t="s">
        <v>206</v>
      </c>
      <c r="AL115" s="195" t="s">
        <v>507</v>
      </c>
      <c r="AM115" s="166" t="s">
        <v>796</v>
      </c>
      <c r="AN115" s="188" t="s">
        <v>613</v>
      </c>
      <c r="AO115" s="158">
        <v>1</v>
      </c>
      <c r="AP115" s="166" t="s">
        <v>614</v>
      </c>
      <c r="AQ115" s="166" t="s">
        <v>615</v>
      </c>
      <c r="AR115" s="158">
        <v>1</v>
      </c>
      <c r="AS115" s="159"/>
      <c r="AT115" s="159" t="s">
        <v>587</v>
      </c>
      <c r="AU115" s="160" t="s">
        <v>589</v>
      </c>
      <c r="AV115" s="160" t="s">
        <v>589</v>
      </c>
      <c r="AW115" s="160" t="s">
        <v>589</v>
      </c>
      <c r="AX115" s="161" t="s">
        <v>754</v>
      </c>
    </row>
    <row r="116" spans="1:50" s="93" customFormat="1" ht="151.5" customHeight="1" x14ac:dyDescent="0.3">
      <c r="A116" s="365"/>
      <c r="B116" s="354"/>
      <c r="C116" s="363"/>
      <c r="D116" s="363"/>
      <c r="E116" s="360"/>
      <c r="F116" s="406"/>
      <c r="G116" s="406"/>
      <c r="H116" s="357"/>
      <c r="I116" s="360"/>
      <c r="J116" s="370"/>
      <c r="K116" s="342"/>
      <c r="L116" s="345"/>
      <c r="M116" s="348"/>
      <c r="N116" s="140"/>
      <c r="O116" s="342"/>
      <c r="P116" s="345"/>
      <c r="Q116" s="351"/>
      <c r="R116" s="102">
        <v>2</v>
      </c>
      <c r="S116" s="195" t="s">
        <v>496</v>
      </c>
      <c r="T116" s="196" t="str">
        <f>IF(OR(U116="Preventivo",U116="Detectivo"),"Probabilidad",IF(U116="Correctivo","Impacto",""))</f>
        <v>Probabilidad</v>
      </c>
      <c r="U116" s="197" t="s">
        <v>14</v>
      </c>
      <c r="V116" s="197" t="s">
        <v>9</v>
      </c>
      <c r="W116" s="198" t="str">
        <f>IF(AND(U116="Preventivo",V116="Automático"),"50%",IF(AND(U116="Preventivo",V116="Manual"),"40%",IF(AND(U116="Detectivo",V116="Automático"),"40%",IF(AND(U116="Detectivo",V116="Manual"),"30%",IF(AND(U116="Correctivo",V116="Automático"),"35%",IF(AND(U116="Correctivo",V116="Manual"),"25%",""))))))</f>
        <v>40%</v>
      </c>
      <c r="X116" s="197" t="s">
        <v>20</v>
      </c>
      <c r="Y116" s="197" t="s">
        <v>22</v>
      </c>
      <c r="Z116" s="197" t="s">
        <v>110</v>
      </c>
      <c r="AA116" s="90">
        <f>IFERROR(IF(T116="Probabilidad",(L116-(+L116*W116)),IF(T116="Impacto",L116,"")),"")</f>
        <v>0</v>
      </c>
      <c r="AB116" s="199" t="str">
        <f>IFERROR(IF(AA116="","",IF(AA116&lt;=0.2,"Muy Baja",IF(AA116&lt;=0.4,"Baja",IF(AA116&lt;=0.6,"Media",IF(AA116&lt;=0.8,"Alta","Muy Alta"))))),"")</f>
        <v>Muy Baja</v>
      </c>
      <c r="AC116" s="200">
        <f>+AA116</f>
        <v>0</v>
      </c>
      <c r="AD116" s="199" t="str">
        <f>IFERROR(IF(AE116="","",IF(AE116&lt;=0.2,"Leve",IF(AE116&lt;=0.4,"Menor",IF(AE116&lt;=0.6,"Moderado",IF(AE116&lt;=0.8,"Mayor","Catastrófico"))))),"")</f>
        <v>Leve</v>
      </c>
      <c r="AE116" s="200">
        <f>IFERROR(IF(T116="Impacto",(P116-(+P116*W116)),IF(T116="Probabilidad",P116,"")),"")</f>
        <v>0</v>
      </c>
      <c r="AF116" s="201" t="str">
        <f>IFERROR(IF(OR(AND(AB116="Muy Baja",AD116="Leve"),AND(AB116="Muy Baja",AD116="Menor"),AND(AB116="Baja",AD116="Leve")),"Bajo",IF(OR(AND(AB116="Muy baja",AD116="Moderado"),AND(AB116="Baja",AD116="Menor"),AND(AB116="Baja",AD116="Moderado"),AND(AB116="Media",AD116="Leve"),AND(AB116="Media",AD116="Menor"),AND(AB116="Media",AD116="Moderado"),AND(AB116="Alta",AD116="Leve"),AND(AB116="Alta",AD116="Menor")),"Moderado",IF(OR(AND(AB116="Muy Baja",AD116="Mayor"),AND(AB116="Baja",AD116="Mayor"),AND(AB116="Media",AD116="Mayor"),AND(AB116="Alta",AD116="Moderado"),AND(AB116="Alta",AD116="Mayor"),AND(AB116="Muy Alta",AD116="Leve"),AND(AB116="Muy Alta",AD116="Menor"),AND(AB116="Muy Alta",AD116="Moderado"),AND(AB116="Muy Alta",AD116="Mayor")),"Alto",IF(OR(AND(AB116="Muy Baja",AD116="Catastrófico"),AND(AB116="Baja",AD116="Catastrófico"),AND(AB116="Media",AD116="Catastrófico"),AND(AB116="Alta",AD116="Catastrófico"),AND(AB116="Muy Alta",AD116="Catastrófico")),"Extremo","")))),"")</f>
        <v>Bajo</v>
      </c>
      <c r="AG116" s="202" t="s">
        <v>122</v>
      </c>
      <c r="AH116" s="203" t="s">
        <v>497</v>
      </c>
      <c r="AI116" s="236" t="s">
        <v>498</v>
      </c>
      <c r="AJ116" s="159" t="s">
        <v>362</v>
      </c>
      <c r="AK116" s="159" t="s">
        <v>499</v>
      </c>
      <c r="AL116" s="195" t="s">
        <v>686</v>
      </c>
      <c r="AM116" s="166" t="s">
        <v>616</v>
      </c>
      <c r="AN116" s="189" t="s">
        <v>617</v>
      </c>
      <c r="AO116" s="158">
        <v>1</v>
      </c>
      <c r="AP116" s="166" t="s">
        <v>797</v>
      </c>
      <c r="AQ116" s="188" t="s">
        <v>618</v>
      </c>
      <c r="AR116" s="158">
        <v>1</v>
      </c>
      <c r="AS116" s="159"/>
      <c r="AT116" s="159" t="s">
        <v>587</v>
      </c>
      <c r="AU116" s="160" t="s">
        <v>589</v>
      </c>
      <c r="AV116" s="160" t="s">
        <v>589</v>
      </c>
      <c r="AW116" s="160" t="s">
        <v>589</v>
      </c>
      <c r="AX116" s="161" t="s">
        <v>754</v>
      </c>
    </row>
    <row r="117" spans="1:50" s="93" customFormat="1" ht="151.5" hidden="1" customHeight="1" x14ac:dyDescent="0.3">
      <c r="A117" s="365"/>
      <c r="B117" s="355"/>
      <c r="C117" s="364"/>
      <c r="D117" s="364"/>
      <c r="E117" s="360"/>
      <c r="F117" s="360"/>
      <c r="G117" s="360"/>
      <c r="H117" s="357"/>
      <c r="I117" s="360"/>
      <c r="J117" s="371"/>
      <c r="K117" s="342"/>
      <c r="L117" s="345"/>
      <c r="M117" s="348"/>
      <c r="N117" s="140"/>
      <c r="O117" s="342"/>
      <c r="P117" s="345"/>
      <c r="Q117" s="351"/>
      <c r="R117" s="110">
        <v>3</v>
      </c>
      <c r="S117" s="195"/>
      <c r="T117" s="196"/>
      <c r="U117" s="197"/>
      <c r="V117" s="197"/>
      <c r="W117" s="198"/>
      <c r="X117" s="197"/>
      <c r="Y117" s="197"/>
      <c r="Z117" s="197"/>
      <c r="AA117" s="90"/>
      <c r="AB117" s="199"/>
      <c r="AC117" s="200"/>
      <c r="AD117" s="199"/>
      <c r="AE117" s="200"/>
      <c r="AF117" s="201"/>
      <c r="AG117" s="202"/>
      <c r="AH117" s="203"/>
      <c r="AI117" s="160"/>
      <c r="AJ117" s="159"/>
      <c r="AK117" s="159"/>
      <c r="AL117" s="195"/>
      <c r="AM117" s="177"/>
      <c r="AN117" s="177"/>
      <c r="AO117" s="160"/>
      <c r="AP117" s="177"/>
      <c r="AQ117" s="177"/>
      <c r="AR117" s="160"/>
      <c r="AS117" s="160"/>
      <c r="AT117" s="160"/>
      <c r="AU117" s="160"/>
      <c r="AV117" s="160"/>
      <c r="AW117" s="160"/>
      <c r="AX117" s="160"/>
    </row>
    <row r="118" spans="1:50" s="93" customFormat="1" ht="252" customHeight="1" x14ac:dyDescent="0.3">
      <c r="A118" s="365">
        <f>1+A115</f>
        <v>37</v>
      </c>
      <c r="B118" s="353" t="s">
        <v>216</v>
      </c>
      <c r="C118" s="362" t="s">
        <v>414</v>
      </c>
      <c r="D118" s="362" t="s">
        <v>217</v>
      </c>
      <c r="E118" s="359" t="s">
        <v>120</v>
      </c>
      <c r="F118" s="391" t="s">
        <v>454</v>
      </c>
      <c r="G118" s="405" t="s">
        <v>236</v>
      </c>
      <c r="H118" s="356" t="s">
        <v>453</v>
      </c>
      <c r="I118" s="359" t="s">
        <v>115</v>
      </c>
      <c r="J118" s="338">
        <v>56</v>
      </c>
      <c r="K118" s="341" t="str">
        <f>IF(J118&lt;=0,"",IF(J118&lt;=2,"Muy Baja",IF(J118&lt;=24,"Baja",IF(J118&lt;=500,"Media",IF(J118&lt;=5000,"Alta","Muy Alta")))))</f>
        <v>Media</v>
      </c>
      <c r="L118" s="344">
        <f>IF(K118="","",IF(K118="Muy Baja",0.2,IF(K118="Baja",0.4,IF(K118="Media",0.6,IF(K118="Alta",0.8,IF(K118="Muy Alta",1,))))))</f>
        <v>0.6</v>
      </c>
      <c r="M118" s="347" t="s">
        <v>250</v>
      </c>
      <c r="N118" s="139" t="str">
        <f>IF(NOT(ISERROR(MATCH(M118,'Tabla Impacto'!$B$221:$B$223,0))),'Tabla Impacto'!$F$223&amp;"Por favor no seleccionar los criterios de impacto(Afectación Económica o presupuestal y Pérdida Reputacional)",M118)</f>
        <v xml:space="preserve"> El riesgo afecta la imagen de la entidad con algunos usuarios de relevancia frente al logro de los objetivos</v>
      </c>
      <c r="O118" s="341" t="str">
        <f>IF(OR(N118='Tabla Impacto'!$C$11,N118='Tabla Impacto'!$D$11),"Leve",IF(OR(N118='Tabla Impacto'!$C$12,N118='Tabla Impacto'!$D$12),"Menor",IF(OR(N118='Tabla Impacto'!$C$13,N118='Tabla Impacto'!$D$13),"Moderado",IF(OR(N118='Tabla Impacto'!$C$14,N118='Tabla Impacto'!$D$14),"Mayor",IF(OR(N118='Tabla Impacto'!$C$15,N118='Tabla Impacto'!$D$15),"Catastrófico","")))))</f>
        <v>Moderado</v>
      </c>
      <c r="P118" s="344">
        <f>IF(O118="","",IF(O118="Leve",0.2,IF(O118="Menor",0.4,IF(O118="Moderado",0.6,IF(O118="Mayor",0.8,IF(O118="Catastrófico",1,))))))</f>
        <v>0.6</v>
      </c>
      <c r="Q118" s="350" t="str">
        <f>IF(OR(AND(K118="Muy Baja",O118="Leve"),AND(K118="Muy Baja",O118="Menor"),AND(K118="Baja",O118="Leve")),"Bajo",IF(OR(AND(K118="Muy baja",O118="Moderado"),AND(K118="Baja",O118="Menor"),AND(K118="Baja",O118="Moderado"),AND(K118="Media",O118="Leve"),AND(K118="Media",O118="Menor"),AND(K118="Media",O118="Moderado"),AND(K118="Alta",O118="Leve"),AND(K118="Alta",O118="Menor")),"Moderado",IF(OR(AND(K118="Muy Baja",O118="Mayor"),AND(K118="Baja",O118="Mayor"),AND(K118="Media",O118="Mayor"),AND(K118="Alta",O118="Moderado"),AND(K118="Alta",O118="Mayor"),AND(K118="Muy Alta",O118="Leve"),AND(K118="Muy Alta",O118="Menor"),AND(K118="Muy Alta",O118="Moderado"),AND(K118="Muy Alta",O118="Mayor")),"Alto",IF(OR(AND(K118="Muy Baja",O118="Catastrófico"),AND(K118="Baja",O118="Catastrófico"),AND(K118="Media",O118="Catastrófico"),AND(K118="Alta",O118="Catastrófico"),AND(K118="Muy Alta",O118="Catastrófico")),"Extremo",""))))</f>
        <v>Moderado</v>
      </c>
      <c r="R118" s="102">
        <v>1</v>
      </c>
      <c r="S118" s="195" t="s">
        <v>423</v>
      </c>
      <c r="T118" s="196" t="str">
        <f t="shared" ref="T118:T126" si="108">IF(OR(U118="Preventivo",U118="Detectivo"),"Probabilidad",IF(U118="Correctivo","Impacto",""))</f>
        <v>Probabilidad</v>
      </c>
      <c r="U118" s="197" t="s">
        <v>15</v>
      </c>
      <c r="V118" s="197" t="s">
        <v>9</v>
      </c>
      <c r="W118" s="198" t="str">
        <f t="shared" ref="W118:W126" si="109">IF(AND(U118="Preventivo",V118="Automático"),"50%",IF(AND(U118="Preventivo",V118="Manual"),"40%",IF(AND(U118="Detectivo",V118="Automático"),"40%",IF(AND(U118="Detectivo",V118="Manual"),"30%",IF(AND(U118="Correctivo",V118="Automático"),"35%",IF(AND(U118="Correctivo",V118="Manual"),"25%",""))))))</f>
        <v>30%</v>
      </c>
      <c r="X118" s="197" t="s">
        <v>19</v>
      </c>
      <c r="Y118" s="197" t="s">
        <v>22</v>
      </c>
      <c r="Z118" s="197" t="s">
        <v>110</v>
      </c>
      <c r="AA118" s="90">
        <f>IFERROR(IF(T118="Probabilidad",(L118-(+L118*W118)),IF(T118="Impacto",L118,"")),"")</f>
        <v>0.42</v>
      </c>
      <c r="AB118" s="199" t="str">
        <f t="shared" ref="AB118:AB126" si="110">IFERROR(IF(AA118="","",IF(AA118&lt;=0.2,"Muy Baja",IF(AA118&lt;=0.4,"Baja",IF(AA118&lt;=0.6,"Media",IF(AA118&lt;=0.8,"Alta","Muy Alta"))))),"")</f>
        <v>Media</v>
      </c>
      <c r="AC118" s="200">
        <f t="shared" ref="AC118:AC126" si="111">+AA118</f>
        <v>0.42</v>
      </c>
      <c r="AD118" s="199" t="str">
        <f t="shared" ref="AD118:AD126" si="112">IFERROR(IF(AE118="","",IF(AE118&lt;=0.2,"Leve",IF(AE118&lt;=0.4,"Menor",IF(AE118&lt;=0.6,"Moderado",IF(AE118&lt;=0.8,"Mayor","Catastrófico"))))),"")</f>
        <v>Moderado</v>
      </c>
      <c r="AE118" s="200">
        <f t="shared" ref="AE118:AE126" si="113">IFERROR(IF(T118="Impacto",(P118-(+P118*W118)),IF(T118="Probabilidad",P118,"")),"")</f>
        <v>0.6</v>
      </c>
      <c r="AF118" s="201" t="str">
        <f t="shared" ref="AF118:AF126" si="114">IFERROR(IF(OR(AND(AB118="Muy Baja",AD118="Leve"),AND(AB118="Muy Baja",AD118="Menor"),AND(AB118="Baja",AD118="Leve")),"Bajo",IF(OR(AND(AB118="Muy baja",AD118="Moderado"),AND(AB118="Baja",AD118="Menor"),AND(AB118="Baja",AD118="Moderado"),AND(AB118="Media",AD118="Leve"),AND(AB118="Media",AD118="Menor"),AND(AB118="Media",AD118="Moderado"),AND(AB118="Alta",AD118="Leve"),AND(AB118="Alta",AD118="Menor")),"Moderado",IF(OR(AND(AB118="Muy Baja",AD118="Mayor"),AND(AB118="Baja",AD118="Mayor"),AND(AB118="Media",AD118="Mayor"),AND(AB118="Alta",AD118="Moderado"),AND(AB118="Alta",AD118="Mayor"),AND(AB118="Muy Alta",AD118="Leve"),AND(AB118="Muy Alta",AD118="Menor"),AND(AB118="Muy Alta",AD118="Moderado"),AND(AB118="Muy Alta",AD118="Mayor")),"Alto",IF(OR(AND(AB118="Muy Baja",AD118="Catastrófico"),AND(AB118="Baja",AD118="Catastrófico"),AND(AB118="Media",AD118="Catastrófico"),AND(AB118="Alta",AD118="Catastrófico"),AND(AB118="Muy Alta",AD118="Catastrófico")),"Extremo","")))),"")</f>
        <v>Moderado</v>
      </c>
      <c r="AG118" s="202" t="s">
        <v>122</v>
      </c>
      <c r="AH118" s="203" t="s">
        <v>455</v>
      </c>
      <c r="AI118" s="160" t="s">
        <v>457</v>
      </c>
      <c r="AJ118" s="159" t="s">
        <v>283</v>
      </c>
      <c r="AK118" s="159" t="s">
        <v>206</v>
      </c>
      <c r="AL118" s="203" t="s">
        <v>458</v>
      </c>
      <c r="AM118" s="166" t="s">
        <v>598</v>
      </c>
      <c r="AN118" s="166" t="s">
        <v>599</v>
      </c>
      <c r="AO118" s="158">
        <v>1</v>
      </c>
      <c r="AP118" s="166" t="s">
        <v>600</v>
      </c>
      <c r="AQ118" s="166" t="s">
        <v>601</v>
      </c>
      <c r="AR118" s="158">
        <v>1</v>
      </c>
      <c r="AS118" s="159"/>
      <c r="AT118" s="159" t="s">
        <v>587</v>
      </c>
      <c r="AU118" s="160" t="s">
        <v>589</v>
      </c>
      <c r="AV118" s="160" t="s">
        <v>589</v>
      </c>
      <c r="AW118" s="160" t="s">
        <v>589</v>
      </c>
      <c r="AX118" s="161" t="s">
        <v>754</v>
      </c>
    </row>
    <row r="119" spans="1:50" s="93" customFormat="1" ht="151.5" customHeight="1" x14ac:dyDescent="0.3">
      <c r="A119" s="365"/>
      <c r="B119" s="354"/>
      <c r="C119" s="363"/>
      <c r="D119" s="367"/>
      <c r="E119" s="360"/>
      <c r="F119" s="388"/>
      <c r="G119" s="360"/>
      <c r="H119" s="357"/>
      <c r="I119" s="360"/>
      <c r="J119" s="339"/>
      <c r="K119" s="342"/>
      <c r="L119" s="345"/>
      <c r="M119" s="348"/>
      <c r="N119" s="140"/>
      <c r="O119" s="342"/>
      <c r="P119" s="345"/>
      <c r="Q119" s="351"/>
      <c r="R119" s="102">
        <v>2</v>
      </c>
      <c r="S119" s="195" t="s">
        <v>686</v>
      </c>
      <c r="T119" s="196" t="str">
        <f t="shared" si="108"/>
        <v/>
      </c>
      <c r="U119" s="197"/>
      <c r="V119" s="197"/>
      <c r="W119" s="198" t="str">
        <f t="shared" si="109"/>
        <v/>
      </c>
      <c r="X119" s="197"/>
      <c r="Y119" s="197"/>
      <c r="Z119" s="197"/>
      <c r="AA119" s="90" t="str">
        <f>IFERROR(IF(T119="Probabilidad",(AA118-(+AA118*W119)),IF(T119="Impacto",L119,"")),"")</f>
        <v/>
      </c>
      <c r="AB119" s="199" t="str">
        <f t="shared" si="110"/>
        <v/>
      </c>
      <c r="AC119" s="200" t="str">
        <f t="shared" si="111"/>
        <v/>
      </c>
      <c r="AD119" s="199" t="str">
        <f t="shared" si="112"/>
        <v/>
      </c>
      <c r="AE119" s="200" t="str">
        <f t="shared" si="113"/>
        <v/>
      </c>
      <c r="AF119" s="201" t="str">
        <f t="shared" si="114"/>
        <v/>
      </c>
      <c r="AG119" s="202"/>
      <c r="AH119" s="203" t="s">
        <v>456</v>
      </c>
      <c r="AI119" s="160" t="s">
        <v>195</v>
      </c>
      <c r="AJ119" s="159" t="s">
        <v>283</v>
      </c>
      <c r="AK119" s="159" t="s">
        <v>206</v>
      </c>
      <c r="AL119" s="195" t="s">
        <v>686</v>
      </c>
      <c r="AM119" s="177" t="s">
        <v>589</v>
      </c>
      <c r="AN119" s="177" t="s">
        <v>589</v>
      </c>
      <c r="AO119" s="158" t="s">
        <v>590</v>
      </c>
      <c r="AP119" s="166" t="s">
        <v>591</v>
      </c>
      <c r="AQ119" s="166" t="s">
        <v>592</v>
      </c>
      <c r="AR119" s="158">
        <v>1</v>
      </c>
      <c r="AS119" s="159"/>
      <c r="AT119" s="159" t="s">
        <v>587</v>
      </c>
      <c r="AU119" s="160" t="s">
        <v>589</v>
      </c>
      <c r="AV119" s="160" t="s">
        <v>589</v>
      </c>
      <c r="AW119" s="160" t="s">
        <v>589</v>
      </c>
      <c r="AX119" s="161" t="s">
        <v>760</v>
      </c>
    </row>
    <row r="120" spans="1:50" s="93" customFormat="1" ht="151.5" hidden="1" customHeight="1" x14ac:dyDescent="0.3">
      <c r="A120" s="365"/>
      <c r="B120" s="355"/>
      <c r="C120" s="363"/>
      <c r="D120" s="367"/>
      <c r="E120" s="360"/>
      <c r="F120" s="388"/>
      <c r="G120" s="360"/>
      <c r="H120" s="357"/>
      <c r="I120" s="360"/>
      <c r="J120" s="339"/>
      <c r="K120" s="343"/>
      <c r="L120" s="346"/>
      <c r="M120" s="348"/>
      <c r="N120" s="140"/>
      <c r="O120" s="343"/>
      <c r="P120" s="346"/>
      <c r="Q120" s="352"/>
      <c r="R120" s="102">
        <v>3</v>
      </c>
      <c r="S120" s="195"/>
      <c r="T120" s="196" t="str">
        <f t="shared" si="108"/>
        <v/>
      </c>
      <c r="U120" s="197"/>
      <c r="V120" s="197"/>
      <c r="W120" s="198"/>
      <c r="X120" s="197"/>
      <c r="Y120" s="197"/>
      <c r="Z120" s="197"/>
      <c r="AA120" s="90" t="str">
        <f>IFERROR(IF(T120="Probabilidad",(AA119-(+AA119*W120)),IF(T120="Impacto",L120,"")),"")</f>
        <v/>
      </c>
      <c r="AB120" s="199" t="str">
        <f t="shared" si="110"/>
        <v/>
      </c>
      <c r="AC120" s="200" t="str">
        <f t="shared" si="111"/>
        <v/>
      </c>
      <c r="AD120" s="199" t="str">
        <f t="shared" si="112"/>
        <v/>
      </c>
      <c r="AE120" s="200" t="str">
        <f t="shared" si="113"/>
        <v/>
      </c>
      <c r="AF120" s="201" t="str">
        <f t="shared" si="114"/>
        <v/>
      </c>
      <c r="AG120" s="202"/>
      <c r="AH120" s="195"/>
      <c r="AI120" s="160"/>
      <c r="AJ120" s="159"/>
      <c r="AK120" s="159"/>
      <c r="AL120" s="195"/>
      <c r="AM120" s="166"/>
      <c r="AN120" s="166"/>
      <c r="AO120" s="158"/>
      <c r="AP120" s="166"/>
      <c r="AQ120" s="166"/>
      <c r="AR120" s="158"/>
      <c r="AS120" s="159"/>
      <c r="AT120" s="159" t="s">
        <v>587</v>
      </c>
      <c r="AU120" s="160" t="s">
        <v>589</v>
      </c>
      <c r="AV120" s="160" t="s">
        <v>589</v>
      </c>
      <c r="AW120" s="160" t="s">
        <v>589</v>
      </c>
      <c r="AX120" s="160" t="s">
        <v>589</v>
      </c>
    </row>
    <row r="121" spans="1:50" s="93" customFormat="1" ht="151.5" customHeight="1" x14ac:dyDescent="0.3">
      <c r="A121" s="365">
        <f>1+A118</f>
        <v>38</v>
      </c>
      <c r="B121" s="353" t="s">
        <v>216</v>
      </c>
      <c r="C121" s="362" t="s">
        <v>414</v>
      </c>
      <c r="D121" s="362" t="s">
        <v>217</v>
      </c>
      <c r="E121" s="359" t="s">
        <v>120</v>
      </c>
      <c r="F121" s="372" t="s">
        <v>459</v>
      </c>
      <c r="G121" s="372" t="s">
        <v>460</v>
      </c>
      <c r="H121" s="356" t="s">
        <v>427</v>
      </c>
      <c r="I121" s="359" t="s">
        <v>218</v>
      </c>
      <c r="J121" s="338">
        <v>150</v>
      </c>
      <c r="K121" s="341" t="str">
        <f>IF(J121&lt;=0,"",IF(J121&lt;=2,"Muy Baja",IF(J121&lt;=24,"Baja",IF(J121&lt;=500,"Media",IF(J121&lt;=5000,"Alta","Muy Alta")))))</f>
        <v>Media</v>
      </c>
      <c r="L121" s="344">
        <f>IF(K121="","",IF(K121="Muy Baja",0.2,IF(K121="Baja",0.4,IF(K121="Media",0.6,IF(K121="Alta",0.8,IF(K121="Muy Alta",1,))))))</f>
        <v>0.6</v>
      </c>
      <c r="M121" s="347" t="s">
        <v>257</v>
      </c>
      <c r="N121" s="139" t="str">
        <f>IF(NOT(ISERROR(MATCH(M121,'Tabla Impacto'!$B$221:$B$223,0))),'Tabla Impacto'!$F$223&amp;"Por favor no seleccionar los criterios de impacto(Afectación Económica o presupuestal y Pérdida Reputacional)",M121)</f>
        <v xml:space="preserve"> El riesgo afecta la imagen de la entidad con efecto publicitario sostenido a nivel de sector administrativo, nivel departamental o municipal</v>
      </c>
      <c r="O121" s="341" t="str">
        <f>IF(OR(N121='Tabla Impacto'!$C$11,N121='Tabla Impacto'!$D$11),"Leve",IF(OR(N121='Tabla Impacto'!$C$12,N121='Tabla Impacto'!$D$12),"Menor",IF(OR(N121='Tabla Impacto'!$C$13,N121='Tabla Impacto'!$D$13),"Moderado",IF(OR(N121='Tabla Impacto'!$C$14,N121='Tabla Impacto'!$D$14),"Mayor",IF(OR(N121='Tabla Impacto'!$C$15,N121='Tabla Impacto'!$D$15),"Catastrófico","")))))</f>
        <v>Mayor</v>
      </c>
      <c r="P121" s="344">
        <f>IF(O121="","",IF(O121="Leve",0.2,IF(O121="Menor",0.4,IF(O121="Moderado",0.6,IF(O121="Mayor",0.8,IF(O121="Catastrófico",1,))))))</f>
        <v>0.8</v>
      </c>
      <c r="Q121" s="350" t="str">
        <f>IF(OR(AND(K121="Muy Baja",O121="Leve"),AND(K121="Muy Baja",O121="Menor"),AND(K121="Baja",O121="Leve")),"Bajo",IF(OR(AND(K121="Muy baja",O121="Moderado"),AND(K121="Baja",O121="Menor"),AND(K121="Baja",O121="Moderado"),AND(K121="Media",O121="Leve"),AND(K121="Media",O121="Menor"),AND(K121="Media",O121="Moderado"),AND(K121="Alta",O121="Leve"),AND(K121="Alta",O121="Menor")),"Moderado",IF(OR(AND(K121="Muy Baja",O121="Mayor"),AND(K121="Baja",O121="Mayor"),AND(K121="Media",O121="Mayor"),AND(K121="Alta",O121="Moderado"),AND(K121="Alta",O121="Mayor"),AND(K121="Muy Alta",O121="Leve"),AND(K121="Muy Alta",O121="Menor"),AND(K121="Muy Alta",O121="Moderado"),AND(K121="Muy Alta",O121="Mayor")),"Alto",IF(OR(AND(K121="Muy Baja",O121="Catastrófico"),AND(K121="Baja",O121="Catastrófico"),AND(K121="Media",O121="Catastrófico"),AND(K121="Alta",O121="Catastrófico"),AND(K121="Muy Alta",O121="Catastrófico")),"Extremo",""))))</f>
        <v>Alto</v>
      </c>
      <c r="R121" s="102">
        <v>1</v>
      </c>
      <c r="S121" s="195" t="s">
        <v>461</v>
      </c>
      <c r="T121" s="196" t="str">
        <f t="shared" si="108"/>
        <v>Probabilidad</v>
      </c>
      <c r="U121" s="197" t="s">
        <v>14</v>
      </c>
      <c r="V121" s="197" t="s">
        <v>9</v>
      </c>
      <c r="W121" s="198" t="str">
        <f t="shared" si="109"/>
        <v>40%</v>
      </c>
      <c r="X121" s="197" t="s">
        <v>19</v>
      </c>
      <c r="Y121" s="197" t="s">
        <v>22</v>
      </c>
      <c r="Z121" s="197" t="s">
        <v>110</v>
      </c>
      <c r="AA121" s="90">
        <f>IFERROR(IF(T121="Probabilidad",(L121-(+L121*W121)),IF(T121="Impacto",L121,"")),"")</f>
        <v>0.36</v>
      </c>
      <c r="AB121" s="199" t="str">
        <f t="shared" si="110"/>
        <v>Baja</v>
      </c>
      <c r="AC121" s="200">
        <f t="shared" si="111"/>
        <v>0.36</v>
      </c>
      <c r="AD121" s="199" t="str">
        <f t="shared" si="112"/>
        <v>Mayor</v>
      </c>
      <c r="AE121" s="200">
        <f t="shared" si="113"/>
        <v>0.8</v>
      </c>
      <c r="AF121" s="201" t="str">
        <f t="shared" si="114"/>
        <v>Alto</v>
      </c>
      <c r="AG121" s="202" t="s">
        <v>122</v>
      </c>
      <c r="AH121" s="203" t="s">
        <v>462</v>
      </c>
      <c r="AI121" s="160" t="s">
        <v>369</v>
      </c>
      <c r="AJ121" s="159" t="s">
        <v>283</v>
      </c>
      <c r="AK121" s="159" t="s">
        <v>206</v>
      </c>
      <c r="AL121" s="195" t="s">
        <v>428</v>
      </c>
      <c r="AM121" s="166" t="s">
        <v>602</v>
      </c>
      <c r="AN121" s="166" t="s">
        <v>602</v>
      </c>
      <c r="AO121" s="158">
        <v>1</v>
      </c>
      <c r="AP121" s="166" t="s">
        <v>603</v>
      </c>
      <c r="AQ121" s="166" t="s">
        <v>604</v>
      </c>
      <c r="AR121" s="158">
        <v>1</v>
      </c>
      <c r="AS121" s="159"/>
      <c r="AT121" s="159" t="s">
        <v>587</v>
      </c>
      <c r="AU121" s="160" t="s">
        <v>589</v>
      </c>
      <c r="AV121" s="160" t="s">
        <v>589</v>
      </c>
      <c r="AW121" s="160" t="s">
        <v>589</v>
      </c>
      <c r="AX121" s="161" t="s">
        <v>754</v>
      </c>
    </row>
    <row r="122" spans="1:50" s="93" customFormat="1" ht="151.5" customHeight="1" x14ac:dyDescent="0.3">
      <c r="A122" s="365"/>
      <c r="B122" s="354"/>
      <c r="C122" s="363"/>
      <c r="D122" s="367"/>
      <c r="E122" s="360"/>
      <c r="F122" s="373"/>
      <c r="G122" s="373"/>
      <c r="H122" s="357"/>
      <c r="I122" s="360"/>
      <c r="J122" s="339"/>
      <c r="K122" s="342"/>
      <c r="L122" s="345"/>
      <c r="M122" s="348"/>
      <c r="N122" s="140"/>
      <c r="O122" s="342"/>
      <c r="P122" s="345"/>
      <c r="Q122" s="351"/>
      <c r="R122" s="102">
        <v>2</v>
      </c>
      <c r="S122" s="168" t="s">
        <v>686</v>
      </c>
      <c r="T122" s="196" t="str">
        <f t="shared" si="108"/>
        <v/>
      </c>
      <c r="U122" s="197"/>
      <c r="V122" s="197"/>
      <c r="W122" s="198" t="str">
        <f t="shared" si="109"/>
        <v/>
      </c>
      <c r="X122" s="197"/>
      <c r="Y122" s="197"/>
      <c r="Z122" s="197"/>
      <c r="AA122" s="90" t="str">
        <f>IFERROR(IF(T122="Probabilidad",(AA121-(+AA121*W122)),IF(T122="Impacto",L122,"")),"")</f>
        <v/>
      </c>
      <c r="AB122" s="199" t="str">
        <f t="shared" si="110"/>
        <v/>
      </c>
      <c r="AC122" s="200" t="str">
        <f t="shared" si="111"/>
        <v/>
      </c>
      <c r="AD122" s="199" t="str">
        <f t="shared" si="112"/>
        <v/>
      </c>
      <c r="AE122" s="200" t="str">
        <f t="shared" si="113"/>
        <v/>
      </c>
      <c r="AF122" s="201" t="str">
        <f t="shared" si="114"/>
        <v/>
      </c>
      <c r="AG122" s="202" t="s">
        <v>122</v>
      </c>
      <c r="AH122" s="195" t="s">
        <v>463</v>
      </c>
      <c r="AI122" s="160" t="s">
        <v>204</v>
      </c>
      <c r="AJ122" s="159" t="s">
        <v>283</v>
      </c>
      <c r="AK122" s="159" t="s">
        <v>206</v>
      </c>
      <c r="AL122" s="195" t="s">
        <v>686</v>
      </c>
      <c r="AM122" s="177" t="s">
        <v>589</v>
      </c>
      <c r="AN122" s="177" t="s">
        <v>589</v>
      </c>
      <c r="AO122" s="158" t="s">
        <v>590</v>
      </c>
      <c r="AP122" s="166" t="s">
        <v>593</v>
      </c>
      <c r="AQ122" s="166" t="s">
        <v>594</v>
      </c>
      <c r="AR122" s="158">
        <v>1</v>
      </c>
      <c r="AS122" s="159"/>
      <c r="AT122" s="159" t="s">
        <v>587</v>
      </c>
      <c r="AU122" s="160" t="s">
        <v>589</v>
      </c>
      <c r="AV122" s="160" t="s">
        <v>589</v>
      </c>
      <c r="AW122" s="160" t="s">
        <v>589</v>
      </c>
      <c r="AX122" s="161" t="s">
        <v>760</v>
      </c>
    </row>
    <row r="123" spans="1:50" s="93" customFormat="1" ht="151.5" hidden="1" customHeight="1" x14ac:dyDescent="0.3">
      <c r="A123" s="365"/>
      <c r="B123" s="355"/>
      <c r="C123" s="363"/>
      <c r="D123" s="367"/>
      <c r="E123" s="360"/>
      <c r="F123" s="373"/>
      <c r="G123" s="373"/>
      <c r="H123" s="357"/>
      <c r="I123" s="360"/>
      <c r="J123" s="339"/>
      <c r="K123" s="343"/>
      <c r="L123" s="346"/>
      <c r="M123" s="348"/>
      <c r="N123" s="140"/>
      <c r="O123" s="343"/>
      <c r="P123" s="346"/>
      <c r="Q123" s="352"/>
      <c r="R123" s="102">
        <v>3</v>
      </c>
      <c r="S123" s="195"/>
      <c r="T123" s="196" t="str">
        <f t="shared" si="108"/>
        <v/>
      </c>
      <c r="U123" s="197"/>
      <c r="V123" s="197"/>
      <c r="W123" s="198"/>
      <c r="X123" s="197"/>
      <c r="Y123" s="197"/>
      <c r="Z123" s="197"/>
      <c r="AA123" s="90" t="str">
        <f>IFERROR(IF(T123="Probabilidad",(AA122-(+AA122*W123)),IF(T123="Impacto",L123,"")),"")</f>
        <v/>
      </c>
      <c r="AB123" s="199" t="str">
        <f t="shared" si="110"/>
        <v/>
      </c>
      <c r="AC123" s="200" t="str">
        <f t="shared" si="111"/>
        <v/>
      </c>
      <c r="AD123" s="199" t="str">
        <f t="shared" si="112"/>
        <v/>
      </c>
      <c r="AE123" s="200" t="str">
        <f t="shared" si="113"/>
        <v/>
      </c>
      <c r="AF123" s="201" t="str">
        <f t="shared" si="114"/>
        <v/>
      </c>
      <c r="AG123" s="202"/>
      <c r="AH123" s="195"/>
      <c r="AI123" s="160"/>
      <c r="AJ123" s="159"/>
      <c r="AK123" s="159"/>
      <c r="AL123" s="195"/>
      <c r="AM123" s="166"/>
      <c r="AN123" s="166"/>
      <c r="AO123" s="158"/>
      <c r="AP123" s="166"/>
      <c r="AQ123" s="166"/>
      <c r="AR123" s="158"/>
      <c r="AS123" s="159"/>
      <c r="AT123" s="159" t="s">
        <v>587</v>
      </c>
      <c r="AU123" s="160" t="s">
        <v>589</v>
      </c>
      <c r="AV123" s="160" t="s">
        <v>589</v>
      </c>
      <c r="AW123" s="160" t="s">
        <v>589</v>
      </c>
      <c r="AX123" s="160" t="s">
        <v>589</v>
      </c>
    </row>
    <row r="124" spans="1:50" s="93" customFormat="1" ht="151.5" customHeight="1" x14ac:dyDescent="0.3">
      <c r="A124" s="365">
        <f>1+A121</f>
        <v>39</v>
      </c>
      <c r="B124" s="353" t="s">
        <v>216</v>
      </c>
      <c r="C124" s="362" t="s">
        <v>414</v>
      </c>
      <c r="D124" s="362" t="s">
        <v>217</v>
      </c>
      <c r="E124" s="359" t="s">
        <v>120</v>
      </c>
      <c r="F124" s="387" t="s">
        <v>476</v>
      </c>
      <c r="G124" s="387" t="s">
        <v>477</v>
      </c>
      <c r="H124" s="372" t="s">
        <v>475</v>
      </c>
      <c r="I124" s="359" t="s">
        <v>218</v>
      </c>
      <c r="J124" s="338">
        <v>150</v>
      </c>
      <c r="K124" s="341" t="str">
        <f>IF(J124&lt;=0,"",IF(J124&lt;=2,"Muy Baja",IF(J124&lt;=24,"Baja",IF(J124&lt;=500,"Media",IF(J124&lt;=5000,"Alta","Muy Alta")))))</f>
        <v>Media</v>
      </c>
      <c r="L124" s="344">
        <f>IF(K124="","",IF(K124="Muy Baja",0.2,IF(K124="Baja",0.4,IF(K124="Media",0.6,IF(K124="Alta",0.8,IF(K124="Muy Alta",1,))))))</f>
        <v>0.6</v>
      </c>
      <c r="M124" s="347" t="s">
        <v>257</v>
      </c>
      <c r="N124" s="139" t="str">
        <f>IF(NOT(ISERROR(MATCH(M124,'Tabla Impacto'!$B$221:$B$223,0))),'Tabla Impacto'!$F$223&amp;"Por favor no seleccionar los criterios de impacto(Afectación Económica o presupuestal y Pérdida Reputacional)",M124)</f>
        <v xml:space="preserve"> El riesgo afecta la imagen de la entidad con efecto publicitario sostenido a nivel de sector administrativo, nivel departamental o municipal</v>
      </c>
      <c r="O124" s="341" t="str">
        <f>IF(OR(N124='Tabla Impacto'!$C$11,N124='Tabla Impacto'!$D$11),"Leve",IF(OR(N124='Tabla Impacto'!$C$12,N124='Tabla Impacto'!$D$12),"Menor",IF(OR(N124='Tabla Impacto'!$C$13,N124='Tabla Impacto'!$D$13),"Moderado",IF(OR(N124='Tabla Impacto'!$C$14,N124='Tabla Impacto'!$D$14),"Mayor",IF(OR(N124='Tabla Impacto'!$C$15,N124='Tabla Impacto'!$D$15),"Catastrófico","")))))</f>
        <v>Mayor</v>
      </c>
      <c r="P124" s="344">
        <f>IF(O124="","",IF(O124="Leve",0.2,IF(O124="Menor",0.4,IF(O124="Moderado",0.6,IF(O124="Mayor",0.8,IF(O124="Catastrófico",1,))))))</f>
        <v>0.8</v>
      </c>
      <c r="Q124" s="350" t="str">
        <f>IF(OR(AND(K124="Muy Baja",O124="Leve"),AND(K124="Muy Baja",O124="Menor"),AND(K124="Baja",O124="Leve")),"Bajo",IF(OR(AND(K124="Muy baja",O124="Moderado"),AND(K124="Baja",O124="Menor"),AND(K124="Baja",O124="Moderado"),AND(K124="Media",O124="Leve"),AND(K124="Media",O124="Menor"),AND(K124="Media",O124="Moderado"),AND(K124="Alta",O124="Leve"),AND(K124="Alta",O124="Menor")),"Moderado",IF(OR(AND(K124="Muy Baja",O124="Mayor"),AND(K124="Baja",O124="Mayor"),AND(K124="Media",O124="Mayor"),AND(K124="Alta",O124="Moderado"),AND(K124="Alta",O124="Mayor"),AND(K124="Muy Alta",O124="Leve"),AND(K124="Muy Alta",O124="Menor"),AND(K124="Muy Alta",O124="Moderado"),AND(K124="Muy Alta",O124="Mayor")),"Alto",IF(OR(AND(K124="Muy Baja",O124="Catastrófico"),AND(K124="Baja",O124="Catastrófico"),AND(K124="Media",O124="Catastrófico"),AND(K124="Alta",O124="Catastrófico"),AND(K124="Muy Alta",O124="Catastrófico")),"Extremo",""))))</f>
        <v>Alto</v>
      </c>
      <c r="R124" s="102">
        <v>1</v>
      </c>
      <c r="S124" s="195" t="s">
        <v>478</v>
      </c>
      <c r="T124" s="196" t="str">
        <f t="shared" si="108"/>
        <v>Probabilidad</v>
      </c>
      <c r="U124" s="197" t="s">
        <v>14</v>
      </c>
      <c r="V124" s="197" t="s">
        <v>9</v>
      </c>
      <c r="W124" s="198" t="str">
        <f t="shared" si="109"/>
        <v>40%</v>
      </c>
      <c r="X124" s="197" t="s">
        <v>19</v>
      </c>
      <c r="Y124" s="197" t="s">
        <v>22</v>
      </c>
      <c r="Z124" s="197" t="s">
        <v>110</v>
      </c>
      <c r="AA124" s="90">
        <f>IFERROR(IF(T124="Probabilidad",(L124-(+L124*W124)),IF(T124="Impacto",L124,"")),"")</f>
        <v>0.36</v>
      </c>
      <c r="AB124" s="199" t="str">
        <f t="shared" si="110"/>
        <v>Baja</v>
      </c>
      <c r="AC124" s="200">
        <f t="shared" si="111"/>
        <v>0.36</v>
      </c>
      <c r="AD124" s="199" t="str">
        <f t="shared" si="112"/>
        <v>Mayor</v>
      </c>
      <c r="AE124" s="200">
        <f t="shared" si="113"/>
        <v>0.8</v>
      </c>
      <c r="AF124" s="201" t="str">
        <f t="shared" si="114"/>
        <v>Alto</v>
      </c>
      <c r="AG124" s="202" t="s">
        <v>122</v>
      </c>
      <c r="AH124" s="195" t="s">
        <v>480</v>
      </c>
      <c r="AI124" s="160" t="s">
        <v>457</v>
      </c>
      <c r="AJ124" s="159" t="s">
        <v>283</v>
      </c>
      <c r="AK124" s="159" t="s">
        <v>206</v>
      </c>
      <c r="AL124" s="195" t="s">
        <v>482</v>
      </c>
      <c r="AM124" s="166" t="s">
        <v>595</v>
      </c>
      <c r="AN124" s="166" t="s">
        <v>605</v>
      </c>
      <c r="AO124" s="158">
        <v>1</v>
      </c>
      <c r="AP124" s="166" t="s">
        <v>606</v>
      </c>
      <c r="AQ124" s="166" t="s">
        <v>606</v>
      </c>
      <c r="AR124" s="158">
        <v>1</v>
      </c>
      <c r="AS124" s="159"/>
      <c r="AT124" s="159" t="s">
        <v>587</v>
      </c>
      <c r="AU124" s="160" t="s">
        <v>589</v>
      </c>
      <c r="AV124" s="160" t="s">
        <v>589</v>
      </c>
      <c r="AW124" s="160" t="s">
        <v>589</v>
      </c>
      <c r="AX124" s="161" t="s">
        <v>754</v>
      </c>
    </row>
    <row r="125" spans="1:50" s="93" customFormat="1" ht="151.5" customHeight="1" x14ac:dyDescent="0.3">
      <c r="A125" s="365"/>
      <c r="B125" s="354"/>
      <c r="C125" s="363"/>
      <c r="D125" s="367"/>
      <c r="E125" s="360"/>
      <c r="F125" s="388"/>
      <c r="G125" s="388"/>
      <c r="H125" s="373"/>
      <c r="I125" s="360"/>
      <c r="J125" s="339"/>
      <c r="K125" s="342"/>
      <c r="L125" s="345"/>
      <c r="M125" s="348"/>
      <c r="N125" s="140"/>
      <c r="O125" s="342"/>
      <c r="P125" s="345"/>
      <c r="Q125" s="351"/>
      <c r="R125" s="102">
        <v>2</v>
      </c>
      <c r="S125" s="195" t="s">
        <v>479</v>
      </c>
      <c r="T125" s="196" t="str">
        <f t="shared" si="108"/>
        <v>Probabilidad</v>
      </c>
      <c r="U125" s="197" t="s">
        <v>14</v>
      </c>
      <c r="V125" s="197" t="s">
        <v>9</v>
      </c>
      <c r="W125" s="198" t="str">
        <f t="shared" si="109"/>
        <v>40%</v>
      </c>
      <c r="X125" s="197" t="s">
        <v>19</v>
      </c>
      <c r="Y125" s="197" t="s">
        <v>22</v>
      </c>
      <c r="Z125" s="197" t="s">
        <v>110</v>
      </c>
      <c r="AA125" s="90">
        <f>IFERROR(IF(T125="Probabilidad",(AA124-(+AA124*W125)),IF(T125="Impacto",L125,"")),"")</f>
        <v>0.216</v>
      </c>
      <c r="AB125" s="199" t="str">
        <f t="shared" si="110"/>
        <v>Baja</v>
      </c>
      <c r="AC125" s="200">
        <f t="shared" si="111"/>
        <v>0.216</v>
      </c>
      <c r="AD125" s="199" t="str">
        <f t="shared" si="112"/>
        <v>Leve</v>
      </c>
      <c r="AE125" s="200">
        <f t="shared" si="113"/>
        <v>0</v>
      </c>
      <c r="AF125" s="201" t="str">
        <f t="shared" si="114"/>
        <v>Bajo</v>
      </c>
      <c r="AG125" s="202" t="s">
        <v>122</v>
      </c>
      <c r="AH125" s="195" t="s">
        <v>481</v>
      </c>
      <c r="AI125" s="160" t="s">
        <v>195</v>
      </c>
      <c r="AJ125" s="159" t="s">
        <v>283</v>
      </c>
      <c r="AK125" s="159" t="s">
        <v>206</v>
      </c>
      <c r="AL125" s="195" t="s">
        <v>483</v>
      </c>
      <c r="AM125" s="166" t="s">
        <v>596</v>
      </c>
      <c r="AN125" s="166" t="s">
        <v>605</v>
      </c>
      <c r="AO125" s="158">
        <v>1</v>
      </c>
      <c r="AP125" s="166" t="s">
        <v>607</v>
      </c>
      <c r="AQ125" s="166" t="s">
        <v>608</v>
      </c>
      <c r="AR125" s="158">
        <v>1</v>
      </c>
      <c r="AS125" s="159"/>
      <c r="AT125" s="159" t="s">
        <v>587</v>
      </c>
      <c r="AU125" s="160" t="s">
        <v>589</v>
      </c>
      <c r="AV125" s="160" t="s">
        <v>589</v>
      </c>
      <c r="AW125" s="160" t="s">
        <v>589</v>
      </c>
      <c r="AX125" s="161" t="s">
        <v>754</v>
      </c>
    </row>
    <row r="126" spans="1:50" s="93" customFormat="1" ht="151.5" hidden="1" customHeight="1" x14ac:dyDescent="0.3">
      <c r="A126" s="365"/>
      <c r="B126" s="355"/>
      <c r="C126" s="363"/>
      <c r="D126" s="367"/>
      <c r="E126" s="360"/>
      <c r="F126" s="388"/>
      <c r="G126" s="388"/>
      <c r="H126" s="373"/>
      <c r="I126" s="360"/>
      <c r="J126" s="339"/>
      <c r="K126" s="343"/>
      <c r="L126" s="346"/>
      <c r="M126" s="348"/>
      <c r="N126" s="140"/>
      <c r="O126" s="343"/>
      <c r="P126" s="346"/>
      <c r="Q126" s="352"/>
      <c r="R126" s="102">
        <v>3</v>
      </c>
      <c r="S126" s="195"/>
      <c r="T126" s="196" t="str">
        <f t="shared" si="108"/>
        <v/>
      </c>
      <c r="U126" s="197"/>
      <c r="V126" s="197"/>
      <c r="W126" s="198" t="str">
        <f t="shared" si="109"/>
        <v/>
      </c>
      <c r="X126" s="197"/>
      <c r="Y126" s="197"/>
      <c r="Z126" s="197"/>
      <c r="AA126" s="90" t="str">
        <f>IFERROR(IF(T126="Probabilidad",(AA125-(+A125*W126)),IF(T126="Impacto",L126,"")),"")</f>
        <v/>
      </c>
      <c r="AB126" s="199" t="str">
        <f t="shared" si="110"/>
        <v/>
      </c>
      <c r="AC126" s="200" t="str">
        <f t="shared" si="111"/>
        <v/>
      </c>
      <c r="AD126" s="199" t="str">
        <f t="shared" si="112"/>
        <v/>
      </c>
      <c r="AE126" s="200" t="str">
        <f t="shared" si="113"/>
        <v/>
      </c>
      <c r="AF126" s="201" t="str">
        <f t="shared" si="114"/>
        <v/>
      </c>
      <c r="AG126" s="202"/>
      <c r="AH126" s="195"/>
      <c r="AI126" s="160"/>
      <c r="AJ126" s="159"/>
      <c r="AK126" s="159"/>
      <c r="AL126" s="195"/>
      <c r="AM126" s="177"/>
      <c r="AN126" s="177"/>
      <c r="AO126" s="160"/>
      <c r="AP126" s="177"/>
      <c r="AQ126" s="177"/>
      <c r="AR126" s="160"/>
      <c r="AS126" s="160"/>
      <c r="AT126" s="160"/>
      <c r="AU126" s="160"/>
      <c r="AV126" s="160"/>
      <c r="AW126" s="160"/>
      <c r="AX126" s="160"/>
    </row>
    <row r="127" spans="1:50" s="93" customFormat="1" ht="243" customHeight="1" x14ac:dyDescent="0.3">
      <c r="A127" s="365">
        <f>1+A124</f>
        <v>40</v>
      </c>
      <c r="B127" s="353" t="s">
        <v>216</v>
      </c>
      <c r="C127" s="362" t="s">
        <v>414</v>
      </c>
      <c r="D127" s="362" t="s">
        <v>217</v>
      </c>
      <c r="E127" s="359" t="s">
        <v>118</v>
      </c>
      <c r="F127" s="387" t="s">
        <v>566</v>
      </c>
      <c r="G127" s="387" t="s">
        <v>567</v>
      </c>
      <c r="H127" s="372" t="s">
        <v>565</v>
      </c>
      <c r="I127" s="359" t="s">
        <v>218</v>
      </c>
      <c r="J127" s="338">
        <v>1</v>
      </c>
      <c r="K127" s="341" t="str">
        <f>IF(J127&lt;=0,"",IF(J127&lt;=2,"Muy Baja",IF(J127&lt;=24,"Baja",IF(J127&lt;=500,"Media",IF(J127&lt;=5000,"Alta","Muy Alta")))))</f>
        <v>Muy Baja</v>
      </c>
      <c r="L127" s="344">
        <f>IF(K127="","",IF(K127="Muy Baja",0.2,IF(K127="Baja",0.4,IF(K127="Media",0.6,IF(K127="Alta",0.8,IF(K127="Muy Alta",1,))))))</f>
        <v>0.2</v>
      </c>
      <c r="M127" s="347" t="s">
        <v>250</v>
      </c>
      <c r="N127" s="139" t="str">
        <f>IF(NOT(ISERROR(MATCH(M127,'Tabla Impacto'!$B$221:$B$223,0))),'Tabla Impacto'!$F$223&amp;"Por favor no seleccionar los criterios de impacto(Afectación Económica o presupuestal y Pérdida Reputacional)",M127)</f>
        <v xml:space="preserve"> El riesgo afecta la imagen de la entidad con algunos usuarios de relevancia frente al logro de los objetivos</v>
      </c>
      <c r="O127" s="341" t="str">
        <f>IF(OR(N127='Tabla Impacto'!$C$11,N127='Tabla Impacto'!$D$11),"Leve",IF(OR(N127='Tabla Impacto'!$C$12,N127='Tabla Impacto'!$D$12),"Menor",IF(OR(N127='Tabla Impacto'!$C$13,N127='Tabla Impacto'!$D$13),"Moderado",IF(OR(N127='Tabla Impacto'!$C$14,N127='Tabla Impacto'!$D$14),"Mayor",IF(OR(N127='Tabla Impacto'!$C$15,N127='Tabla Impacto'!$D$15),"Catastrófico","")))))</f>
        <v>Moderado</v>
      </c>
      <c r="P127" s="344">
        <f>IF(O127="","",IF(O127="Leve",0.2,IF(O127="Menor",0.4,IF(O127="Moderado",0.6,IF(O127="Mayor",0.8,IF(O127="Catastrófico",1,))))))</f>
        <v>0.6</v>
      </c>
      <c r="Q127" s="350" t="str">
        <f>IF(OR(AND(K127="Muy Baja",O127="Leve"),AND(K127="Muy Baja",O127="Menor"),AND(K127="Baja",O127="Leve")),"Bajo",IF(OR(AND(K127="Muy baja",O127="Moderado"),AND(K127="Baja",O127="Menor"),AND(K127="Baja",O127="Moderado"),AND(K127="Media",O127="Leve"),AND(K127="Media",O127="Menor"),AND(K127="Media",O127="Moderado"),AND(K127="Alta",O127="Leve"),AND(K127="Alta",O127="Menor")),"Moderado",IF(OR(AND(K127="Muy Baja",O127="Mayor"),AND(K127="Baja",O127="Mayor"),AND(K127="Media",O127="Mayor"),AND(K127="Alta",O127="Moderado"),AND(K127="Alta",O127="Mayor"),AND(K127="Muy Alta",O127="Leve"),AND(K127="Muy Alta",O127="Menor"),AND(K127="Muy Alta",O127="Moderado"),AND(K127="Muy Alta",O127="Mayor")),"Alto",IF(OR(AND(K127="Muy Baja",O127="Catastrófico"),AND(K127="Baja",O127="Catastrófico"),AND(K127="Media",O127="Catastrófico"),AND(K127="Alta",O127="Catastrófico"),AND(K127="Muy Alta",O127="Catastrófico")),"Extremo",""))))</f>
        <v>Moderado</v>
      </c>
      <c r="R127" s="102">
        <v>1</v>
      </c>
      <c r="S127" s="237" t="s">
        <v>798</v>
      </c>
      <c r="T127" s="196" t="str">
        <f t="shared" ref="T127:T129" si="115">IF(OR(U127="Preventivo",U127="Detectivo"),"Probabilidad",IF(U127="Correctivo","Impacto",""))</f>
        <v>Probabilidad</v>
      </c>
      <c r="U127" s="197" t="s">
        <v>15</v>
      </c>
      <c r="V127" s="197" t="s">
        <v>9</v>
      </c>
      <c r="W127" s="198" t="str">
        <f t="shared" ref="W127:W129" si="116">IF(AND(U127="Preventivo",V127="Automático"),"50%",IF(AND(U127="Preventivo",V127="Manual"),"40%",IF(AND(U127="Detectivo",V127="Automático"),"40%",IF(AND(U127="Detectivo",V127="Manual"),"30%",IF(AND(U127="Correctivo",V127="Automático"),"35%",IF(AND(U127="Correctivo",V127="Manual"),"25%",""))))))</f>
        <v>30%</v>
      </c>
      <c r="X127" s="197" t="s">
        <v>20</v>
      </c>
      <c r="Y127" s="197" t="s">
        <v>22</v>
      </c>
      <c r="Z127" s="197" t="s">
        <v>110</v>
      </c>
      <c r="AA127" s="90">
        <f>IFERROR(IF(T127="Probabilidad",(L127-(+L127*W127)),IF(T127="Impacto",L127,"")),"")</f>
        <v>0.14000000000000001</v>
      </c>
      <c r="AB127" s="199" t="str">
        <f t="shared" ref="AB127:AB129" si="117">IFERROR(IF(AA127="","",IF(AA127&lt;=0.2,"Muy Baja",IF(AA127&lt;=0.4,"Baja",IF(AA127&lt;=0.6,"Media",IF(AA127&lt;=0.8,"Alta","Muy Alta"))))),"")</f>
        <v>Muy Baja</v>
      </c>
      <c r="AC127" s="200">
        <f t="shared" ref="AC127:AC129" si="118">+AA127</f>
        <v>0.14000000000000001</v>
      </c>
      <c r="AD127" s="199" t="str">
        <f t="shared" ref="AD127:AD129" si="119">IFERROR(IF(AE127="","",IF(AE127&lt;=0.2,"Leve",IF(AE127&lt;=0.4,"Menor",IF(AE127&lt;=0.6,"Moderado",IF(AE127&lt;=0.8,"Mayor","Catastrófico"))))),"")</f>
        <v>Moderado</v>
      </c>
      <c r="AE127" s="200">
        <f t="shared" ref="AE127:AE129" si="120">IFERROR(IF(T127="Impacto",(P127-(+P127*W127)),IF(T127="Probabilidad",P127,"")),"")</f>
        <v>0.6</v>
      </c>
      <c r="AF127" s="201" t="str">
        <f t="shared" ref="AF127:AF129" si="121">IFERROR(IF(OR(AND(AB127="Muy Baja",AD127="Leve"),AND(AB127="Muy Baja",AD127="Menor"),AND(AB127="Baja",AD127="Leve")),"Bajo",IF(OR(AND(AB127="Muy baja",AD127="Moderado"),AND(AB127="Baja",AD127="Menor"),AND(AB127="Baja",AD127="Moderado"),AND(AB127="Media",AD127="Leve"),AND(AB127="Media",AD127="Menor"),AND(AB127="Media",AD127="Moderado"),AND(AB127="Alta",AD127="Leve"),AND(AB127="Alta",AD127="Menor")),"Moderado",IF(OR(AND(AB127="Muy Baja",AD127="Mayor"),AND(AB127="Baja",AD127="Mayor"),AND(AB127="Media",AD127="Mayor"),AND(AB127="Alta",AD127="Moderado"),AND(AB127="Alta",AD127="Mayor"),AND(AB127="Muy Alta",AD127="Leve"),AND(AB127="Muy Alta",AD127="Menor"),AND(AB127="Muy Alta",AD127="Moderado"),AND(AB127="Muy Alta",AD127="Mayor")),"Alto",IF(OR(AND(AB127="Muy Baja",AD127="Catastrófico"),AND(AB127="Baja",AD127="Catastrófico"),AND(AB127="Media",AD127="Catastrófico"),AND(AB127="Alta",AD127="Catastrófico"),AND(AB127="Muy Alta",AD127="Catastrófico")),"Extremo","")))),"")</f>
        <v>Moderado</v>
      </c>
      <c r="AG127" s="202" t="s">
        <v>122</v>
      </c>
      <c r="AH127" s="195" t="s">
        <v>480</v>
      </c>
      <c r="AI127" s="160" t="s">
        <v>457</v>
      </c>
      <c r="AJ127" s="159" t="s">
        <v>283</v>
      </c>
      <c r="AK127" s="159" t="s">
        <v>206</v>
      </c>
      <c r="AL127" s="195" t="s">
        <v>482</v>
      </c>
      <c r="AM127" s="166" t="s">
        <v>586</v>
      </c>
      <c r="AN127" s="166" t="s">
        <v>597</v>
      </c>
      <c r="AO127" s="170">
        <v>1</v>
      </c>
      <c r="AP127" s="166" t="s">
        <v>606</v>
      </c>
      <c r="AQ127" s="166" t="s">
        <v>606</v>
      </c>
      <c r="AR127" s="170">
        <v>1</v>
      </c>
      <c r="AS127" s="160" t="s">
        <v>587</v>
      </c>
      <c r="AT127" s="160"/>
      <c r="AU127" s="157" t="s">
        <v>609</v>
      </c>
      <c r="AV127" s="157" t="s">
        <v>588</v>
      </c>
      <c r="AW127" s="157" t="s">
        <v>610</v>
      </c>
      <c r="AX127" s="157" t="s">
        <v>611</v>
      </c>
    </row>
    <row r="128" spans="1:50" s="93" customFormat="1" ht="151.5" hidden="1" customHeight="1" x14ac:dyDescent="0.3">
      <c r="A128" s="365"/>
      <c r="B128" s="354"/>
      <c r="C128" s="363"/>
      <c r="D128" s="367"/>
      <c r="E128" s="360"/>
      <c r="F128" s="388"/>
      <c r="G128" s="388"/>
      <c r="H128" s="373"/>
      <c r="I128" s="360"/>
      <c r="J128" s="339"/>
      <c r="K128" s="342"/>
      <c r="L128" s="345"/>
      <c r="M128" s="348"/>
      <c r="N128" s="140"/>
      <c r="O128" s="342"/>
      <c r="P128" s="345"/>
      <c r="Q128" s="351"/>
      <c r="R128" s="102"/>
      <c r="S128" s="195"/>
      <c r="T128" s="196" t="str">
        <f t="shared" si="115"/>
        <v/>
      </c>
      <c r="U128" s="197"/>
      <c r="V128" s="197"/>
      <c r="W128" s="198" t="str">
        <f t="shared" si="116"/>
        <v/>
      </c>
      <c r="X128" s="197"/>
      <c r="Y128" s="197"/>
      <c r="Z128" s="197"/>
      <c r="AA128" s="90" t="str">
        <f>IFERROR(IF(T128="Probabilidad",(AA127-(+AA127*W128)),IF(T128="Impacto",L128,"")),"")</f>
        <v/>
      </c>
      <c r="AB128" s="199" t="str">
        <f t="shared" si="117"/>
        <v/>
      </c>
      <c r="AC128" s="200" t="str">
        <f t="shared" si="118"/>
        <v/>
      </c>
      <c r="AD128" s="199" t="str">
        <f t="shared" si="119"/>
        <v/>
      </c>
      <c r="AE128" s="200" t="str">
        <f t="shared" si="120"/>
        <v/>
      </c>
      <c r="AF128" s="201" t="str">
        <f t="shared" si="121"/>
        <v/>
      </c>
      <c r="AG128" s="202"/>
      <c r="AH128" s="195"/>
      <c r="AI128" s="160"/>
      <c r="AJ128" s="159"/>
      <c r="AK128" s="159"/>
      <c r="AL128" s="195"/>
      <c r="AM128" s="177"/>
      <c r="AN128" s="177"/>
      <c r="AO128" s="160"/>
      <c r="AP128" s="177"/>
      <c r="AQ128" s="177"/>
      <c r="AR128" s="160"/>
      <c r="AS128" s="160"/>
      <c r="AT128" s="160"/>
      <c r="AU128" s="160"/>
      <c r="AV128" s="160"/>
      <c r="AW128" s="160"/>
      <c r="AX128" s="160"/>
    </row>
    <row r="129" spans="1:50" s="93" customFormat="1" ht="151.5" hidden="1" customHeight="1" x14ac:dyDescent="0.3">
      <c r="A129" s="365"/>
      <c r="B129" s="355"/>
      <c r="C129" s="363"/>
      <c r="D129" s="367"/>
      <c r="E129" s="360"/>
      <c r="F129" s="388"/>
      <c r="G129" s="388"/>
      <c r="H129" s="373"/>
      <c r="I129" s="360"/>
      <c r="J129" s="339"/>
      <c r="K129" s="343"/>
      <c r="L129" s="346"/>
      <c r="M129" s="348"/>
      <c r="N129" s="140"/>
      <c r="O129" s="343"/>
      <c r="P129" s="346"/>
      <c r="Q129" s="352"/>
      <c r="R129" s="102">
        <v>3</v>
      </c>
      <c r="S129" s="195"/>
      <c r="T129" s="196" t="str">
        <f t="shared" si="115"/>
        <v/>
      </c>
      <c r="U129" s="197"/>
      <c r="V129" s="197"/>
      <c r="W129" s="198" t="str">
        <f t="shared" si="116"/>
        <v/>
      </c>
      <c r="X129" s="197"/>
      <c r="Y129" s="197"/>
      <c r="Z129" s="197"/>
      <c r="AA129" s="90" t="str">
        <f>IFERROR(IF(T129="Probabilidad",(AA128-(+A128*W129)),IF(T129="Impacto",L129,"")),"")</f>
        <v/>
      </c>
      <c r="AB129" s="199" t="str">
        <f t="shared" si="117"/>
        <v/>
      </c>
      <c r="AC129" s="200" t="str">
        <f t="shared" si="118"/>
        <v/>
      </c>
      <c r="AD129" s="199" t="str">
        <f t="shared" si="119"/>
        <v/>
      </c>
      <c r="AE129" s="200" t="str">
        <f t="shared" si="120"/>
        <v/>
      </c>
      <c r="AF129" s="201" t="str">
        <f t="shared" si="121"/>
        <v/>
      </c>
      <c r="AG129" s="202"/>
      <c r="AH129" s="195"/>
      <c r="AI129" s="160"/>
      <c r="AJ129" s="159"/>
      <c r="AK129" s="159"/>
      <c r="AL129" s="195"/>
      <c r="AM129" s="177"/>
      <c r="AN129" s="177"/>
      <c r="AO129" s="160"/>
      <c r="AP129" s="177"/>
      <c r="AQ129" s="177"/>
      <c r="AR129" s="160"/>
      <c r="AS129" s="160"/>
      <c r="AT129" s="160"/>
      <c r="AU129" s="160"/>
      <c r="AV129" s="160"/>
      <c r="AW129" s="160"/>
      <c r="AX129" s="160"/>
    </row>
    <row r="130" spans="1:50" s="93" customFormat="1" ht="177" customHeight="1" x14ac:dyDescent="0.3">
      <c r="A130" s="365">
        <f>1+A127</f>
        <v>41</v>
      </c>
      <c r="B130" s="353" t="s">
        <v>417</v>
      </c>
      <c r="C130" s="362" t="s">
        <v>415</v>
      </c>
      <c r="D130" s="362" t="s">
        <v>416</v>
      </c>
      <c r="E130" s="359" t="s">
        <v>118</v>
      </c>
      <c r="F130" s="359" t="s">
        <v>271</v>
      </c>
      <c r="G130" s="359" t="s">
        <v>270</v>
      </c>
      <c r="H130" s="356" t="s">
        <v>265</v>
      </c>
      <c r="I130" s="359" t="s">
        <v>115</v>
      </c>
      <c r="J130" s="338">
        <v>10</v>
      </c>
      <c r="K130" s="341" t="str">
        <f>IF(J130&lt;=0,"",IF(J130&lt;=2,"Muy Baja",IF(J130&lt;=24,"Baja",IF(J130&lt;=500,"Media",IF(J130&lt;=5000,"Alta","Muy Alta")))))</f>
        <v>Baja</v>
      </c>
      <c r="L130" s="344">
        <f>IF(K130="","",IF(K130="Muy Baja",0.2,IF(K130="Baja",0.4,IF(K130="Media",0.6,IF(K130="Alta",0.8,IF(K130="Muy Alta",1,))))))</f>
        <v>0.4</v>
      </c>
      <c r="M130" s="347" t="s">
        <v>257</v>
      </c>
      <c r="N130" s="139" t="str">
        <f>IF(NOT(ISERROR(MATCH(M130,'Tabla Impacto'!$B$221:$B$223,0))),'Tabla Impacto'!$F$223&amp;"Por favor no seleccionar los criterios de impacto(Afectación Económica o presupuestal y Pérdida Reputacional)",M130)</f>
        <v xml:space="preserve"> El riesgo afecta la imagen de la entidad con efecto publicitario sostenido a nivel de sector administrativo, nivel departamental o municipal</v>
      </c>
      <c r="O130" s="341" t="str">
        <f>IF(OR(N130='Tabla Impacto'!$C$11,N130='Tabla Impacto'!$D$11),"Leve",IF(OR(N130='Tabla Impacto'!$C$12,N130='Tabla Impacto'!$D$12),"Menor",IF(OR(N130='Tabla Impacto'!$C$13,N130='Tabla Impacto'!$D$13),"Moderado",IF(OR(N130='Tabla Impacto'!$C$14,N130='Tabla Impacto'!$D$14),"Mayor",IF(OR(N130='Tabla Impacto'!$C$15,N130='Tabla Impacto'!$D$15),"Catastrófico","")))))</f>
        <v>Mayor</v>
      </c>
      <c r="P130" s="344">
        <f>IF(O130="","",IF(O130="Leve",0.2,IF(O130="Menor",0.4,IF(O130="Moderado",0.6,IF(O130="Mayor",0.8,IF(O130="Catastrófico",1,))))))</f>
        <v>0.8</v>
      </c>
      <c r="Q130" s="350" t="str">
        <f>IF(OR(AND(K130="Muy Baja",O130="Leve"),AND(K130="Muy Baja",O130="Menor"),AND(K130="Baja",O130="Leve")),"Bajo",IF(OR(AND(K130="Muy baja",O130="Moderado"),AND(K130="Baja",O130="Menor"),AND(K130="Baja",O130="Moderado"),AND(K130="Media",O130="Leve"),AND(K130="Media",O130="Menor"),AND(K130="Media",O130="Moderado"),AND(K130="Alta",O130="Leve"),AND(K130="Alta",O130="Menor")),"Moderado",IF(OR(AND(K130="Muy Baja",O130="Mayor"),AND(K130="Baja",O130="Mayor"),AND(K130="Media",O130="Mayor"),AND(K130="Alta",O130="Moderado"),AND(K130="Alta",O130="Mayor"),AND(K130="Muy Alta",O130="Leve"),AND(K130="Muy Alta",O130="Menor"),AND(K130="Muy Alta",O130="Moderado"),AND(K130="Muy Alta",O130="Mayor")),"Alto",IF(OR(AND(K130="Muy Baja",O130="Catastrófico"),AND(K130="Baja",O130="Catastrófico"),AND(K130="Media",O130="Catastrófico"),AND(K130="Alta",O130="Catastrófico"),AND(K130="Muy Alta",O130="Catastrófico")),"Extremo",""))))</f>
        <v>Alto</v>
      </c>
      <c r="R130" s="102">
        <v>1</v>
      </c>
      <c r="S130" s="195" t="s">
        <v>487</v>
      </c>
      <c r="T130" s="196" t="str">
        <f t="shared" ref="T130:T138" si="122">IF(OR(U130="Preventivo",U130="Detectivo"),"Probabilidad",IF(U130="Correctivo","Impacto",""))</f>
        <v>Probabilidad</v>
      </c>
      <c r="U130" s="197" t="s">
        <v>14</v>
      </c>
      <c r="V130" s="197" t="s">
        <v>9</v>
      </c>
      <c r="W130" s="198" t="str">
        <f t="shared" ref="W130:W138" si="123">IF(AND(U130="Preventivo",V130="Automático"),"50%",IF(AND(U130="Preventivo",V130="Manual"),"40%",IF(AND(U130="Detectivo",V130="Automático"),"40%",IF(AND(U130="Detectivo",V130="Manual"),"30%",IF(AND(U130="Correctivo",V130="Automático"),"35%",IF(AND(U130="Correctivo",V130="Manual"),"25%",""))))))</f>
        <v>40%</v>
      </c>
      <c r="X130" s="197" t="s">
        <v>19</v>
      </c>
      <c r="Y130" s="197" t="s">
        <v>22</v>
      </c>
      <c r="Z130" s="197" t="s">
        <v>110</v>
      </c>
      <c r="AA130" s="90">
        <f t="shared" ref="AA130:AA138" si="124">IFERROR(IF(T130="Probabilidad",(L130-(+L130*W130)),IF(T130="Impacto",L130,"")),"")</f>
        <v>0.24</v>
      </c>
      <c r="AB130" s="199" t="str">
        <f t="shared" ref="AB130:AB138" si="125">IFERROR(IF(AA130="","",IF(AA130&lt;=0.2,"Muy Baja",IF(AA130&lt;=0.4,"Baja",IF(AA130&lt;=0.6,"Media",IF(AA130&lt;=0.8,"Alta","Muy Alta"))))),"")</f>
        <v>Baja</v>
      </c>
      <c r="AC130" s="200">
        <f t="shared" ref="AC130:AC138" si="126">+AA130</f>
        <v>0.24</v>
      </c>
      <c r="AD130" s="199" t="str">
        <f t="shared" ref="AD130:AD138" si="127">IFERROR(IF(AE130="","",IF(AE130&lt;=0.2,"Leve",IF(AE130&lt;=0.4,"Menor",IF(AE130&lt;=0.6,"Moderado",IF(AE130&lt;=0.8,"Mayor","Catastrófico"))))),"")</f>
        <v>Mayor</v>
      </c>
      <c r="AE130" s="200">
        <f t="shared" ref="AE130:AE138" si="128">IFERROR(IF(T130="Impacto",(P130-(+P130*W130)),IF(T130="Probabilidad",P130,"")),"")</f>
        <v>0.8</v>
      </c>
      <c r="AF130" s="201" t="str">
        <f t="shared" ref="AF130:AF138" si="129">IFERROR(IF(OR(AND(AB130="Muy Baja",AD130="Leve"),AND(AB130="Muy Baja",AD130="Menor"),AND(AB130="Baja",AD130="Leve")),"Bajo",IF(OR(AND(AB130="Muy baja",AD130="Moderado"),AND(AB130="Baja",AD130="Menor"),AND(AB130="Baja",AD130="Moderado"),AND(AB130="Media",AD130="Leve"),AND(AB130="Media",AD130="Menor"),AND(AB130="Media",AD130="Moderado"),AND(AB130="Alta",AD130="Leve"),AND(AB130="Alta",AD130="Menor")),"Moderado",IF(OR(AND(AB130="Muy Baja",AD130="Mayor"),AND(AB130="Baja",AD130="Mayor"),AND(AB130="Media",AD130="Mayor"),AND(AB130="Alta",AD130="Moderado"),AND(AB130="Alta",AD130="Mayor"),AND(AB130="Muy Alta",AD130="Leve"),AND(AB130="Muy Alta",AD130="Menor"),AND(AB130="Muy Alta",AD130="Moderado"),AND(AB130="Muy Alta",AD130="Mayor")),"Alto",IF(OR(AND(AB130="Muy Baja",AD130="Catastrófico"),AND(AB130="Baja",AD130="Catastrófico"),AND(AB130="Media",AD130="Catastrófico"),AND(AB130="Alta",AD130="Catastrófico"),AND(AB130="Muy Alta",AD130="Catastrófico")),"Extremo","")))),"")</f>
        <v>Alto</v>
      </c>
      <c r="AG130" s="202" t="s">
        <v>122</v>
      </c>
      <c r="AH130" s="195" t="s">
        <v>488</v>
      </c>
      <c r="AI130" s="160" t="s">
        <v>457</v>
      </c>
      <c r="AJ130" s="159" t="s">
        <v>283</v>
      </c>
      <c r="AK130" s="159" t="s">
        <v>206</v>
      </c>
      <c r="AL130" s="203" t="s">
        <v>489</v>
      </c>
      <c r="AM130" s="190" t="s">
        <v>799</v>
      </c>
      <c r="AN130" s="191" t="s">
        <v>657</v>
      </c>
      <c r="AO130" s="170">
        <v>1</v>
      </c>
      <c r="AP130" s="176" t="s">
        <v>658</v>
      </c>
      <c r="AQ130" s="176" t="s">
        <v>659</v>
      </c>
      <c r="AR130" s="170">
        <v>1</v>
      </c>
      <c r="AS130" s="160"/>
      <c r="AT130" s="159" t="s">
        <v>587</v>
      </c>
      <c r="AU130" s="160" t="s">
        <v>589</v>
      </c>
      <c r="AV130" s="160" t="s">
        <v>589</v>
      </c>
      <c r="AW130" s="160" t="s">
        <v>589</v>
      </c>
      <c r="AX130" s="161" t="s">
        <v>754</v>
      </c>
    </row>
    <row r="131" spans="1:50" s="93" customFormat="1" ht="151.5" hidden="1" customHeight="1" x14ac:dyDescent="0.3">
      <c r="A131" s="365"/>
      <c r="B131" s="354"/>
      <c r="C131" s="363"/>
      <c r="D131" s="363"/>
      <c r="E131" s="360"/>
      <c r="F131" s="360"/>
      <c r="G131" s="360"/>
      <c r="H131" s="357"/>
      <c r="I131" s="360"/>
      <c r="J131" s="339"/>
      <c r="K131" s="342"/>
      <c r="L131" s="345"/>
      <c r="M131" s="348"/>
      <c r="N131" s="140"/>
      <c r="O131" s="342"/>
      <c r="P131" s="345"/>
      <c r="Q131" s="351"/>
      <c r="R131" s="102">
        <v>2</v>
      </c>
      <c r="S131" s="195"/>
      <c r="T131" s="196" t="str">
        <f t="shared" si="122"/>
        <v/>
      </c>
      <c r="U131" s="197"/>
      <c r="V131" s="197"/>
      <c r="W131" s="198" t="str">
        <f t="shared" si="123"/>
        <v/>
      </c>
      <c r="X131" s="197"/>
      <c r="Y131" s="197"/>
      <c r="Z131" s="197"/>
      <c r="AA131" s="90" t="str">
        <f t="shared" si="124"/>
        <v/>
      </c>
      <c r="AB131" s="199" t="str">
        <f t="shared" si="125"/>
        <v/>
      </c>
      <c r="AC131" s="200" t="str">
        <f t="shared" si="126"/>
        <v/>
      </c>
      <c r="AD131" s="199" t="str">
        <f t="shared" si="127"/>
        <v/>
      </c>
      <c r="AE131" s="200" t="str">
        <f t="shared" si="128"/>
        <v/>
      </c>
      <c r="AF131" s="201" t="str">
        <f t="shared" si="129"/>
        <v/>
      </c>
      <c r="AG131" s="202"/>
      <c r="AH131" s="195"/>
      <c r="AI131" s="160"/>
      <c r="AJ131" s="159"/>
      <c r="AK131" s="159"/>
      <c r="AL131" s="195"/>
      <c r="AM131" s="176"/>
      <c r="AN131" s="191"/>
      <c r="AO131" s="170"/>
      <c r="AP131" s="177"/>
      <c r="AQ131" s="177"/>
      <c r="AR131" s="160"/>
      <c r="AS131" s="160"/>
      <c r="AT131" s="160"/>
      <c r="AU131" s="160"/>
      <c r="AV131" s="160"/>
      <c r="AW131" s="160"/>
      <c r="AX131" s="160"/>
    </row>
    <row r="132" spans="1:50" s="93" customFormat="1" ht="151.5" hidden="1" customHeight="1" x14ac:dyDescent="0.3">
      <c r="A132" s="365"/>
      <c r="B132" s="355"/>
      <c r="C132" s="364"/>
      <c r="D132" s="364"/>
      <c r="E132" s="361"/>
      <c r="F132" s="361"/>
      <c r="G132" s="361"/>
      <c r="H132" s="358"/>
      <c r="I132" s="361"/>
      <c r="J132" s="340"/>
      <c r="K132" s="343"/>
      <c r="L132" s="346"/>
      <c r="M132" s="349"/>
      <c r="N132" s="140"/>
      <c r="O132" s="343"/>
      <c r="P132" s="346"/>
      <c r="Q132" s="352"/>
      <c r="R132" s="102">
        <v>3</v>
      </c>
      <c r="S132" s="195"/>
      <c r="T132" s="196" t="str">
        <f t="shared" si="122"/>
        <v/>
      </c>
      <c r="U132" s="197"/>
      <c r="V132" s="197"/>
      <c r="W132" s="198" t="str">
        <f t="shared" si="123"/>
        <v/>
      </c>
      <c r="X132" s="197"/>
      <c r="Y132" s="197"/>
      <c r="Z132" s="197"/>
      <c r="AA132" s="90" t="str">
        <f t="shared" si="124"/>
        <v/>
      </c>
      <c r="AB132" s="199" t="str">
        <f t="shared" si="125"/>
        <v/>
      </c>
      <c r="AC132" s="200" t="str">
        <f t="shared" si="126"/>
        <v/>
      </c>
      <c r="AD132" s="199" t="str">
        <f t="shared" si="127"/>
        <v/>
      </c>
      <c r="AE132" s="200" t="str">
        <f t="shared" si="128"/>
        <v/>
      </c>
      <c r="AF132" s="201" t="str">
        <f t="shared" si="129"/>
        <v/>
      </c>
      <c r="AG132" s="202"/>
      <c r="AH132" s="195"/>
      <c r="AI132" s="160"/>
      <c r="AJ132" s="159"/>
      <c r="AK132" s="159"/>
      <c r="AL132" s="195"/>
      <c r="AM132" s="176"/>
      <c r="AN132" s="191"/>
      <c r="AO132" s="170"/>
      <c r="AP132" s="177"/>
      <c r="AQ132" s="177"/>
      <c r="AR132" s="160"/>
      <c r="AS132" s="160"/>
      <c r="AT132" s="160"/>
      <c r="AU132" s="160"/>
      <c r="AV132" s="160"/>
      <c r="AW132" s="160"/>
      <c r="AX132" s="160"/>
    </row>
    <row r="133" spans="1:50" s="93" customFormat="1" ht="151.5" customHeight="1" x14ac:dyDescent="0.3">
      <c r="A133" s="365">
        <f>1+A130</f>
        <v>42</v>
      </c>
      <c r="B133" s="353" t="s">
        <v>417</v>
      </c>
      <c r="C133" s="362" t="s">
        <v>267</v>
      </c>
      <c r="D133" s="362" t="s">
        <v>268</v>
      </c>
      <c r="E133" s="359" t="s">
        <v>118</v>
      </c>
      <c r="F133" s="359" t="s">
        <v>269</v>
      </c>
      <c r="G133" s="359" t="s">
        <v>418</v>
      </c>
      <c r="H133" s="356" t="s">
        <v>490</v>
      </c>
      <c r="I133" s="359" t="s">
        <v>218</v>
      </c>
      <c r="J133" s="338">
        <v>20</v>
      </c>
      <c r="K133" s="341" t="str">
        <f>IF(J133&lt;=0,"",IF(J133&lt;=2,"Muy Baja",IF(J133&lt;=24,"Baja",IF(J133&lt;=500,"Media",IF(J133&lt;=5000,"Alta","Muy Alta")))))</f>
        <v>Baja</v>
      </c>
      <c r="L133" s="344">
        <f>IF(K133="","",IF(K133="Muy Baja",0.2,IF(K133="Baja",0.4,IF(K133="Media",0.6,IF(K133="Alta",0.8,IF(K133="Muy Alta",1,))))))</f>
        <v>0.4</v>
      </c>
      <c r="M133" s="347" t="s">
        <v>250</v>
      </c>
      <c r="N133" s="139" t="str">
        <f>IF(NOT(ISERROR(MATCH(M133,'Tabla Impacto'!$B$221:$B$223,0))),'Tabla Impacto'!$F$223&amp;"Por favor no seleccionar los criterios de impacto(Afectación Económica o presupuestal y Pérdida Reputacional)",M133)</f>
        <v xml:space="preserve"> El riesgo afecta la imagen de la entidad con algunos usuarios de relevancia frente al logro de los objetivos</v>
      </c>
      <c r="O133" s="341" t="str">
        <f>IF(OR(N133='Tabla Impacto'!$C$11,N133='Tabla Impacto'!$D$11),"Leve",IF(OR(N133='Tabla Impacto'!$C$12,N133='Tabla Impacto'!$D$12),"Menor",IF(OR(N133='Tabla Impacto'!$C$13,N133='Tabla Impacto'!$D$13),"Moderado",IF(OR(N133='Tabla Impacto'!$C$14,N133='Tabla Impacto'!$D$14),"Mayor",IF(OR(N133='Tabla Impacto'!$C$15,N133='Tabla Impacto'!$D$15),"Catastrófico","")))))</f>
        <v>Moderado</v>
      </c>
      <c r="P133" s="344">
        <f>IF(O133="","",IF(O133="Leve",0.2,IF(O133="Menor",0.4,IF(O133="Moderado",0.6,IF(O133="Mayor",0.8,IF(O133="Catastrófico",1,))))))</f>
        <v>0.6</v>
      </c>
      <c r="Q133" s="350" t="str">
        <f>IF(OR(AND(K133="Muy Baja",O133="Leve"),AND(K133="Muy Baja",O133="Menor"),AND(K133="Baja",O133="Leve")),"Bajo",IF(OR(AND(K133="Muy baja",O133="Moderado"),AND(K133="Baja",O133="Menor"),AND(K133="Baja",O133="Moderado"),AND(K133="Media",O133="Leve"),AND(K133="Media",O133="Menor"),AND(K133="Media",O133="Moderado"),AND(K133="Alta",O133="Leve"),AND(K133="Alta",O133="Menor")),"Moderado",IF(OR(AND(K133="Muy Baja",O133="Mayor"),AND(K133="Baja",O133="Mayor"),AND(K133="Media",O133="Mayor"),AND(K133="Alta",O133="Moderado"),AND(K133="Alta",O133="Mayor"),AND(K133="Muy Alta",O133="Leve"),AND(K133="Muy Alta",O133="Menor"),AND(K133="Muy Alta",O133="Moderado"),AND(K133="Muy Alta",O133="Mayor")),"Alto",IF(OR(AND(K133="Muy Baja",O133="Catastrófico"),AND(K133="Baja",O133="Catastrófico"),AND(K133="Media",O133="Catastrófico"),AND(K133="Alta",O133="Catastrófico"),AND(K133="Muy Alta",O133="Catastrófico")),"Extremo",""))))</f>
        <v>Moderado</v>
      </c>
      <c r="R133" s="102">
        <v>1</v>
      </c>
      <c r="S133" s="195" t="s">
        <v>800</v>
      </c>
      <c r="T133" s="196" t="str">
        <f t="shared" si="122"/>
        <v>Probabilidad</v>
      </c>
      <c r="U133" s="197" t="s">
        <v>15</v>
      </c>
      <c r="V133" s="197" t="s">
        <v>9</v>
      </c>
      <c r="W133" s="198" t="str">
        <f t="shared" si="123"/>
        <v>30%</v>
      </c>
      <c r="X133" s="197" t="s">
        <v>19</v>
      </c>
      <c r="Y133" s="197" t="s">
        <v>22</v>
      </c>
      <c r="Z133" s="197" t="s">
        <v>110</v>
      </c>
      <c r="AA133" s="90">
        <f t="shared" si="124"/>
        <v>0.28000000000000003</v>
      </c>
      <c r="AB133" s="199" t="str">
        <f t="shared" si="125"/>
        <v>Baja</v>
      </c>
      <c r="AC133" s="200">
        <f t="shared" si="126"/>
        <v>0.28000000000000003</v>
      </c>
      <c r="AD133" s="199" t="str">
        <f t="shared" si="127"/>
        <v>Moderado</v>
      </c>
      <c r="AE133" s="200">
        <f t="shared" si="128"/>
        <v>0.6</v>
      </c>
      <c r="AF133" s="201" t="str">
        <f t="shared" si="129"/>
        <v>Moderado</v>
      </c>
      <c r="AG133" s="202" t="s">
        <v>122</v>
      </c>
      <c r="AH133" s="195" t="s">
        <v>266</v>
      </c>
      <c r="AI133" s="160" t="s">
        <v>203</v>
      </c>
      <c r="AJ133" s="159" t="s">
        <v>283</v>
      </c>
      <c r="AK133" s="159" t="s">
        <v>206</v>
      </c>
      <c r="AL133" s="195" t="s">
        <v>562</v>
      </c>
      <c r="AM133" s="176" t="s">
        <v>801</v>
      </c>
      <c r="AN133" s="191" t="s">
        <v>660</v>
      </c>
      <c r="AO133" s="158">
        <v>1</v>
      </c>
      <c r="AP133" s="176" t="s">
        <v>661</v>
      </c>
      <c r="AQ133" s="176" t="s">
        <v>662</v>
      </c>
      <c r="AR133" s="170">
        <v>1</v>
      </c>
      <c r="AS133" s="160" t="s">
        <v>587</v>
      </c>
      <c r="AT133" s="161"/>
      <c r="AU133" s="161" t="s">
        <v>802</v>
      </c>
      <c r="AV133" s="161" t="s">
        <v>663</v>
      </c>
      <c r="AW133" s="161" t="s">
        <v>664</v>
      </c>
      <c r="AX133" s="161" t="s">
        <v>827</v>
      </c>
    </row>
    <row r="134" spans="1:50" s="93" customFormat="1" ht="151.5" hidden="1" customHeight="1" x14ac:dyDescent="0.3">
      <c r="A134" s="365"/>
      <c r="B134" s="354"/>
      <c r="C134" s="363"/>
      <c r="D134" s="363"/>
      <c r="E134" s="360"/>
      <c r="F134" s="360"/>
      <c r="G134" s="360"/>
      <c r="H134" s="357"/>
      <c r="I134" s="360"/>
      <c r="J134" s="339"/>
      <c r="K134" s="342"/>
      <c r="L134" s="345"/>
      <c r="M134" s="348"/>
      <c r="N134" s="140"/>
      <c r="O134" s="342"/>
      <c r="P134" s="345"/>
      <c r="Q134" s="351"/>
      <c r="R134" s="102">
        <v>2</v>
      </c>
      <c r="S134" s="100"/>
      <c r="T134" s="101" t="str">
        <f t="shared" si="122"/>
        <v/>
      </c>
      <c r="U134" s="103"/>
      <c r="V134" s="103"/>
      <c r="W134" s="104" t="str">
        <f t="shared" si="123"/>
        <v/>
      </c>
      <c r="X134" s="103"/>
      <c r="Y134" s="103"/>
      <c r="Z134" s="103"/>
      <c r="AA134" s="91" t="str">
        <f t="shared" si="124"/>
        <v/>
      </c>
      <c r="AB134" s="96" t="str">
        <f t="shared" si="125"/>
        <v/>
      </c>
      <c r="AC134" s="97" t="str">
        <f t="shared" si="126"/>
        <v/>
      </c>
      <c r="AD134" s="96" t="str">
        <f t="shared" si="127"/>
        <v/>
      </c>
      <c r="AE134" s="97" t="str">
        <f t="shared" si="128"/>
        <v/>
      </c>
      <c r="AF134" s="98" t="str">
        <f t="shared" si="129"/>
        <v/>
      </c>
      <c r="AG134" s="99"/>
      <c r="AH134" s="100"/>
      <c r="AI134" s="94"/>
      <c r="AJ134" s="95"/>
      <c r="AK134" s="95"/>
      <c r="AL134" s="100"/>
      <c r="AM134" s="88"/>
      <c r="AN134" s="88"/>
      <c r="AO134" s="88"/>
      <c r="AP134" s="88"/>
      <c r="AQ134" s="88"/>
      <c r="AR134" s="88"/>
      <c r="AS134" s="88"/>
      <c r="AT134" s="88"/>
      <c r="AU134" s="88"/>
      <c r="AV134" s="88"/>
      <c r="AW134" s="88"/>
      <c r="AX134" s="88"/>
    </row>
    <row r="135" spans="1:50" s="93" customFormat="1" ht="151.5" hidden="1" customHeight="1" x14ac:dyDescent="0.3">
      <c r="A135" s="365"/>
      <c r="B135" s="355"/>
      <c r="C135" s="364"/>
      <c r="D135" s="364"/>
      <c r="E135" s="361"/>
      <c r="F135" s="361"/>
      <c r="G135" s="361"/>
      <c r="H135" s="358"/>
      <c r="I135" s="361"/>
      <c r="J135" s="340"/>
      <c r="K135" s="343"/>
      <c r="L135" s="346"/>
      <c r="M135" s="349"/>
      <c r="N135" s="140"/>
      <c r="O135" s="343"/>
      <c r="P135" s="346"/>
      <c r="Q135" s="352"/>
      <c r="R135" s="102">
        <v>3</v>
      </c>
      <c r="S135" s="100"/>
      <c r="T135" s="101" t="str">
        <f t="shared" si="122"/>
        <v/>
      </c>
      <c r="U135" s="103"/>
      <c r="V135" s="103"/>
      <c r="W135" s="104" t="str">
        <f t="shared" si="123"/>
        <v/>
      </c>
      <c r="X135" s="103"/>
      <c r="Y135" s="103"/>
      <c r="Z135" s="103"/>
      <c r="AA135" s="91" t="str">
        <f t="shared" si="124"/>
        <v/>
      </c>
      <c r="AB135" s="96" t="str">
        <f t="shared" si="125"/>
        <v/>
      </c>
      <c r="AC135" s="97" t="str">
        <f t="shared" si="126"/>
        <v/>
      </c>
      <c r="AD135" s="96" t="str">
        <f t="shared" si="127"/>
        <v/>
      </c>
      <c r="AE135" s="97" t="str">
        <f t="shared" si="128"/>
        <v/>
      </c>
      <c r="AF135" s="98" t="str">
        <f t="shared" si="129"/>
        <v/>
      </c>
      <c r="AG135" s="99"/>
      <c r="AH135" s="100"/>
      <c r="AI135" s="94"/>
      <c r="AJ135" s="95"/>
      <c r="AK135" s="95"/>
      <c r="AL135" s="100"/>
      <c r="AM135" s="88"/>
      <c r="AN135" s="88"/>
      <c r="AO135" s="88"/>
      <c r="AP135" s="88"/>
      <c r="AQ135" s="88"/>
      <c r="AR135" s="88"/>
      <c r="AS135" s="88"/>
      <c r="AT135" s="88"/>
      <c r="AU135" s="88"/>
      <c r="AV135" s="88"/>
      <c r="AW135" s="88"/>
      <c r="AX135" s="88"/>
    </row>
    <row r="136" spans="1:50" s="93" customFormat="1" ht="151.5" hidden="1" customHeight="1" x14ac:dyDescent="0.3">
      <c r="A136" s="365">
        <f>1+A133</f>
        <v>43</v>
      </c>
      <c r="B136" s="353"/>
      <c r="C136" s="366"/>
      <c r="D136" s="366"/>
      <c r="E136" s="359"/>
      <c r="F136" s="359"/>
      <c r="G136" s="359"/>
      <c r="H136" s="356"/>
      <c r="I136" s="359"/>
      <c r="J136" s="338"/>
      <c r="K136" s="341" t="str">
        <f>IF(J136&lt;=0,"",IF(J136&lt;=2,"Muy Baja",IF(J136&lt;=24,"Baja",IF(J136&lt;=500,"Media",IF(J136&lt;=5000,"Alta","Muy Alta")))))</f>
        <v/>
      </c>
      <c r="L136" s="344" t="str">
        <f>IF(K136="","",IF(K136="Muy Baja",0.2,IF(K136="Baja",0.4,IF(K136="Media",0.6,IF(K136="Alta",0.8,IF(K136="Muy Alta",1,))))))</f>
        <v/>
      </c>
      <c r="M136" s="347"/>
      <c r="N136" s="139">
        <f>IF(NOT(ISERROR(MATCH(M136,'Tabla Impacto'!$B$221:$B$223,0))),'Tabla Impacto'!$F$223&amp;"Por favor no seleccionar los criterios de impacto(Afectación Económica o presupuestal y Pérdida Reputacional)",M136)</f>
        <v>0</v>
      </c>
      <c r="O136" s="341" t="str">
        <f>IF(OR(N136='Tabla Impacto'!$C$11,N136='Tabla Impacto'!$D$11),"Leve",IF(OR(N136='Tabla Impacto'!$C$12,N136='Tabla Impacto'!$D$12),"Menor",IF(OR(N136='Tabla Impacto'!$C$13,N136='Tabla Impacto'!$D$13),"Moderado",IF(OR(N136='Tabla Impacto'!$C$14,N136='Tabla Impacto'!$D$14),"Mayor",IF(OR(N136='Tabla Impacto'!$C$15,N136='Tabla Impacto'!$D$15),"Catastrófico","")))))</f>
        <v/>
      </c>
      <c r="P136" s="344" t="str">
        <f>IF(O136="","",IF(O136="Leve",0.2,IF(O136="Menor",0.4,IF(O136="Moderado",0.6,IF(O136="Mayor",0.8,IF(O136="Catastrófico",1,))))))</f>
        <v/>
      </c>
      <c r="Q136" s="350" t="str">
        <f>IF(OR(AND(K136="Muy Baja",O136="Leve"),AND(K136="Muy Baja",O136="Menor"),AND(K136="Baja",O136="Leve")),"Bajo",IF(OR(AND(K136="Muy baja",O136="Moderado"),AND(K136="Baja",O136="Menor"),AND(K136="Baja",O136="Moderado"),AND(K136="Media",O136="Leve"),AND(K136="Media",O136="Menor"),AND(K136="Media",O136="Moderado"),AND(K136="Alta",O136="Leve"),AND(K136="Alta",O136="Menor")),"Moderado",IF(OR(AND(K136="Muy Baja",O136="Mayor"),AND(K136="Baja",O136="Mayor"),AND(K136="Media",O136="Mayor"),AND(K136="Alta",O136="Moderado"),AND(K136="Alta",O136="Mayor"),AND(K136="Muy Alta",O136="Leve"),AND(K136="Muy Alta",O136="Menor"),AND(K136="Muy Alta",O136="Moderado"),AND(K136="Muy Alta",O136="Mayor")),"Alto",IF(OR(AND(K136="Muy Baja",O136="Catastrófico"),AND(K136="Baja",O136="Catastrófico"),AND(K136="Media",O136="Catastrófico"),AND(K136="Alta",O136="Catastrófico"),AND(K136="Muy Alta",O136="Catastrófico")),"Extremo",""))))</f>
        <v/>
      </c>
      <c r="R136" s="102">
        <v>1</v>
      </c>
      <c r="S136" s="100"/>
      <c r="T136" s="101" t="str">
        <f t="shared" si="122"/>
        <v/>
      </c>
      <c r="U136" s="103"/>
      <c r="V136" s="103"/>
      <c r="W136" s="104" t="str">
        <f t="shared" si="123"/>
        <v/>
      </c>
      <c r="X136" s="103"/>
      <c r="Y136" s="103"/>
      <c r="Z136" s="103"/>
      <c r="AA136" s="91" t="str">
        <f t="shared" si="124"/>
        <v/>
      </c>
      <c r="AB136" s="96" t="str">
        <f t="shared" si="125"/>
        <v/>
      </c>
      <c r="AC136" s="97" t="str">
        <f t="shared" si="126"/>
        <v/>
      </c>
      <c r="AD136" s="96" t="str">
        <f t="shared" si="127"/>
        <v/>
      </c>
      <c r="AE136" s="97" t="str">
        <f t="shared" si="128"/>
        <v/>
      </c>
      <c r="AF136" s="98" t="str">
        <f t="shared" si="129"/>
        <v/>
      </c>
      <c r="AG136" s="99"/>
      <c r="AH136" s="100"/>
      <c r="AI136" s="94"/>
      <c r="AJ136" s="95"/>
      <c r="AK136" s="95"/>
      <c r="AL136" s="100"/>
      <c r="AM136" s="88"/>
      <c r="AN136" s="88"/>
      <c r="AO136" s="88"/>
      <c r="AP136" s="88"/>
      <c r="AQ136" s="88"/>
      <c r="AR136" s="88"/>
      <c r="AS136" s="88"/>
      <c r="AT136" s="88"/>
      <c r="AU136" s="88"/>
      <c r="AV136" s="88"/>
      <c r="AW136" s="88"/>
      <c r="AX136" s="88"/>
    </row>
    <row r="137" spans="1:50" s="93" customFormat="1" ht="151.5" hidden="1" customHeight="1" x14ac:dyDescent="0.3">
      <c r="A137" s="365"/>
      <c r="B137" s="354"/>
      <c r="C137" s="367"/>
      <c r="D137" s="367"/>
      <c r="E137" s="360"/>
      <c r="F137" s="360"/>
      <c r="G137" s="360"/>
      <c r="H137" s="357"/>
      <c r="I137" s="360"/>
      <c r="J137" s="339"/>
      <c r="K137" s="342"/>
      <c r="L137" s="345"/>
      <c r="M137" s="348"/>
      <c r="N137" s="140"/>
      <c r="O137" s="342"/>
      <c r="P137" s="345"/>
      <c r="Q137" s="351"/>
      <c r="R137" s="102">
        <v>2</v>
      </c>
      <c r="S137" s="100"/>
      <c r="T137" s="101" t="str">
        <f t="shared" si="122"/>
        <v/>
      </c>
      <c r="U137" s="103"/>
      <c r="V137" s="103"/>
      <c r="W137" s="104" t="str">
        <f t="shared" si="123"/>
        <v/>
      </c>
      <c r="X137" s="103"/>
      <c r="Y137" s="103"/>
      <c r="Z137" s="103"/>
      <c r="AA137" s="91" t="str">
        <f t="shared" si="124"/>
        <v/>
      </c>
      <c r="AB137" s="96" t="str">
        <f t="shared" si="125"/>
        <v/>
      </c>
      <c r="AC137" s="97" t="str">
        <f t="shared" si="126"/>
        <v/>
      </c>
      <c r="AD137" s="96" t="str">
        <f t="shared" si="127"/>
        <v/>
      </c>
      <c r="AE137" s="97" t="str">
        <f t="shared" si="128"/>
        <v/>
      </c>
      <c r="AF137" s="98" t="str">
        <f t="shared" si="129"/>
        <v/>
      </c>
      <c r="AG137" s="99"/>
      <c r="AH137" s="100"/>
      <c r="AI137" s="94"/>
      <c r="AJ137" s="95"/>
      <c r="AK137" s="95"/>
      <c r="AL137" s="100"/>
      <c r="AM137" s="88"/>
      <c r="AN137" s="88"/>
      <c r="AO137" s="88"/>
      <c r="AP137" s="88"/>
      <c r="AQ137" s="88"/>
      <c r="AR137" s="88"/>
      <c r="AS137" s="88"/>
      <c r="AT137" s="88"/>
      <c r="AU137" s="88"/>
      <c r="AV137" s="88"/>
      <c r="AW137" s="88"/>
      <c r="AX137" s="88"/>
    </row>
    <row r="138" spans="1:50" s="93" customFormat="1" ht="31.5" hidden="1" customHeight="1" x14ac:dyDescent="0.3">
      <c r="A138" s="365"/>
      <c r="B138" s="355"/>
      <c r="C138" s="368"/>
      <c r="D138" s="368"/>
      <c r="E138" s="361"/>
      <c r="F138" s="361"/>
      <c r="G138" s="361"/>
      <c r="H138" s="358"/>
      <c r="I138" s="361"/>
      <c r="J138" s="340"/>
      <c r="K138" s="343"/>
      <c r="L138" s="346"/>
      <c r="M138" s="349"/>
      <c r="N138" s="140"/>
      <c r="O138" s="343"/>
      <c r="P138" s="346"/>
      <c r="Q138" s="352"/>
      <c r="R138" s="102">
        <v>3</v>
      </c>
      <c r="S138" s="100"/>
      <c r="T138" s="101" t="str">
        <f t="shared" si="122"/>
        <v/>
      </c>
      <c r="U138" s="103"/>
      <c r="V138" s="103"/>
      <c r="W138" s="104" t="str">
        <f t="shared" si="123"/>
        <v/>
      </c>
      <c r="X138" s="103"/>
      <c r="Y138" s="103"/>
      <c r="Z138" s="103"/>
      <c r="AA138" s="91" t="str">
        <f t="shared" si="124"/>
        <v/>
      </c>
      <c r="AB138" s="96" t="str">
        <f t="shared" si="125"/>
        <v/>
      </c>
      <c r="AC138" s="97" t="str">
        <f t="shared" si="126"/>
        <v/>
      </c>
      <c r="AD138" s="96" t="str">
        <f t="shared" si="127"/>
        <v/>
      </c>
      <c r="AE138" s="97" t="str">
        <f t="shared" si="128"/>
        <v/>
      </c>
      <c r="AF138" s="98" t="str">
        <f t="shared" si="129"/>
        <v/>
      </c>
      <c r="AG138" s="99"/>
      <c r="AH138" s="100"/>
      <c r="AI138" s="94"/>
      <c r="AJ138" s="95"/>
      <c r="AK138" s="95"/>
      <c r="AL138" s="100"/>
      <c r="AM138" s="88"/>
      <c r="AN138" s="88"/>
      <c r="AO138" s="88"/>
      <c r="AP138" s="88"/>
      <c r="AQ138" s="88"/>
      <c r="AR138" s="88"/>
      <c r="AS138" s="88"/>
      <c r="AT138" s="88"/>
      <c r="AU138" s="88"/>
      <c r="AV138" s="88"/>
      <c r="AW138" s="88"/>
      <c r="AX138" s="88"/>
    </row>
    <row r="139" spans="1:50" ht="49.5" customHeight="1" x14ac:dyDescent="0.3">
      <c r="A139" s="3"/>
      <c r="B139" s="78"/>
      <c r="C139" s="78"/>
      <c r="D139" s="78"/>
      <c r="E139" s="417" t="s">
        <v>259</v>
      </c>
      <c r="F139" s="418"/>
      <c r="G139" s="418"/>
      <c r="H139" s="418"/>
      <c r="I139" s="418"/>
      <c r="J139" s="418"/>
      <c r="K139" s="418"/>
      <c r="L139" s="418"/>
      <c r="M139" s="418"/>
      <c r="N139" s="418"/>
      <c r="O139" s="418"/>
      <c r="P139" s="418"/>
      <c r="Q139" s="418"/>
      <c r="R139" s="418"/>
      <c r="S139" s="418"/>
      <c r="T139" s="418"/>
      <c r="U139" s="418"/>
      <c r="V139" s="418"/>
      <c r="W139" s="418"/>
      <c r="X139" s="418"/>
      <c r="Y139" s="418"/>
      <c r="Z139" s="418"/>
      <c r="AA139" s="418"/>
      <c r="AB139" s="418"/>
      <c r="AC139" s="418"/>
      <c r="AD139" s="418"/>
      <c r="AE139" s="418"/>
      <c r="AF139" s="418"/>
      <c r="AG139" s="418"/>
      <c r="AH139" s="418"/>
      <c r="AI139" s="418"/>
      <c r="AJ139" s="418"/>
      <c r="AK139" s="418"/>
      <c r="AL139" s="418"/>
      <c r="AN139" s="194" t="s">
        <v>804</v>
      </c>
      <c r="AO139" s="193">
        <f>AVERAGE(AO7:AO133)</f>
        <v>0.98550724637681164</v>
      </c>
      <c r="AQ139" s="194" t="s">
        <v>804</v>
      </c>
      <c r="AR139" s="193">
        <f>AVERAGE(AR7:AR133)</f>
        <v>0.97807017543859653</v>
      </c>
    </row>
    <row r="141" spans="1:50" x14ac:dyDescent="0.3">
      <c r="C141" s="2"/>
      <c r="D141" s="2"/>
      <c r="E141" s="106" t="s">
        <v>222</v>
      </c>
    </row>
    <row r="143" spans="1:50" ht="18" customHeight="1" x14ac:dyDescent="0.3">
      <c r="B143" s="154" t="s">
        <v>550</v>
      </c>
      <c r="C143" s="155" t="s">
        <v>548</v>
      </c>
      <c r="D143" s="442" t="s">
        <v>551</v>
      </c>
      <c r="E143" s="442"/>
      <c r="F143" s="442"/>
      <c r="G143" s="442"/>
      <c r="H143" s="442"/>
      <c r="I143" s="442"/>
      <c r="J143" s="442"/>
    </row>
    <row r="144" spans="1:50" ht="18" customHeight="1" x14ac:dyDescent="0.3">
      <c r="B144" s="21">
        <v>1</v>
      </c>
      <c r="C144" s="21" t="s">
        <v>556</v>
      </c>
      <c r="D144" s="337" t="s">
        <v>557</v>
      </c>
      <c r="E144" s="337"/>
      <c r="F144" s="337"/>
      <c r="G144" s="337"/>
      <c r="H144" s="337"/>
      <c r="I144" s="337"/>
      <c r="J144" s="337"/>
    </row>
    <row r="145" spans="2:10" ht="18" customHeight="1" x14ac:dyDescent="0.3">
      <c r="B145" s="21">
        <v>2</v>
      </c>
      <c r="C145" s="21" t="s">
        <v>549</v>
      </c>
      <c r="D145" s="337" t="s">
        <v>559</v>
      </c>
      <c r="E145" s="337"/>
      <c r="F145" s="337"/>
      <c r="G145" s="337"/>
      <c r="H145" s="337"/>
      <c r="I145" s="337"/>
      <c r="J145" s="337"/>
    </row>
    <row r="146" spans="2:10" ht="14.1" customHeight="1" x14ac:dyDescent="0.3">
      <c r="B146" s="21">
        <v>3</v>
      </c>
      <c r="C146" s="21" t="s">
        <v>558</v>
      </c>
      <c r="D146" s="337" t="s">
        <v>552</v>
      </c>
      <c r="E146" s="337"/>
      <c r="F146" s="337"/>
      <c r="G146" s="337"/>
      <c r="H146" s="337"/>
      <c r="I146" s="337"/>
      <c r="J146" s="337"/>
    </row>
    <row r="147" spans="2:10" ht="16.5" customHeight="1" x14ac:dyDescent="0.3">
      <c r="B147" s="21">
        <v>4</v>
      </c>
      <c r="C147" s="21" t="s">
        <v>564</v>
      </c>
      <c r="D147" s="337" t="s">
        <v>563</v>
      </c>
      <c r="E147" s="337"/>
      <c r="F147" s="337"/>
      <c r="G147" s="337"/>
      <c r="H147" s="337"/>
      <c r="I147" s="337"/>
      <c r="J147" s="337"/>
    </row>
    <row r="148" spans="2:10" x14ac:dyDescent="0.3">
      <c r="B148" s="21">
        <v>5</v>
      </c>
      <c r="C148" s="21" t="s">
        <v>568</v>
      </c>
      <c r="D148" s="337" t="s">
        <v>569</v>
      </c>
      <c r="E148" s="337"/>
      <c r="F148" s="337"/>
      <c r="G148" s="337"/>
      <c r="H148" s="337"/>
      <c r="I148" s="337"/>
      <c r="J148" s="337"/>
    </row>
    <row r="149" spans="2:10" x14ac:dyDescent="0.3">
      <c r="B149" s="21"/>
      <c r="C149" s="21"/>
      <c r="D149" s="337"/>
      <c r="E149" s="337"/>
      <c r="F149" s="337"/>
      <c r="G149" s="337"/>
      <c r="H149" s="337"/>
      <c r="I149" s="337"/>
      <c r="J149" s="337"/>
    </row>
    <row r="150" spans="2:10" x14ac:dyDescent="0.3">
      <c r="B150" s="21"/>
      <c r="C150" s="21"/>
      <c r="D150" s="21"/>
      <c r="E150" s="21"/>
      <c r="F150" s="21"/>
      <c r="G150" s="21"/>
      <c r="H150" s="21"/>
      <c r="I150" s="21"/>
      <c r="J150" s="21"/>
    </row>
    <row r="151" spans="2:10" x14ac:dyDescent="0.3">
      <c r="B151" s="21"/>
      <c r="C151" s="21"/>
      <c r="D151" s="21"/>
      <c r="E151" s="21"/>
      <c r="F151" s="21"/>
      <c r="G151" s="21"/>
      <c r="H151" s="21"/>
      <c r="I151" s="21"/>
      <c r="J151" s="21"/>
    </row>
    <row r="153" spans="2:10" x14ac:dyDescent="0.3">
      <c r="B153" s="1" t="s">
        <v>805</v>
      </c>
      <c r="C153" s="1" t="s">
        <v>806</v>
      </c>
      <c r="D153" s="1" t="s">
        <v>816</v>
      </c>
    </row>
    <row r="154" spans="2:10" x14ac:dyDescent="0.3">
      <c r="B154" s="1" t="s">
        <v>807</v>
      </c>
      <c r="C154" s="1" t="s">
        <v>817</v>
      </c>
      <c r="D154" s="1" t="s">
        <v>808</v>
      </c>
    </row>
  </sheetData>
  <autoFilter ref="A6:CI139" xr:uid="{00000000-0009-0000-0000-000002000000}"/>
  <dataConsolidate/>
  <mergeCells count="741">
    <mergeCell ref="AM4:AX4"/>
    <mergeCell ref="AM5:AO5"/>
    <mergeCell ref="AP5:AR5"/>
    <mergeCell ref="AS5:AU5"/>
    <mergeCell ref="AV5:AW5"/>
    <mergeCell ref="AX5:AX6"/>
    <mergeCell ref="J127:J129"/>
    <mergeCell ref="K127:K129"/>
    <mergeCell ref="L127:L129"/>
    <mergeCell ref="M127:M129"/>
    <mergeCell ref="O127:O129"/>
    <mergeCell ref="P127:P129"/>
    <mergeCell ref="Q127:Q129"/>
    <mergeCell ref="J34:J36"/>
    <mergeCell ref="J28:J30"/>
    <mergeCell ref="L19:L21"/>
    <mergeCell ref="J19:J21"/>
    <mergeCell ref="O91:O93"/>
    <mergeCell ref="P91:P93"/>
    <mergeCell ref="K16:K18"/>
    <mergeCell ref="L16:L18"/>
    <mergeCell ref="Q7:Q9"/>
    <mergeCell ref="P7:P9"/>
    <mergeCell ref="P16:P18"/>
    <mergeCell ref="J55:J57"/>
    <mergeCell ref="K55:K57"/>
    <mergeCell ref="L55:L57"/>
    <mergeCell ref="M55:M57"/>
    <mergeCell ref="O55:O57"/>
    <mergeCell ref="P55:P57"/>
    <mergeCell ref="Q55:Q57"/>
    <mergeCell ref="J64:J66"/>
    <mergeCell ref="K64:K66"/>
    <mergeCell ref="L64:L66"/>
    <mergeCell ref="K49:K51"/>
    <mergeCell ref="L49:L51"/>
    <mergeCell ref="M49:M51"/>
    <mergeCell ref="O49:O51"/>
    <mergeCell ref="P49:P51"/>
    <mergeCell ref="Q49:Q51"/>
    <mergeCell ref="K52:K54"/>
    <mergeCell ref="L52:L54"/>
    <mergeCell ref="J44:J48"/>
    <mergeCell ref="K44:K48"/>
    <mergeCell ref="L44:L48"/>
    <mergeCell ref="M44:M48"/>
    <mergeCell ref="O44:O48"/>
    <mergeCell ref="P44:P48"/>
    <mergeCell ref="Q44:Q48"/>
    <mergeCell ref="M52:M54"/>
    <mergeCell ref="O52:O54"/>
    <mergeCell ref="P52:P54"/>
    <mergeCell ref="Q52:Q54"/>
    <mergeCell ref="Q37:Q40"/>
    <mergeCell ref="P37:P40"/>
    <mergeCell ref="M34:M36"/>
    <mergeCell ref="O34:O36"/>
    <mergeCell ref="P34:P36"/>
    <mergeCell ref="Q34:Q36"/>
    <mergeCell ref="K37:K40"/>
    <mergeCell ref="Q41:Q43"/>
    <mergeCell ref="K41:K43"/>
    <mergeCell ref="L41:L43"/>
    <mergeCell ref="M41:M43"/>
    <mergeCell ref="O41:O43"/>
    <mergeCell ref="P41:P43"/>
    <mergeCell ref="A49:A51"/>
    <mergeCell ref="B49:B51"/>
    <mergeCell ref="C49:C51"/>
    <mergeCell ref="D144:J144"/>
    <mergeCell ref="D147:J147"/>
    <mergeCell ref="D148:J148"/>
    <mergeCell ref="D149:J149"/>
    <mergeCell ref="D143:J143"/>
    <mergeCell ref="D146:J146"/>
    <mergeCell ref="A127:A129"/>
    <mergeCell ref="B127:B129"/>
    <mergeCell ref="C127:C129"/>
    <mergeCell ref="D127:D129"/>
    <mergeCell ref="E127:E129"/>
    <mergeCell ref="F127:F129"/>
    <mergeCell ref="G127:G129"/>
    <mergeCell ref="H127:H129"/>
    <mergeCell ref="I127:I129"/>
    <mergeCell ref="A103:A105"/>
    <mergeCell ref="B103:B105"/>
    <mergeCell ref="C103:C105"/>
    <mergeCell ref="D103:D105"/>
    <mergeCell ref="E103:E105"/>
    <mergeCell ref="F103:F105"/>
    <mergeCell ref="A44:A48"/>
    <mergeCell ref="B44:B48"/>
    <mergeCell ref="C44:C48"/>
    <mergeCell ref="D44:D48"/>
    <mergeCell ref="E44:E48"/>
    <mergeCell ref="F44:F48"/>
    <mergeCell ref="G44:G48"/>
    <mergeCell ref="H44:H48"/>
    <mergeCell ref="I44:I48"/>
    <mergeCell ref="H103:H105"/>
    <mergeCell ref="I103:I105"/>
    <mergeCell ref="B16:B18"/>
    <mergeCell ref="C16:C18"/>
    <mergeCell ref="D16:D18"/>
    <mergeCell ref="E16:E18"/>
    <mergeCell ref="F16:F18"/>
    <mergeCell ref="G16:G18"/>
    <mergeCell ref="H16:H18"/>
    <mergeCell ref="B31:B33"/>
    <mergeCell ref="G34:G36"/>
    <mergeCell ref="H34:H36"/>
    <mergeCell ref="I34:I36"/>
    <mergeCell ref="H19:H21"/>
    <mergeCell ref="C88:C90"/>
    <mergeCell ref="I37:I40"/>
    <mergeCell ref="H37:H40"/>
    <mergeCell ref="H41:H43"/>
    <mergeCell ref="I41:I43"/>
    <mergeCell ref="I61:I63"/>
    <mergeCell ref="I58:I60"/>
    <mergeCell ref="I55:I57"/>
    <mergeCell ref="I64:I66"/>
    <mergeCell ref="C22:C24"/>
    <mergeCell ref="A19:A21"/>
    <mergeCell ref="B19:B21"/>
    <mergeCell ref="C19:C21"/>
    <mergeCell ref="D19:D21"/>
    <mergeCell ref="K19:K21"/>
    <mergeCell ref="A34:A36"/>
    <mergeCell ref="B34:B36"/>
    <mergeCell ref="C34:C36"/>
    <mergeCell ref="D34:D36"/>
    <mergeCell ref="E34:E36"/>
    <mergeCell ref="F34:F36"/>
    <mergeCell ref="E19:E21"/>
    <mergeCell ref="F19:F21"/>
    <mergeCell ref="G19:G21"/>
    <mergeCell ref="B25:B27"/>
    <mergeCell ref="C25:C27"/>
    <mergeCell ref="D25:D27"/>
    <mergeCell ref="E25:E27"/>
    <mergeCell ref="F25:F27"/>
    <mergeCell ref="G25:G27"/>
    <mergeCell ref="A25:A27"/>
    <mergeCell ref="K34:K36"/>
    <mergeCell ref="A22:A24"/>
    <mergeCell ref="B22:B24"/>
    <mergeCell ref="D22:D24"/>
    <mergeCell ref="E22:E24"/>
    <mergeCell ref="F22:F24"/>
    <mergeCell ref="G22:G24"/>
    <mergeCell ref="H22:H24"/>
    <mergeCell ref="I22:I24"/>
    <mergeCell ref="J37:J40"/>
    <mergeCell ref="H25:H27"/>
    <mergeCell ref="K25:K27"/>
    <mergeCell ref="L25:L27"/>
    <mergeCell ref="I28:I30"/>
    <mergeCell ref="I19:I21"/>
    <mergeCell ref="M16:M18"/>
    <mergeCell ref="O16:O18"/>
    <mergeCell ref="I16:I18"/>
    <mergeCell ref="J22:J24"/>
    <mergeCell ref="K22:K24"/>
    <mergeCell ref="L22:L24"/>
    <mergeCell ref="M22:M24"/>
    <mergeCell ref="O22:O24"/>
    <mergeCell ref="I25:I27"/>
    <mergeCell ref="J25:J27"/>
    <mergeCell ref="L31:L33"/>
    <mergeCell ref="K31:K33"/>
    <mergeCell ref="J31:J33"/>
    <mergeCell ref="I31:I33"/>
    <mergeCell ref="K28:K30"/>
    <mergeCell ref="L28:L30"/>
    <mergeCell ref="O37:O40"/>
    <mergeCell ref="M37:M40"/>
    <mergeCell ref="L37:L40"/>
    <mergeCell ref="L34:L36"/>
    <mergeCell ref="Q28:Q30"/>
    <mergeCell ref="P31:P33"/>
    <mergeCell ref="O31:O33"/>
    <mergeCell ref="Q31:Q33"/>
    <mergeCell ref="Q19:Q21"/>
    <mergeCell ref="M25:M27"/>
    <mergeCell ref="O25:O27"/>
    <mergeCell ref="P25:P27"/>
    <mergeCell ref="Q25:Q27"/>
    <mergeCell ref="M28:M30"/>
    <mergeCell ref="O28:O30"/>
    <mergeCell ref="M31:M33"/>
    <mergeCell ref="C5:C6"/>
    <mergeCell ref="D5:D6"/>
    <mergeCell ref="AD5:AD6"/>
    <mergeCell ref="AB5:AB6"/>
    <mergeCell ref="AC5:AC6"/>
    <mergeCell ref="J5:J6"/>
    <mergeCell ref="K5:K6"/>
    <mergeCell ref="L5:L6"/>
    <mergeCell ref="O5:O6"/>
    <mergeCell ref="P5:P6"/>
    <mergeCell ref="E5:E6"/>
    <mergeCell ref="Q5:Q6"/>
    <mergeCell ref="M5:M6"/>
    <mergeCell ref="N5:N6"/>
    <mergeCell ref="T5:T6"/>
    <mergeCell ref="A1:AL2"/>
    <mergeCell ref="A4:J4"/>
    <mergeCell ref="K4:Q4"/>
    <mergeCell ref="R4:Z4"/>
    <mergeCell ref="AA4:AG4"/>
    <mergeCell ref="AH4:AL4"/>
    <mergeCell ref="R5:R6"/>
    <mergeCell ref="AF5:AF6"/>
    <mergeCell ref="AE5:AE6"/>
    <mergeCell ref="AA5:AA6"/>
    <mergeCell ref="S5:S6"/>
    <mergeCell ref="A5:A6"/>
    <mergeCell ref="I5:I6"/>
    <mergeCell ref="H5:H6"/>
    <mergeCell ref="G5:G6"/>
    <mergeCell ref="F5:F6"/>
    <mergeCell ref="U5:Z5"/>
    <mergeCell ref="AH5:AH6"/>
    <mergeCell ref="AL5:AL6"/>
    <mergeCell ref="AK5:AK6"/>
    <mergeCell ref="AJ5:AJ6"/>
    <mergeCell ref="AI5:AI6"/>
    <mergeCell ref="AG5:AG6"/>
    <mergeCell ref="B5:B6"/>
    <mergeCell ref="D7:D9"/>
    <mergeCell ref="E139:AL139"/>
    <mergeCell ref="D76:D78"/>
    <mergeCell ref="E76:E78"/>
    <mergeCell ref="F76:F78"/>
    <mergeCell ref="G76:G78"/>
    <mergeCell ref="H76:H78"/>
    <mergeCell ref="I76:I78"/>
    <mergeCell ref="K76:K78"/>
    <mergeCell ref="L76:L78"/>
    <mergeCell ref="M76:M78"/>
    <mergeCell ref="O85:O87"/>
    <mergeCell ref="P85:P87"/>
    <mergeCell ref="F88:F90"/>
    <mergeCell ref="E88:E90"/>
    <mergeCell ref="D88:D90"/>
    <mergeCell ref="H91:H93"/>
    <mergeCell ref="I91:I93"/>
    <mergeCell ref="P22:P24"/>
    <mergeCell ref="Q22:Q24"/>
    <mergeCell ref="M19:M21"/>
    <mergeCell ref="O19:O21"/>
    <mergeCell ref="P19:P21"/>
    <mergeCell ref="P28:P30"/>
    <mergeCell ref="L13:L15"/>
    <mergeCell ref="M13:M15"/>
    <mergeCell ref="O13:O15"/>
    <mergeCell ref="K7:K9"/>
    <mergeCell ref="L7:L9"/>
    <mergeCell ref="M7:M9"/>
    <mergeCell ref="O7:O9"/>
    <mergeCell ref="E7:E9"/>
    <mergeCell ref="A13:A15"/>
    <mergeCell ref="B13:B15"/>
    <mergeCell ref="C13:C15"/>
    <mergeCell ref="D13:D15"/>
    <mergeCell ref="E13:E15"/>
    <mergeCell ref="F13:F15"/>
    <mergeCell ref="G13:G15"/>
    <mergeCell ref="H13:H15"/>
    <mergeCell ref="F7:F9"/>
    <mergeCell ref="G7:G9"/>
    <mergeCell ref="H7:H9"/>
    <mergeCell ref="I7:I9"/>
    <mergeCell ref="J7:J9"/>
    <mergeCell ref="A7:A9"/>
    <mergeCell ref="B7:B9"/>
    <mergeCell ref="C7:C9"/>
    <mergeCell ref="Q16:Q18"/>
    <mergeCell ref="J16:J18"/>
    <mergeCell ref="A16:A18"/>
    <mergeCell ref="Q13:Q15"/>
    <mergeCell ref="G10:G12"/>
    <mergeCell ref="H10:H12"/>
    <mergeCell ref="I10:I12"/>
    <mergeCell ref="J10:J12"/>
    <mergeCell ref="K10:K12"/>
    <mergeCell ref="L10:L12"/>
    <mergeCell ref="M10:M12"/>
    <mergeCell ref="O10:O12"/>
    <mergeCell ref="P13:P15"/>
    <mergeCell ref="P10:P12"/>
    <mergeCell ref="Q10:Q12"/>
    <mergeCell ref="A10:A12"/>
    <mergeCell ref="B10:B12"/>
    <mergeCell ref="C10:C12"/>
    <mergeCell ref="D10:D12"/>
    <mergeCell ref="E10:E12"/>
    <mergeCell ref="F10:F12"/>
    <mergeCell ref="I13:I15"/>
    <mergeCell ref="J13:J15"/>
    <mergeCell ref="K13:K15"/>
    <mergeCell ref="A28:A30"/>
    <mergeCell ref="B28:B30"/>
    <mergeCell ref="C28:C30"/>
    <mergeCell ref="D28:D30"/>
    <mergeCell ref="E28:E30"/>
    <mergeCell ref="F28:F30"/>
    <mergeCell ref="G28:G30"/>
    <mergeCell ref="H31:H33"/>
    <mergeCell ref="G31:G33"/>
    <mergeCell ref="F31:F33"/>
    <mergeCell ref="E31:E33"/>
    <mergeCell ref="D31:D33"/>
    <mergeCell ref="C31:C33"/>
    <mergeCell ref="A31:A33"/>
    <mergeCell ref="H28:H30"/>
    <mergeCell ref="A41:A43"/>
    <mergeCell ref="B41:B43"/>
    <mergeCell ref="C41:C43"/>
    <mergeCell ref="D41:D43"/>
    <mergeCell ref="E41:E43"/>
    <mergeCell ref="G37:G40"/>
    <mergeCell ref="F37:F40"/>
    <mergeCell ref="E37:E40"/>
    <mergeCell ref="D37:D40"/>
    <mergeCell ref="C37:C40"/>
    <mergeCell ref="A37:A40"/>
    <mergeCell ref="B37:B40"/>
    <mergeCell ref="F41:F43"/>
    <mergeCell ref="G41:G43"/>
    <mergeCell ref="C52:C54"/>
    <mergeCell ref="D52:D54"/>
    <mergeCell ref="E52:E54"/>
    <mergeCell ref="F52:F54"/>
    <mergeCell ref="G52:G54"/>
    <mergeCell ref="H52:H54"/>
    <mergeCell ref="J41:J43"/>
    <mergeCell ref="D49:D51"/>
    <mergeCell ref="E49:E51"/>
    <mergeCell ref="F49:F51"/>
    <mergeCell ref="G49:G51"/>
    <mergeCell ref="H49:H51"/>
    <mergeCell ref="I49:I51"/>
    <mergeCell ref="I52:I54"/>
    <mergeCell ref="J49:J51"/>
    <mergeCell ref="J52:J54"/>
    <mergeCell ref="D70:D72"/>
    <mergeCell ref="E70:E72"/>
    <mergeCell ref="F70:F72"/>
    <mergeCell ref="G70:G72"/>
    <mergeCell ref="H70:H72"/>
    <mergeCell ref="D67:D69"/>
    <mergeCell ref="A52:A54"/>
    <mergeCell ref="A58:A60"/>
    <mergeCell ref="B58:B60"/>
    <mergeCell ref="C58:C60"/>
    <mergeCell ref="D58:D60"/>
    <mergeCell ref="E58:E60"/>
    <mergeCell ref="F58:F60"/>
    <mergeCell ref="G58:G60"/>
    <mergeCell ref="H58:H60"/>
    <mergeCell ref="B55:B57"/>
    <mergeCell ref="A55:A57"/>
    <mergeCell ref="C55:C57"/>
    <mergeCell ref="D55:D57"/>
    <mergeCell ref="E55:E57"/>
    <mergeCell ref="F55:F57"/>
    <mergeCell ref="G55:G57"/>
    <mergeCell ref="H55:H57"/>
    <mergeCell ref="B52:B54"/>
    <mergeCell ref="A70:A72"/>
    <mergeCell ref="A67:A69"/>
    <mergeCell ref="B67:B69"/>
    <mergeCell ref="C67:C69"/>
    <mergeCell ref="B70:B72"/>
    <mergeCell ref="C70:C72"/>
    <mergeCell ref="A61:A63"/>
    <mergeCell ref="A64:A66"/>
    <mergeCell ref="B64:B66"/>
    <mergeCell ref="C64:C66"/>
    <mergeCell ref="C61:C63"/>
    <mergeCell ref="B61:B63"/>
    <mergeCell ref="D64:D66"/>
    <mergeCell ref="E64:E66"/>
    <mergeCell ref="F64:F66"/>
    <mergeCell ref="G64:G66"/>
    <mergeCell ref="H64:H66"/>
    <mergeCell ref="J58:J60"/>
    <mergeCell ref="K58:K60"/>
    <mergeCell ref="L58:L60"/>
    <mergeCell ref="M58:M60"/>
    <mergeCell ref="M61:M63"/>
    <mergeCell ref="L61:L63"/>
    <mergeCell ref="H61:H63"/>
    <mergeCell ref="G61:G63"/>
    <mergeCell ref="F61:F63"/>
    <mergeCell ref="E61:E63"/>
    <mergeCell ref="D61:D63"/>
    <mergeCell ref="K61:K63"/>
    <mergeCell ref="J61:J63"/>
    <mergeCell ref="M64:M66"/>
    <mergeCell ref="L91:L93"/>
    <mergeCell ref="K70:K72"/>
    <mergeCell ref="L85:L87"/>
    <mergeCell ref="J91:J93"/>
    <mergeCell ref="K91:K93"/>
    <mergeCell ref="M91:M93"/>
    <mergeCell ref="P58:P60"/>
    <mergeCell ref="Q58:Q60"/>
    <mergeCell ref="Q61:Q63"/>
    <mergeCell ref="P61:P63"/>
    <mergeCell ref="O61:O63"/>
    <mergeCell ref="O58:O60"/>
    <mergeCell ref="P64:P66"/>
    <mergeCell ref="O64:O66"/>
    <mergeCell ref="J67:J69"/>
    <mergeCell ref="Q91:Q93"/>
    <mergeCell ref="O76:O78"/>
    <mergeCell ref="P76:P78"/>
    <mergeCell ref="Q64:Q66"/>
    <mergeCell ref="Q67:Q69"/>
    <mergeCell ref="O70:O72"/>
    <mergeCell ref="P70:P72"/>
    <mergeCell ref="Q70:Q72"/>
    <mergeCell ref="P73:P75"/>
    <mergeCell ref="A121:A123"/>
    <mergeCell ref="A118:A120"/>
    <mergeCell ref="B118:B120"/>
    <mergeCell ref="C118:C120"/>
    <mergeCell ref="H121:H123"/>
    <mergeCell ref="G121:G123"/>
    <mergeCell ref="F121:F123"/>
    <mergeCell ref="E121:E123"/>
    <mergeCell ref="D121:D123"/>
    <mergeCell ref="D118:D120"/>
    <mergeCell ref="E118:E120"/>
    <mergeCell ref="F118:F120"/>
    <mergeCell ref="G118:G120"/>
    <mergeCell ref="H118:H120"/>
    <mergeCell ref="H109:H111"/>
    <mergeCell ref="I109:I111"/>
    <mergeCell ref="J109:J111"/>
    <mergeCell ref="K109:K111"/>
    <mergeCell ref="L109:L111"/>
    <mergeCell ref="O103:O105"/>
    <mergeCell ref="A133:A135"/>
    <mergeCell ref="A124:A126"/>
    <mergeCell ref="B124:B126"/>
    <mergeCell ref="F124:F126"/>
    <mergeCell ref="G124:G126"/>
    <mergeCell ref="F109:F111"/>
    <mergeCell ref="G109:G111"/>
    <mergeCell ref="F112:F114"/>
    <mergeCell ref="F115:F117"/>
    <mergeCell ref="G115:G117"/>
    <mergeCell ref="H106:H108"/>
    <mergeCell ref="I106:I108"/>
    <mergeCell ref="J106:J108"/>
    <mergeCell ref="A130:A132"/>
    <mergeCell ref="J130:J132"/>
    <mergeCell ref="I130:I132"/>
    <mergeCell ref="H130:H132"/>
    <mergeCell ref="G130:G132"/>
    <mergeCell ref="B82:B84"/>
    <mergeCell ref="B88:B90"/>
    <mergeCell ref="B106:B108"/>
    <mergeCell ref="C124:C126"/>
    <mergeCell ref="D124:D126"/>
    <mergeCell ref="E124:E126"/>
    <mergeCell ref="A109:A111"/>
    <mergeCell ref="B109:B111"/>
    <mergeCell ref="C109:C111"/>
    <mergeCell ref="D109:D111"/>
    <mergeCell ref="E109:E111"/>
    <mergeCell ref="C115:C117"/>
    <mergeCell ref="D115:D117"/>
    <mergeCell ref="E115:E117"/>
    <mergeCell ref="D112:D114"/>
    <mergeCell ref="E112:E114"/>
    <mergeCell ref="C121:C123"/>
    <mergeCell ref="B112:B114"/>
    <mergeCell ref="A94:A96"/>
    <mergeCell ref="A88:A90"/>
    <mergeCell ref="A85:A87"/>
    <mergeCell ref="A82:A84"/>
    <mergeCell ref="B121:B123"/>
    <mergeCell ref="D85:D87"/>
    <mergeCell ref="A79:A81"/>
    <mergeCell ref="A106:A108"/>
    <mergeCell ref="A115:A117"/>
    <mergeCell ref="A100:A102"/>
    <mergeCell ref="A97:A99"/>
    <mergeCell ref="A91:A93"/>
    <mergeCell ref="A112:A114"/>
    <mergeCell ref="C73:C75"/>
    <mergeCell ref="C97:C99"/>
    <mergeCell ref="C112:C114"/>
    <mergeCell ref="C106:C108"/>
    <mergeCell ref="A73:A75"/>
    <mergeCell ref="A76:A78"/>
    <mergeCell ref="B76:B78"/>
    <mergeCell ref="C76:C78"/>
    <mergeCell ref="B94:B96"/>
    <mergeCell ref="C94:C96"/>
    <mergeCell ref="B85:B87"/>
    <mergeCell ref="B97:B99"/>
    <mergeCell ref="B115:B117"/>
    <mergeCell ref="B100:B102"/>
    <mergeCell ref="B91:B93"/>
    <mergeCell ref="C91:C93"/>
    <mergeCell ref="C85:C87"/>
    <mergeCell ref="E85:E87"/>
    <mergeCell ref="F85:F87"/>
    <mergeCell ref="E91:E93"/>
    <mergeCell ref="F91:F93"/>
    <mergeCell ref="G94:G96"/>
    <mergeCell ref="G91:G93"/>
    <mergeCell ref="C100:C102"/>
    <mergeCell ref="D106:D108"/>
    <mergeCell ref="E106:E108"/>
    <mergeCell ref="D94:D96"/>
    <mergeCell ref="E94:E96"/>
    <mergeCell ref="F94:F96"/>
    <mergeCell ref="F106:F108"/>
    <mergeCell ref="D91:D93"/>
    <mergeCell ref="G103:G105"/>
    <mergeCell ref="O73:O75"/>
    <mergeCell ref="E67:E69"/>
    <mergeCell ref="F67:F69"/>
    <mergeCell ref="G67:G69"/>
    <mergeCell ref="H67:H69"/>
    <mergeCell ref="G73:G75"/>
    <mergeCell ref="H73:H75"/>
    <mergeCell ref="I70:I72"/>
    <mergeCell ref="P67:P69"/>
    <mergeCell ref="O67:O69"/>
    <mergeCell ref="K67:K69"/>
    <mergeCell ref="L67:L69"/>
    <mergeCell ref="M67:M69"/>
    <mergeCell ref="L70:L72"/>
    <mergeCell ref="M70:M72"/>
    <mergeCell ref="L73:L75"/>
    <mergeCell ref="M73:M75"/>
    <mergeCell ref="J70:J72"/>
    <mergeCell ref="I67:I69"/>
    <mergeCell ref="Q73:Q75"/>
    <mergeCell ref="B79:B81"/>
    <mergeCell ref="C79:C81"/>
    <mergeCell ref="D79:D81"/>
    <mergeCell ref="E79:E81"/>
    <mergeCell ref="F79:F81"/>
    <mergeCell ref="G79:G81"/>
    <mergeCell ref="H79:H81"/>
    <mergeCell ref="I79:I81"/>
    <mergeCell ref="J79:J81"/>
    <mergeCell ref="K79:K81"/>
    <mergeCell ref="L79:L81"/>
    <mergeCell ref="M79:M81"/>
    <mergeCell ref="O79:O81"/>
    <mergeCell ref="P79:P81"/>
    <mergeCell ref="I73:I75"/>
    <mergeCell ref="J73:J75"/>
    <mergeCell ref="D73:D75"/>
    <mergeCell ref="E73:E75"/>
    <mergeCell ref="F73:F75"/>
    <mergeCell ref="Q76:Q78"/>
    <mergeCell ref="B73:B75"/>
    <mergeCell ref="K73:K75"/>
    <mergeCell ref="J76:J78"/>
    <mergeCell ref="Q79:Q81"/>
    <mergeCell ref="C82:C84"/>
    <mergeCell ref="D82:D84"/>
    <mergeCell ref="E82:E84"/>
    <mergeCell ref="F82:F84"/>
    <mergeCell ref="G82:G84"/>
    <mergeCell ref="H82:H84"/>
    <mergeCell ref="I82:I84"/>
    <mergeCell ref="J82:J84"/>
    <mergeCell ref="K82:K84"/>
    <mergeCell ref="L82:L84"/>
    <mergeCell ref="M82:M84"/>
    <mergeCell ref="O82:O84"/>
    <mergeCell ref="P82:P84"/>
    <mergeCell ref="Q82:Q84"/>
    <mergeCell ref="Q85:Q87"/>
    <mergeCell ref="G85:G87"/>
    <mergeCell ref="H85:H87"/>
    <mergeCell ref="I85:I87"/>
    <mergeCell ref="J85:J87"/>
    <mergeCell ref="K85:K87"/>
    <mergeCell ref="K88:K90"/>
    <mergeCell ref="J88:J90"/>
    <mergeCell ref="I88:I90"/>
    <mergeCell ref="H88:H90"/>
    <mergeCell ref="G88:G90"/>
    <mergeCell ref="Q88:Q90"/>
    <mergeCell ref="P88:P90"/>
    <mergeCell ref="O88:O90"/>
    <mergeCell ref="M88:M90"/>
    <mergeCell ref="L88:L90"/>
    <mergeCell ref="M85:M87"/>
    <mergeCell ref="P94:P96"/>
    <mergeCell ref="L97:L99"/>
    <mergeCell ref="M97:M99"/>
    <mergeCell ref="O97:O99"/>
    <mergeCell ref="P97:P99"/>
    <mergeCell ref="H94:H96"/>
    <mergeCell ref="I94:I96"/>
    <mergeCell ref="J94:J96"/>
    <mergeCell ref="K94:K96"/>
    <mergeCell ref="L94:L96"/>
    <mergeCell ref="M94:M96"/>
    <mergeCell ref="Q94:Q96"/>
    <mergeCell ref="Q97:Q99"/>
    <mergeCell ref="G97:G99"/>
    <mergeCell ref="H97:H99"/>
    <mergeCell ref="I97:I99"/>
    <mergeCell ref="J97:J99"/>
    <mergeCell ref="K97:K99"/>
    <mergeCell ref="E100:E102"/>
    <mergeCell ref="D100:D102"/>
    <mergeCell ref="Q100:Q102"/>
    <mergeCell ref="P100:P102"/>
    <mergeCell ref="O100:O102"/>
    <mergeCell ref="M100:M102"/>
    <mergeCell ref="L100:L102"/>
    <mergeCell ref="K100:K102"/>
    <mergeCell ref="J100:J102"/>
    <mergeCell ref="I100:I102"/>
    <mergeCell ref="H100:H102"/>
    <mergeCell ref="G100:G102"/>
    <mergeCell ref="F100:F102"/>
    <mergeCell ref="D97:D99"/>
    <mergeCell ref="E97:E99"/>
    <mergeCell ref="F97:F99"/>
    <mergeCell ref="O94:O96"/>
    <mergeCell ref="P103:P105"/>
    <mergeCell ref="Q103:Q105"/>
    <mergeCell ref="K106:K108"/>
    <mergeCell ref="M109:M111"/>
    <mergeCell ref="G112:G114"/>
    <mergeCell ref="H112:H114"/>
    <mergeCell ref="I112:I114"/>
    <mergeCell ref="J112:J114"/>
    <mergeCell ref="P109:P111"/>
    <mergeCell ref="Q109:Q111"/>
    <mergeCell ref="L106:L108"/>
    <mergeCell ref="M106:M108"/>
    <mergeCell ref="O106:O108"/>
    <mergeCell ref="P106:P108"/>
    <mergeCell ref="Q106:Q108"/>
    <mergeCell ref="Q112:Q114"/>
    <mergeCell ref="P112:P114"/>
    <mergeCell ref="O109:O111"/>
    <mergeCell ref="K112:K114"/>
    <mergeCell ref="J103:J105"/>
    <mergeCell ref="K103:K105"/>
    <mergeCell ref="L103:L105"/>
    <mergeCell ref="M103:M105"/>
    <mergeCell ref="G106:G108"/>
    <mergeCell ref="M124:M126"/>
    <mergeCell ref="L124:L126"/>
    <mergeCell ref="P124:P126"/>
    <mergeCell ref="O112:O114"/>
    <mergeCell ref="K121:K123"/>
    <mergeCell ref="I124:I126"/>
    <mergeCell ref="L112:L114"/>
    <mergeCell ref="M112:M114"/>
    <mergeCell ref="H115:H117"/>
    <mergeCell ref="I115:I117"/>
    <mergeCell ref="J115:J117"/>
    <mergeCell ref="K115:K117"/>
    <mergeCell ref="J121:J123"/>
    <mergeCell ref="I121:I123"/>
    <mergeCell ref="H124:H126"/>
    <mergeCell ref="I118:I120"/>
    <mergeCell ref="J118:J120"/>
    <mergeCell ref="K118:K120"/>
    <mergeCell ref="J124:J126"/>
    <mergeCell ref="K124:K126"/>
    <mergeCell ref="A136:A138"/>
    <mergeCell ref="B136:B138"/>
    <mergeCell ref="C136:C138"/>
    <mergeCell ref="D136:D138"/>
    <mergeCell ref="E136:E138"/>
    <mergeCell ref="F136:F138"/>
    <mergeCell ref="G136:G138"/>
    <mergeCell ref="Q124:Q126"/>
    <mergeCell ref="L115:L117"/>
    <mergeCell ref="M115:M117"/>
    <mergeCell ref="O115:O117"/>
    <mergeCell ref="P115:P117"/>
    <mergeCell ref="Q115:Q117"/>
    <mergeCell ref="P118:P120"/>
    <mergeCell ref="Q118:Q120"/>
    <mergeCell ref="P121:P123"/>
    <mergeCell ref="Q121:Q123"/>
    <mergeCell ref="L118:L120"/>
    <mergeCell ref="M118:M120"/>
    <mergeCell ref="M121:M123"/>
    <mergeCell ref="L121:L123"/>
    <mergeCell ref="O118:O120"/>
    <mergeCell ref="O121:O123"/>
    <mergeCell ref="O124:O126"/>
    <mergeCell ref="H136:H138"/>
    <mergeCell ref="I136:I138"/>
    <mergeCell ref="D130:D132"/>
    <mergeCell ref="C130:C132"/>
    <mergeCell ref="J133:J135"/>
    <mergeCell ref="C133:C135"/>
    <mergeCell ref="D133:D135"/>
    <mergeCell ref="E133:E135"/>
    <mergeCell ref="F133:F135"/>
    <mergeCell ref="G133:G135"/>
    <mergeCell ref="F130:F132"/>
    <mergeCell ref="E130:E132"/>
    <mergeCell ref="D145:J145"/>
    <mergeCell ref="J136:J138"/>
    <mergeCell ref="K136:K138"/>
    <mergeCell ref="L136:L138"/>
    <mergeCell ref="M136:M138"/>
    <mergeCell ref="O136:O138"/>
    <mergeCell ref="P136:P138"/>
    <mergeCell ref="Q136:Q138"/>
    <mergeCell ref="B130:B132"/>
    <mergeCell ref="O130:O132"/>
    <mergeCell ref="P130:P132"/>
    <mergeCell ref="Q130:Q132"/>
    <mergeCell ref="K133:K135"/>
    <mergeCell ref="L133:L135"/>
    <mergeCell ref="M133:M135"/>
    <mergeCell ref="O133:O135"/>
    <mergeCell ref="P133:P135"/>
    <mergeCell ref="Q133:Q135"/>
    <mergeCell ref="K130:K132"/>
    <mergeCell ref="L130:L132"/>
    <mergeCell ref="H133:H135"/>
    <mergeCell ref="I133:I135"/>
    <mergeCell ref="M130:M132"/>
    <mergeCell ref="B133:B135"/>
  </mergeCells>
  <conditionalFormatting sqref="K7">
    <cfRule type="cellIs" dxfId="616" priority="3823" operator="equal">
      <formula>"Muy Alta"</formula>
    </cfRule>
    <cfRule type="cellIs" dxfId="615" priority="3824" operator="equal">
      <formula>"Alta"</formula>
    </cfRule>
    <cfRule type="cellIs" dxfId="614" priority="3825" operator="equal">
      <formula>"Media"</formula>
    </cfRule>
    <cfRule type="cellIs" dxfId="613" priority="3826" operator="equal">
      <formula>"Baja"</formula>
    </cfRule>
    <cfRule type="cellIs" dxfId="612" priority="3827" operator="equal">
      <formula>"Muy Baja"</formula>
    </cfRule>
  </conditionalFormatting>
  <conditionalFormatting sqref="K10">
    <cfRule type="cellIs" dxfId="611" priority="2373" operator="equal">
      <formula>"Alta"</formula>
    </cfRule>
    <cfRule type="cellIs" dxfId="610" priority="2375" operator="equal">
      <formula>"Baja"</formula>
    </cfRule>
    <cfRule type="cellIs" dxfId="609" priority="2376" operator="equal">
      <formula>"Muy Baja"</formula>
    </cfRule>
    <cfRule type="cellIs" dxfId="608" priority="2374" operator="equal">
      <formula>"Media"</formula>
    </cfRule>
    <cfRule type="cellIs" dxfId="607" priority="2372" operator="equal">
      <formula>"Muy Alta"</formula>
    </cfRule>
  </conditionalFormatting>
  <conditionalFormatting sqref="K13">
    <cfRule type="cellIs" dxfId="606" priority="2357" operator="equal">
      <formula>"Muy Alta"</formula>
    </cfRule>
    <cfRule type="cellIs" dxfId="605" priority="2358" operator="equal">
      <formula>"Alta"</formula>
    </cfRule>
    <cfRule type="cellIs" dxfId="604" priority="2359" operator="equal">
      <formula>"Media"</formula>
    </cfRule>
    <cfRule type="cellIs" dxfId="603" priority="2361" operator="equal">
      <formula>"Muy Baja"</formula>
    </cfRule>
    <cfRule type="cellIs" dxfId="602" priority="2360" operator="equal">
      <formula>"Baja"</formula>
    </cfRule>
  </conditionalFormatting>
  <conditionalFormatting sqref="K16">
    <cfRule type="cellIs" dxfId="601" priority="2315" operator="equal">
      <formula>"Baja"</formula>
    </cfRule>
    <cfRule type="cellIs" dxfId="600" priority="2314" operator="equal">
      <formula>"Media"</formula>
    </cfRule>
    <cfRule type="cellIs" dxfId="599" priority="2312" operator="equal">
      <formula>"Muy Alta"</formula>
    </cfRule>
    <cfRule type="cellIs" dxfId="598" priority="2313" operator="equal">
      <formula>"Alta"</formula>
    </cfRule>
    <cfRule type="cellIs" dxfId="597" priority="2316" operator="equal">
      <formula>"Muy Baja"</formula>
    </cfRule>
  </conditionalFormatting>
  <conditionalFormatting sqref="K19">
    <cfRule type="cellIs" dxfId="596" priority="2298" operator="equal">
      <formula>"Alta"</formula>
    </cfRule>
    <cfRule type="cellIs" dxfId="595" priority="2299" operator="equal">
      <formula>"Media"</formula>
    </cfRule>
    <cfRule type="cellIs" dxfId="594" priority="2300" operator="equal">
      <formula>"Baja"</formula>
    </cfRule>
    <cfRule type="cellIs" dxfId="593" priority="2301" operator="equal">
      <formula>"Muy Baja"</formula>
    </cfRule>
    <cfRule type="cellIs" dxfId="592" priority="2297" operator="equal">
      <formula>"Muy Alta"</formula>
    </cfRule>
  </conditionalFormatting>
  <conditionalFormatting sqref="K22">
    <cfRule type="cellIs" dxfId="591" priority="443" operator="equal">
      <formula>"Muy Baja"</formula>
    </cfRule>
    <cfRule type="cellIs" dxfId="590" priority="441" operator="equal">
      <formula>"Media"</formula>
    </cfRule>
    <cfRule type="cellIs" dxfId="589" priority="440" operator="equal">
      <formula>"Alta"</formula>
    </cfRule>
    <cfRule type="cellIs" dxfId="588" priority="442" operator="equal">
      <formula>"Baja"</formula>
    </cfRule>
    <cfRule type="cellIs" dxfId="587" priority="439" operator="equal">
      <formula>"Muy Alta"</formula>
    </cfRule>
  </conditionalFormatting>
  <conditionalFormatting sqref="K25">
    <cfRule type="cellIs" dxfId="586" priority="2282" operator="equal">
      <formula>"Muy Alta"</formula>
    </cfRule>
    <cfRule type="cellIs" dxfId="585" priority="2283" operator="equal">
      <formula>"Alta"</formula>
    </cfRule>
    <cfRule type="cellIs" dxfId="584" priority="2284" operator="equal">
      <formula>"Media"</formula>
    </cfRule>
    <cfRule type="cellIs" dxfId="583" priority="2285" operator="equal">
      <formula>"Baja"</formula>
    </cfRule>
    <cfRule type="cellIs" dxfId="582" priority="2286" operator="equal">
      <formula>"Muy Baja"</formula>
    </cfRule>
  </conditionalFormatting>
  <conditionalFormatting sqref="K28">
    <cfRule type="cellIs" dxfId="581" priority="2270" operator="equal">
      <formula>"Baja"</formula>
    </cfRule>
    <cfRule type="cellIs" dxfId="580" priority="2269" operator="equal">
      <formula>"Media"</formula>
    </cfRule>
    <cfRule type="cellIs" dxfId="579" priority="2268" operator="equal">
      <formula>"Alta"</formula>
    </cfRule>
    <cfRule type="cellIs" dxfId="578" priority="2267" operator="equal">
      <formula>"Muy Alta"</formula>
    </cfRule>
    <cfRule type="cellIs" dxfId="577" priority="2271" operator="equal">
      <formula>"Muy Baja"</formula>
    </cfRule>
  </conditionalFormatting>
  <conditionalFormatting sqref="K31">
    <cfRule type="cellIs" dxfId="576" priority="2256" operator="equal">
      <formula>"Muy Baja"</formula>
    </cfRule>
    <cfRule type="cellIs" dxfId="575" priority="2255" operator="equal">
      <formula>"Baja"</formula>
    </cfRule>
    <cfRule type="cellIs" dxfId="574" priority="2254" operator="equal">
      <formula>"Media"</formula>
    </cfRule>
    <cfRule type="cellIs" dxfId="573" priority="2253" operator="equal">
      <formula>"Alta"</formula>
    </cfRule>
    <cfRule type="cellIs" dxfId="572" priority="2252" operator="equal">
      <formula>"Muy Alta"</formula>
    </cfRule>
  </conditionalFormatting>
  <conditionalFormatting sqref="K34">
    <cfRule type="cellIs" dxfId="571" priority="387" operator="equal">
      <formula>"Muy Alta"</formula>
    </cfRule>
    <cfRule type="cellIs" dxfId="570" priority="388" operator="equal">
      <formula>"Alta"</formula>
    </cfRule>
    <cfRule type="cellIs" dxfId="569" priority="389" operator="equal">
      <formula>"Media"</formula>
    </cfRule>
    <cfRule type="cellIs" dxfId="568" priority="390" operator="equal">
      <formula>"Baja"</formula>
    </cfRule>
    <cfRule type="cellIs" dxfId="567" priority="391" operator="equal">
      <formula>"Muy Baja"</formula>
    </cfRule>
  </conditionalFormatting>
  <conditionalFormatting sqref="K37">
    <cfRule type="cellIs" dxfId="566" priority="2226" operator="equal">
      <formula>"Muy Baja"</formula>
    </cfRule>
    <cfRule type="cellIs" dxfId="565" priority="2224" operator="equal">
      <formula>"Media"</formula>
    </cfRule>
    <cfRule type="cellIs" dxfId="564" priority="2223" operator="equal">
      <formula>"Alta"</formula>
    </cfRule>
    <cfRule type="cellIs" dxfId="563" priority="2225" operator="equal">
      <formula>"Baja"</formula>
    </cfRule>
    <cfRule type="cellIs" dxfId="562" priority="2222" operator="equal">
      <formula>"Muy Alta"</formula>
    </cfRule>
  </conditionalFormatting>
  <conditionalFormatting sqref="K41">
    <cfRule type="cellIs" dxfId="561" priority="2207" operator="equal">
      <formula>"Muy Alta"</formula>
    </cfRule>
    <cfRule type="cellIs" dxfId="560" priority="2208" operator="equal">
      <formula>"Alta"</formula>
    </cfRule>
    <cfRule type="cellIs" dxfId="559" priority="2209" operator="equal">
      <formula>"Media"</formula>
    </cfRule>
    <cfRule type="cellIs" dxfId="558" priority="2210" operator="equal">
      <formula>"Baja"</formula>
    </cfRule>
    <cfRule type="cellIs" dxfId="557" priority="2211" operator="equal">
      <formula>"Muy Baja"</formula>
    </cfRule>
  </conditionalFormatting>
  <conditionalFormatting sqref="K44">
    <cfRule type="cellIs" dxfId="556" priority="312" operator="equal">
      <formula>"Media"</formula>
    </cfRule>
    <cfRule type="cellIs" dxfId="555" priority="313" operator="equal">
      <formula>"Baja"</formula>
    </cfRule>
    <cfRule type="cellIs" dxfId="554" priority="310" operator="equal">
      <formula>"Muy Alta"</formula>
    </cfRule>
    <cfRule type="cellIs" dxfId="553" priority="311" operator="equal">
      <formula>"Alta"</formula>
    </cfRule>
    <cfRule type="cellIs" dxfId="552" priority="314" operator="equal">
      <formula>"Muy Baja"</formula>
    </cfRule>
  </conditionalFormatting>
  <conditionalFormatting sqref="K49">
    <cfRule type="cellIs" dxfId="551" priority="2178" operator="equal">
      <formula>"Alta"</formula>
    </cfRule>
    <cfRule type="cellIs" dxfId="550" priority="2181" operator="equal">
      <formula>"Muy Baja"</formula>
    </cfRule>
    <cfRule type="cellIs" dxfId="549" priority="2180" operator="equal">
      <formula>"Baja"</formula>
    </cfRule>
    <cfRule type="cellIs" dxfId="548" priority="2179" operator="equal">
      <formula>"Media"</formula>
    </cfRule>
    <cfRule type="cellIs" dxfId="547" priority="2177" operator="equal">
      <formula>"Muy Alta"</formula>
    </cfRule>
  </conditionalFormatting>
  <conditionalFormatting sqref="K52">
    <cfRule type="cellIs" dxfId="546" priority="2163" operator="equal">
      <formula>"Alta"</formula>
    </cfRule>
    <cfRule type="cellIs" dxfId="545" priority="2162" operator="equal">
      <formula>"Muy Alta"</formula>
    </cfRule>
    <cfRule type="cellIs" dxfId="544" priority="2166" operator="equal">
      <formula>"Muy Baja"</formula>
    </cfRule>
    <cfRule type="cellIs" dxfId="543" priority="2165" operator="equal">
      <formula>"Baja"</formula>
    </cfRule>
    <cfRule type="cellIs" dxfId="542" priority="2164" operator="equal">
      <formula>"Media"</formula>
    </cfRule>
  </conditionalFormatting>
  <conditionalFormatting sqref="K55">
    <cfRule type="cellIs" dxfId="541" priority="2148" operator="equal">
      <formula>"Alta"</formula>
    </cfRule>
    <cfRule type="cellIs" dxfId="540" priority="2151" operator="equal">
      <formula>"Muy Baja"</formula>
    </cfRule>
    <cfRule type="cellIs" dxfId="539" priority="2150" operator="equal">
      <formula>"Baja"</formula>
    </cfRule>
    <cfRule type="cellIs" dxfId="538" priority="2147" operator="equal">
      <formula>"Muy Alta"</formula>
    </cfRule>
    <cfRule type="cellIs" dxfId="537" priority="2149" operator="equal">
      <formula>"Media"</formula>
    </cfRule>
  </conditionalFormatting>
  <conditionalFormatting sqref="K58">
    <cfRule type="cellIs" dxfId="536" priority="2135" operator="equal">
      <formula>"Baja"</formula>
    </cfRule>
    <cfRule type="cellIs" dxfId="535" priority="2134" operator="equal">
      <formula>"Media"</formula>
    </cfRule>
    <cfRule type="cellIs" dxfId="534" priority="2133" operator="equal">
      <formula>"Alta"</formula>
    </cfRule>
    <cfRule type="cellIs" dxfId="533" priority="2132" operator="equal">
      <formula>"Muy Alta"</formula>
    </cfRule>
    <cfRule type="cellIs" dxfId="532" priority="2136" operator="equal">
      <formula>"Muy Baja"</formula>
    </cfRule>
  </conditionalFormatting>
  <conditionalFormatting sqref="K61">
    <cfRule type="cellIs" dxfId="531" priority="2117" operator="equal">
      <formula>"Muy Alta"</formula>
    </cfRule>
    <cfRule type="cellIs" dxfId="530" priority="2118" operator="equal">
      <formula>"Alta"</formula>
    </cfRule>
    <cfRule type="cellIs" dxfId="529" priority="2121" operator="equal">
      <formula>"Muy Baja"</formula>
    </cfRule>
    <cfRule type="cellIs" dxfId="528" priority="2120" operator="equal">
      <formula>"Baja"</formula>
    </cfRule>
    <cfRule type="cellIs" dxfId="527" priority="2119" operator="equal">
      <formula>"Media"</formula>
    </cfRule>
  </conditionalFormatting>
  <conditionalFormatting sqref="K64">
    <cfRule type="cellIs" dxfId="526" priority="2102" operator="equal">
      <formula>"Muy Alta"</formula>
    </cfRule>
    <cfRule type="cellIs" dxfId="525" priority="2103" operator="equal">
      <formula>"Alta"</formula>
    </cfRule>
    <cfRule type="cellIs" dxfId="524" priority="2104" operator="equal">
      <formula>"Media"</formula>
    </cfRule>
    <cfRule type="cellIs" dxfId="523" priority="2106" operator="equal">
      <formula>"Muy Baja"</formula>
    </cfRule>
    <cfRule type="cellIs" dxfId="522" priority="2105" operator="equal">
      <formula>"Baja"</formula>
    </cfRule>
  </conditionalFormatting>
  <conditionalFormatting sqref="K67">
    <cfRule type="cellIs" dxfId="521" priority="225" operator="equal">
      <formula>"Media"</formula>
    </cfRule>
    <cfRule type="cellIs" dxfId="520" priority="226" operator="equal">
      <formula>"Baja"</formula>
    </cfRule>
    <cfRule type="cellIs" dxfId="519" priority="223" operator="equal">
      <formula>"Muy Alta"</formula>
    </cfRule>
    <cfRule type="cellIs" dxfId="518" priority="227" operator="equal">
      <formula>"Muy Baja"</formula>
    </cfRule>
    <cfRule type="cellIs" dxfId="517" priority="224" operator="equal">
      <formula>"Alta"</formula>
    </cfRule>
  </conditionalFormatting>
  <conditionalFormatting sqref="K70">
    <cfRule type="cellIs" dxfId="516" priority="2074" operator="equal">
      <formula>"Media"</formula>
    </cfRule>
    <cfRule type="cellIs" dxfId="515" priority="2075" operator="equal">
      <formula>"Baja"</formula>
    </cfRule>
    <cfRule type="cellIs" dxfId="514" priority="2076" operator="equal">
      <formula>"Muy Baja"</formula>
    </cfRule>
    <cfRule type="cellIs" dxfId="513" priority="2073" operator="equal">
      <formula>"Alta"</formula>
    </cfRule>
    <cfRule type="cellIs" dxfId="512" priority="2072" operator="equal">
      <formula>"Muy Alta"</formula>
    </cfRule>
  </conditionalFormatting>
  <conditionalFormatting sqref="K73">
    <cfRule type="cellIs" dxfId="511" priority="2058" operator="equal">
      <formula>"Alta"</formula>
    </cfRule>
    <cfRule type="cellIs" dxfId="510" priority="2057" operator="equal">
      <formula>"Muy Alta"</formula>
    </cfRule>
    <cfRule type="cellIs" dxfId="509" priority="2059" operator="equal">
      <formula>"Media"</formula>
    </cfRule>
    <cfRule type="cellIs" dxfId="508" priority="2061" operator="equal">
      <formula>"Muy Baja"</formula>
    </cfRule>
    <cfRule type="cellIs" dxfId="507" priority="2060" operator="equal">
      <formula>"Baja"</formula>
    </cfRule>
  </conditionalFormatting>
  <conditionalFormatting sqref="K76">
    <cfRule type="cellIs" dxfId="506" priority="527" operator="equal">
      <formula>"Media"</formula>
    </cfRule>
    <cfRule type="cellIs" dxfId="505" priority="528" operator="equal">
      <formula>"Baja"</formula>
    </cfRule>
    <cfRule type="cellIs" dxfId="504" priority="529" operator="equal">
      <formula>"Muy Baja"</formula>
    </cfRule>
    <cfRule type="cellIs" dxfId="503" priority="526" operator="equal">
      <formula>"Alta"</formula>
    </cfRule>
    <cfRule type="cellIs" dxfId="502" priority="525" operator="equal">
      <formula>"Muy Alta"</formula>
    </cfRule>
  </conditionalFormatting>
  <conditionalFormatting sqref="K79">
    <cfRule type="cellIs" dxfId="501" priority="2042" operator="equal">
      <formula>"Muy Alta"</formula>
    </cfRule>
    <cfRule type="cellIs" dxfId="500" priority="2043" operator="equal">
      <formula>"Alta"</formula>
    </cfRule>
    <cfRule type="cellIs" dxfId="499" priority="2046" operator="equal">
      <formula>"Muy Baja"</formula>
    </cfRule>
    <cfRule type="cellIs" dxfId="498" priority="2044" operator="equal">
      <formula>"Media"</formula>
    </cfRule>
    <cfRule type="cellIs" dxfId="497" priority="2045" operator="equal">
      <formula>"Baja"</formula>
    </cfRule>
  </conditionalFormatting>
  <conditionalFormatting sqref="K82">
    <cfRule type="cellIs" dxfId="496" priority="2028" operator="equal">
      <formula>"Alta"</formula>
    </cfRule>
    <cfRule type="cellIs" dxfId="495" priority="2030" operator="equal">
      <formula>"Baja"</formula>
    </cfRule>
    <cfRule type="cellIs" dxfId="494" priority="2031" operator="equal">
      <formula>"Muy Baja"</formula>
    </cfRule>
    <cfRule type="cellIs" dxfId="493" priority="2027" operator="equal">
      <formula>"Muy Alta"</formula>
    </cfRule>
    <cfRule type="cellIs" dxfId="492" priority="2029" operator="equal">
      <formula>"Media"</formula>
    </cfRule>
  </conditionalFormatting>
  <conditionalFormatting sqref="K85">
    <cfRule type="cellIs" dxfId="491" priority="2016" operator="equal">
      <formula>"Muy Baja"</formula>
    </cfRule>
    <cfRule type="cellIs" dxfId="490" priority="2012" operator="equal">
      <formula>"Muy Alta"</formula>
    </cfRule>
    <cfRule type="cellIs" dxfId="489" priority="2013" operator="equal">
      <formula>"Alta"</formula>
    </cfRule>
    <cfRule type="cellIs" dxfId="488" priority="2014" operator="equal">
      <formula>"Media"</formula>
    </cfRule>
    <cfRule type="cellIs" dxfId="487" priority="2015" operator="equal">
      <formula>"Baja"</formula>
    </cfRule>
  </conditionalFormatting>
  <conditionalFormatting sqref="K88">
    <cfRule type="cellIs" dxfId="486" priority="1999" operator="equal">
      <formula>"Media"</formula>
    </cfRule>
    <cfRule type="cellIs" dxfId="485" priority="1998" operator="equal">
      <formula>"Alta"</formula>
    </cfRule>
    <cfRule type="cellIs" dxfId="484" priority="1997" operator="equal">
      <formula>"Muy Alta"</formula>
    </cfRule>
    <cfRule type="cellIs" dxfId="483" priority="2001" operator="equal">
      <formula>"Muy Baja"</formula>
    </cfRule>
    <cfRule type="cellIs" dxfId="482" priority="2000" operator="equal">
      <formula>"Baja"</formula>
    </cfRule>
  </conditionalFormatting>
  <conditionalFormatting sqref="K91">
    <cfRule type="cellIs" dxfId="481" priority="686" operator="equal">
      <formula>"Muy Baja"</formula>
    </cfRule>
    <cfRule type="cellIs" dxfId="480" priority="685" operator="equal">
      <formula>"Baja"</formula>
    </cfRule>
    <cfRule type="cellIs" dxfId="479" priority="684" operator="equal">
      <formula>"Media"</formula>
    </cfRule>
    <cfRule type="cellIs" dxfId="478" priority="683" operator="equal">
      <formula>"Alta"</formula>
    </cfRule>
    <cfRule type="cellIs" dxfId="477" priority="682" operator="equal">
      <formula>"Muy Alta"</formula>
    </cfRule>
  </conditionalFormatting>
  <conditionalFormatting sqref="K94">
    <cfRule type="cellIs" dxfId="476" priority="1982" operator="equal">
      <formula>"Muy Alta"</formula>
    </cfRule>
    <cfRule type="cellIs" dxfId="475" priority="1984" operator="equal">
      <formula>"Media"</formula>
    </cfRule>
    <cfRule type="cellIs" dxfId="474" priority="1985" operator="equal">
      <formula>"Baja"</formula>
    </cfRule>
    <cfRule type="cellIs" dxfId="473" priority="1986" operator="equal">
      <formula>"Muy Baja"</formula>
    </cfRule>
    <cfRule type="cellIs" dxfId="472" priority="1983" operator="equal">
      <formula>"Alta"</formula>
    </cfRule>
  </conditionalFormatting>
  <conditionalFormatting sqref="K97">
    <cfRule type="cellIs" dxfId="471" priority="1970" operator="equal">
      <formula>"Baja"</formula>
    </cfRule>
    <cfRule type="cellIs" dxfId="470" priority="1967" operator="equal">
      <formula>"Muy Alta"</formula>
    </cfRule>
    <cfRule type="cellIs" dxfId="469" priority="1968" operator="equal">
      <formula>"Alta"</formula>
    </cfRule>
    <cfRule type="cellIs" dxfId="468" priority="1969" operator="equal">
      <formula>"Media"</formula>
    </cfRule>
    <cfRule type="cellIs" dxfId="467" priority="1971" operator="equal">
      <formula>"Muy Baja"</formula>
    </cfRule>
  </conditionalFormatting>
  <conditionalFormatting sqref="K100">
    <cfRule type="cellIs" dxfId="466" priority="1956" operator="equal">
      <formula>"Muy Baja"</formula>
    </cfRule>
    <cfRule type="cellIs" dxfId="465" priority="1952" operator="equal">
      <formula>"Muy Alta"</formula>
    </cfRule>
    <cfRule type="cellIs" dxfId="464" priority="1953" operator="equal">
      <formula>"Alta"</formula>
    </cfRule>
    <cfRule type="cellIs" dxfId="463" priority="1954" operator="equal">
      <formula>"Media"</formula>
    </cfRule>
    <cfRule type="cellIs" dxfId="462" priority="1955" operator="equal">
      <formula>"Baja"</formula>
    </cfRule>
  </conditionalFormatting>
  <conditionalFormatting sqref="K103">
    <cfRule type="cellIs" dxfId="461" priority="128" operator="equal">
      <formula>"Muy Baja"</formula>
    </cfRule>
    <cfRule type="cellIs" dxfId="460" priority="126" operator="equal">
      <formula>"Media"</formula>
    </cfRule>
    <cfRule type="cellIs" dxfId="459" priority="125" operator="equal">
      <formula>"Alta"</formula>
    </cfRule>
    <cfRule type="cellIs" dxfId="458" priority="124" operator="equal">
      <formula>"Muy Alta"</formula>
    </cfRule>
    <cfRule type="cellIs" dxfId="457" priority="127" operator="equal">
      <formula>"Baja"</formula>
    </cfRule>
  </conditionalFormatting>
  <conditionalFormatting sqref="K106">
    <cfRule type="cellIs" dxfId="456" priority="1908" operator="equal">
      <formula>"Alta"</formula>
    </cfRule>
    <cfRule type="cellIs" dxfId="455" priority="1911" operator="equal">
      <formula>"Muy Baja"</formula>
    </cfRule>
    <cfRule type="cellIs" dxfId="454" priority="1910" operator="equal">
      <formula>"Baja"</formula>
    </cfRule>
    <cfRule type="cellIs" dxfId="453" priority="1909" operator="equal">
      <formula>"Media"</formula>
    </cfRule>
    <cfRule type="cellIs" dxfId="452" priority="1907" operator="equal">
      <formula>"Muy Alta"</formula>
    </cfRule>
  </conditionalFormatting>
  <conditionalFormatting sqref="K109">
    <cfRule type="cellIs" dxfId="451" priority="1893" operator="equal">
      <formula>"Alta"</formula>
    </cfRule>
    <cfRule type="cellIs" dxfId="450" priority="1896" operator="equal">
      <formula>"Muy Baja"</formula>
    </cfRule>
    <cfRule type="cellIs" dxfId="449" priority="1895" operator="equal">
      <formula>"Baja"</formula>
    </cfRule>
    <cfRule type="cellIs" dxfId="448" priority="1894" operator="equal">
      <formula>"Media"</formula>
    </cfRule>
    <cfRule type="cellIs" dxfId="447" priority="1892" operator="equal">
      <formula>"Muy Alta"</formula>
    </cfRule>
  </conditionalFormatting>
  <conditionalFormatting sqref="K112">
    <cfRule type="cellIs" dxfId="446" priority="1821" operator="equal">
      <formula>"Alta"</formula>
    </cfRule>
    <cfRule type="cellIs" dxfId="445" priority="1820" operator="equal">
      <formula>"Muy Alta"</formula>
    </cfRule>
    <cfRule type="cellIs" dxfId="444" priority="1824" operator="equal">
      <formula>"Muy Baja"</formula>
    </cfRule>
    <cfRule type="cellIs" dxfId="443" priority="1823" operator="equal">
      <formula>"Baja"</formula>
    </cfRule>
    <cfRule type="cellIs" dxfId="442" priority="1822" operator="equal">
      <formula>"Media"</formula>
    </cfRule>
  </conditionalFormatting>
  <conditionalFormatting sqref="K115:K116">
    <cfRule type="cellIs" dxfId="441" priority="1937" operator="equal">
      <formula>"Muy Alta"</formula>
    </cfRule>
    <cfRule type="cellIs" dxfId="440" priority="1939" operator="equal">
      <formula>"Media"</formula>
    </cfRule>
    <cfRule type="cellIs" dxfId="439" priority="1938" operator="equal">
      <formula>"Alta"</formula>
    </cfRule>
    <cfRule type="cellIs" dxfId="438" priority="1941" operator="equal">
      <formula>"Muy Baja"</formula>
    </cfRule>
    <cfRule type="cellIs" dxfId="437" priority="1940" operator="equal">
      <formula>"Baja"</formula>
    </cfRule>
  </conditionalFormatting>
  <conditionalFormatting sqref="K118">
    <cfRule type="cellIs" dxfId="436" priority="1767" operator="equal">
      <formula>"Muy Baja"</formula>
    </cfRule>
    <cfRule type="cellIs" dxfId="435" priority="1766" operator="equal">
      <formula>"Baja"</formula>
    </cfRule>
    <cfRule type="cellIs" dxfId="434" priority="1765" operator="equal">
      <formula>"Media"</formula>
    </cfRule>
    <cfRule type="cellIs" dxfId="433" priority="1764" operator="equal">
      <formula>"Alta"</formula>
    </cfRule>
    <cfRule type="cellIs" dxfId="432" priority="1763" operator="equal">
      <formula>"Muy Alta"</formula>
    </cfRule>
  </conditionalFormatting>
  <conditionalFormatting sqref="K121">
    <cfRule type="cellIs" dxfId="431" priority="1709" operator="equal">
      <formula>"Baja"</formula>
    </cfRule>
    <cfRule type="cellIs" dxfId="430" priority="1708" operator="equal">
      <formula>"Media"</formula>
    </cfRule>
    <cfRule type="cellIs" dxfId="429" priority="1710" operator="equal">
      <formula>"Muy Baja"</formula>
    </cfRule>
    <cfRule type="cellIs" dxfId="428" priority="1706" operator="equal">
      <formula>"Muy Alta"</formula>
    </cfRule>
    <cfRule type="cellIs" dxfId="427" priority="1707" operator="equal">
      <formula>"Alta"</formula>
    </cfRule>
  </conditionalFormatting>
  <conditionalFormatting sqref="K124">
    <cfRule type="cellIs" dxfId="426" priority="1649" operator="equal">
      <formula>"Muy Alta"</formula>
    </cfRule>
    <cfRule type="cellIs" dxfId="425" priority="1650" operator="equal">
      <formula>"Alta"</formula>
    </cfRule>
    <cfRule type="cellIs" dxfId="424" priority="1651" operator="equal">
      <formula>"Media"</formula>
    </cfRule>
    <cfRule type="cellIs" dxfId="423" priority="1652" operator="equal">
      <formula>"Baja"</formula>
    </cfRule>
    <cfRule type="cellIs" dxfId="422" priority="1653" operator="equal">
      <formula>"Muy Baja"</formula>
    </cfRule>
  </conditionalFormatting>
  <conditionalFormatting sqref="K127">
    <cfRule type="cellIs" dxfId="421" priority="12" operator="equal">
      <formula>"Alta"</formula>
    </cfRule>
    <cfRule type="cellIs" dxfId="420" priority="11" operator="equal">
      <formula>"Muy Alta"</formula>
    </cfRule>
    <cfRule type="cellIs" dxfId="419" priority="13" operator="equal">
      <formula>"Media"</formula>
    </cfRule>
    <cfRule type="cellIs" dxfId="418" priority="15" operator="equal">
      <formula>"Muy Baja"</formula>
    </cfRule>
    <cfRule type="cellIs" dxfId="417" priority="14" operator="equal">
      <formula>"Baja"</formula>
    </cfRule>
  </conditionalFormatting>
  <conditionalFormatting sqref="K130">
    <cfRule type="cellIs" dxfId="416" priority="1178" operator="equal">
      <formula>"Baja"</formula>
    </cfRule>
    <cfRule type="cellIs" dxfId="415" priority="1179" operator="equal">
      <formula>"Muy Baja"</formula>
    </cfRule>
    <cfRule type="cellIs" dxfId="414" priority="1177" operator="equal">
      <formula>"Media"</formula>
    </cfRule>
    <cfRule type="cellIs" dxfId="413" priority="1175" operator="equal">
      <formula>"Muy Alta"</formula>
    </cfRule>
    <cfRule type="cellIs" dxfId="412" priority="1176" operator="equal">
      <formula>"Alta"</formula>
    </cfRule>
  </conditionalFormatting>
  <conditionalFormatting sqref="K133">
    <cfRule type="cellIs" dxfId="411" priority="1104" operator="equal">
      <formula>"Alta"</formula>
    </cfRule>
    <cfRule type="cellIs" dxfId="410" priority="1105" operator="equal">
      <formula>"Media"</formula>
    </cfRule>
    <cfRule type="cellIs" dxfId="409" priority="1106" operator="equal">
      <formula>"Baja"</formula>
    </cfRule>
    <cfRule type="cellIs" dxfId="408" priority="1107" operator="equal">
      <formula>"Muy Baja"</formula>
    </cfRule>
    <cfRule type="cellIs" dxfId="407" priority="1103" operator="equal">
      <formula>"Muy Alta"</formula>
    </cfRule>
  </conditionalFormatting>
  <conditionalFormatting sqref="K136">
    <cfRule type="cellIs" dxfId="406" priority="889" operator="equal">
      <formula>"Media"</formula>
    </cfRule>
    <cfRule type="cellIs" dxfId="405" priority="887" operator="equal">
      <formula>"Muy Alta"</formula>
    </cfRule>
    <cfRule type="cellIs" dxfId="404" priority="888" operator="equal">
      <formula>"Alta"</formula>
    </cfRule>
    <cfRule type="cellIs" dxfId="403" priority="890" operator="equal">
      <formula>"Baja"</formula>
    </cfRule>
    <cfRule type="cellIs" dxfId="402" priority="891" operator="equal">
      <formula>"Muy Baja"</formula>
    </cfRule>
  </conditionalFormatting>
  <conditionalFormatting sqref="N7:N138">
    <cfRule type="containsText" dxfId="401" priority="1" operator="containsText" text="❌">
      <formula>NOT(ISERROR(SEARCH("❌",N7)))</formula>
    </cfRule>
  </conditionalFormatting>
  <conditionalFormatting sqref="O7">
    <cfRule type="cellIs" dxfId="400" priority="805" operator="equal">
      <formula>"Leve"</formula>
    </cfRule>
    <cfRule type="cellIs" dxfId="399" priority="804" operator="equal">
      <formula>"Menor"</formula>
    </cfRule>
    <cfRule type="cellIs" dxfId="398" priority="803" operator="equal">
      <formula>"Moderado"</formula>
    </cfRule>
    <cfRule type="cellIs" dxfId="397" priority="802" operator="equal">
      <formula>"Mayor"</formula>
    </cfRule>
    <cfRule type="cellIs" dxfId="396" priority="801" operator="equal">
      <formula>"Catastrófico"</formula>
    </cfRule>
  </conditionalFormatting>
  <conditionalFormatting sqref="O10">
    <cfRule type="cellIs" dxfId="395" priority="2370" operator="equal">
      <formula>"Menor"</formula>
    </cfRule>
    <cfRule type="cellIs" dxfId="394" priority="2369" operator="equal">
      <formula>"Moderado"</formula>
    </cfRule>
    <cfRule type="cellIs" dxfId="393" priority="2368" operator="equal">
      <formula>"Mayor"</formula>
    </cfRule>
    <cfRule type="cellIs" dxfId="392" priority="2367" operator="equal">
      <formula>"Catastrófico"</formula>
    </cfRule>
    <cfRule type="cellIs" dxfId="391" priority="2371" operator="equal">
      <formula>"Leve"</formula>
    </cfRule>
  </conditionalFormatting>
  <conditionalFormatting sqref="O13">
    <cfRule type="cellIs" dxfId="390" priority="2356" operator="equal">
      <formula>"Leve"</formula>
    </cfRule>
    <cfRule type="cellIs" dxfId="389" priority="2355" operator="equal">
      <formula>"Menor"</formula>
    </cfRule>
    <cfRule type="cellIs" dxfId="388" priority="2353" operator="equal">
      <formula>"Mayor"</formula>
    </cfRule>
    <cfRule type="cellIs" dxfId="387" priority="2352" operator="equal">
      <formula>"Catastrófico"</formula>
    </cfRule>
    <cfRule type="cellIs" dxfId="386" priority="2354" operator="equal">
      <formula>"Moderado"</formula>
    </cfRule>
  </conditionalFormatting>
  <conditionalFormatting sqref="O16">
    <cfRule type="cellIs" dxfId="385" priority="2309" operator="equal">
      <formula>"Moderado"</formula>
    </cfRule>
    <cfRule type="cellIs" dxfId="384" priority="2307" operator="equal">
      <formula>"Catastrófico"</formula>
    </cfRule>
    <cfRule type="cellIs" dxfId="383" priority="2311" operator="equal">
      <formula>"Leve"</formula>
    </cfRule>
    <cfRule type="cellIs" dxfId="382" priority="2310" operator="equal">
      <formula>"Menor"</formula>
    </cfRule>
    <cfRule type="cellIs" dxfId="381" priority="2308" operator="equal">
      <formula>"Mayor"</formula>
    </cfRule>
  </conditionalFormatting>
  <conditionalFormatting sqref="O19">
    <cfRule type="cellIs" dxfId="380" priority="2296" operator="equal">
      <formula>"Leve"</formula>
    </cfRule>
    <cfRule type="cellIs" dxfId="379" priority="2295" operator="equal">
      <formula>"Menor"</formula>
    </cfRule>
    <cfRule type="cellIs" dxfId="378" priority="2294" operator="equal">
      <formula>"Moderado"</formula>
    </cfRule>
    <cfRule type="cellIs" dxfId="377" priority="2292" operator="equal">
      <formula>"Catastrófico"</formula>
    </cfRule>
    <cfRule type="cellIs" dxfId="376" priority="2293" operator="equal">
      <formula>"Mayor"</formula>
    </cfRule>
  </conditionalFormatting>
  <conditionalFormatting sqref="O22">
    <cfRule type="cellIs" dxfId="375" priority="438" operator="equal">
      <formula>"Leve"</formula>
    </cfRule>
    <cfRule type="cellIs" dxfId="374" priority="434" operator="equal">
      <formula>"Catastrófico"</formula>
    </cfRule>
    <cfRule type="cellIs" dxfId="373" priority="435" operator="equal">
      <formula>"Mayor"</formula>
    </cfRule>
    <cfRule type="cellIs" dxfId="372" priority="436" operator="equal">
      <formula>"Moderado"</formula>
    </cfRule>
    <cfRule type="cellIs" dxfId="371" priority="437" operator="equal">
      <formula>"Menor"</formula>
    </cfRule>
  </conditionalFormatting>
  <conditionalFormatting sqref="O25">
    <cfRule type="cellIs" dxfId="370" priority="2279" operator="equal">
      <formula>"Moderado"</formula>
    </cfRule>
    <cfRule type="cellIs" dxfId="369" priority="2280" operator="equal">
      <formula>"Menor"</formula>
    </cfRule>
    <cfRule type="cellIs" dxfId="368" priority="2281" operator="equal">
      <formula>"Leve"</formula>
    </cfRule>
    <cfRule type="cellIs" dxfId="367" priority="2278" operator="equal">
      <formula>"Mayor"</formula>
    </cfRule>
    <cfRule type="cellIs" dxfId="366" priority="2277" operator="equal">
      <formula>"Catastrófico"</formula>
    </cfRule>
  </conditionalFormatting>
  <conditionalFormatting sqref="O28">
    <cfRule type="cellIs" dxfId="365" priority="2265" operator="equal">
      <formula>"Menor"</formula>
    </cfRule>
    <cfRule type="cellIs" dxfId="364" priority="2266" operator="equal">
      <formula>"Leve"</formula>
    </cfRule>
    <cfRule type="cellIs" dxfId="363" priority="2263" operator="equal">
      <formula>"Mayor"</formula>
    </cfRule>
    <cfRule type="cellIs" dxfId="362" priority="2262" operator="equal">
      <formula>"Catastrófico"</formula>
    </cfRule>
    <cfRule type="cellIs" dxfId="361" priority="2264" operator="equal">
      <formula>"Moderado"</formula>
    </cfRule>
  </conditionalFormatting>
  <conditionalFormatting sqref="O31">
    <cfRule type="cellIs" dxfId="360" priority="2251" operator="equal">
      <formula>"Leve"</formula>
    </cfRule>
    <cfRule type="cellIs" dxfId="359" priority="2250" operator="equal">
      <formula>"Menor"</formula>
    </cfRule>
    <cfRule type="cellIs" dxfId="358" priority="2249" operator="equal">
      <formula>"Moderado"</formula>
    </cfRule>
    <cfRule type="cellIs" dxfId="357" priority="2248" operator="equal">
      <formula>"Mayor"</formula>
    </cfRule>
    <cfRule type="cellIs" dxfId="356" priority="2247" operator="equal">
      <formula>"Catastrófico"</formula>
    </cfRule>
  </conditionalFormatting>
  <conditionalFormatting sqref="O34">
    <cfRule type="cellIs" dxfId="355" priority="386" operator="equal">
      <formula>"Leve"</formula>
    </cfRule>
    <cfRule type="cellIs" dxfId="354" priority="385" operator="equal">
      <formula>"Menor"</formula>
    </cfRule>
    <cfRule type="cellIs" dxfId="353" priority="383" operator="equal">
      <formula>"Mayor"</formula>
    </cfRule>
    <cfRule type="cellIs" dxfId="352" priority="382" operator="equal">
      <formula>"Catastrófico"</formula>
    </cfRule>
    <cfRule type="cellIs" dxfId="351" priority="384" operator="equal">
      <formula>"Moderado"</formula>
    </cfRule>
  </conditionalFormatting>
  <conditionalFormatting sqref="O37">
    <cfRule type="cellIs" dxfId="350" priority="2217" operator="equal">
      <formula>"Catastrófico"</formula>
    </cfRule>
    <cfRule type="cellIs" dxfId="349" priority="2218" operator="equal">
      <formula>"Mayor"</formula>
    </cfRule>
    <cfRule type="cellIs" dxfId="348" priority="2219" operator="equal">
      <formula>"Moderado"</formula>
    </cfRule>
    <cfRule type="cellIs" dxfId="347" priority="2220" operator="equal">
      <formula>"Menor"</formula>
    </cfRule>
    <cfRule type="cellIs" dxfId="346" priority="2221" operator="equal">
      <formula>"Leve"</formula>
    </cfRule>
  </conditionalFormatting>
  <conditionalFormatting sqref="O41">
    <cfRule type="cellIs" dxfId="345" priority="2206" operator="equal">
      <formula>"Leve"</formula>
    </cfRule>
    <cfRule type="cellIs" dxfId="344" priority="2205" operator="equal">
      <formula>"Menor"</formula>
    </cfRule>
    <cfRule type="cellIs" dxfId="343" priority="2204" operator="equal">
      <formula>"Moderado"</formula>
    </cfRule>
    <cfRule type="cellIs" dxfId="342" priority="2202" operator="equal">
      <formula>"Catastrófico"</formula>
    </cfRule>
    <cfRule type="cellIs" dxfId="341" priority="2203" operator="equal">
      <formula>"Mayor"</formula>
    </cfRule>
  </conditionalFormatting>
  <conditionalFormatting sqref="O44">
    <cfRule type="cellIs" dxfId="340" priority="305" operator="equal">
      <formula>"Catastrófico"</formula>
    </cfRule>
    <cfRule type="cellIs" dxfId="339" priority="308" operator="equal">
      <formula>"Menor"</formula>
    </cfRule>
    <cfRule type="cellIs" dxfId="338" priority="309" operator="equal">
      <formula>"Leve"</formula>
    </cfRule>
    <cfRule type="cellIs" dxfId="337" priority="307" operator="equal">
      <formula>"Moderado"</formula>
    </cfRule>
    <cfRule type="cellIs" dxfId="336" priority="306" operator="equal">
      <formula>"Mayor"</formula>
    </cfRule>
  </conditionalFormatting>
  <conditionalFormatting sqref="O49">
    <cfRule type="cellIs" dxfId="335" priority="2173" operator="equal">
      <formula>"Mayor"</formula>
    </cfRule>
    <cfRule type="cellIs" dxfId="334" priority="2174" operator="equal">
      <formula>"Moderado"</formula>
    </cfRule>
    <cfRule type="cellIs" dxfId="333" priority="2176" operator="equal">
      <formula>"Leve"</formula>
    </cfRule>
    <cfRule type="cellIs" dxfId="332" priority="2172" operator="equal">
      <formula>"Catastrófico"</formula>
    </cfRule>
    <cfRule type="cellIs" dxfId="331" priority="2175" operator="equal">
      <formula>"Menor"</formula>
    </cfRule>
  </conditionalFormatting>
  <conditionalFormatting sqref="O52">
    <cfRule type="cellIs" dxfId="330" priority="2159" operator="equal">
      <formula>"Moderado"</formula>
    </cfRule>
    <cfRule type="cellIs" dxfId="329" priority="2160" operator="equal">
      <formula>"Menor"</formula>
    </cfRule>
    <cfRule type="cellIs" dxfId="328" priority="2161" operator="equal">
      <formula>"Leve"</formula>
    </cfRule>
    <cfRule type="cellIs" dxfId="327" priority="2157" operator="equal">
      <formula>"Catastrófico"</formula>
    </cfRule>
    <cfRule type="cellIs" dxfId="326" priority="2158" operator="equal">
      <formula>"Mayor"</formula>
    </cfRule>
  </conditionalFormatting>
  <conditionalFormatting sqref="O55">
    <cfRule type="cellIs" dxfId="325" priority="2142" operator="equal">
      <formula>"Catastrófico"</formula>
    </cfRule>
    <cfRule type="cellIs" dxfId="324" priority="2146" operator="equal">
      <formula>"Leve"</formula>
    </cfRule>
    <cfRule type="cellIs" dxfId="323" priority="2145" operator="equal">
      <formula>"Menor"</formula>
    </cfRule>
    <cfRule type="cellIs" dxfId="322" priority="2144" operator="equal">
      <formula>"Moderado"</formula>
    </cfRule>
    <cfRule type="cellIs" dxfId="321" priority="2143" operator="equal">
      <formula>"Mayor"</formula>
    </cfRule>
  </conditionalFormatting>
  <conditionalFormatting sqref="O58">
    <cfRule type="cellIs" dxfId="320" priority="2131" operator="equal">
      <formula>"Leve"</formula>
    </cfRule>
    <cfRule type="cellIs" dxfId="319" priority="2130" operator="equal">
      <formula>"Menor"</formula>
    </cfRule>
    <cfRule type="cellIs" dxfId="318" priority="2129" operator="equal">
      <formula>"Moderado"</formula>
    </cfRule>
    <cfRule type="cellIs" dxfId="317" priority="2128" operator="equal">
      <formula>"Mayor"</formula>
    </cfRule>
    <cfRule type="cellIs" dxfId="316" priority="2127" operator="equal">
      <formula>"Catastrófico"</formula>
    </cfRule>
  </conditionalFormatting>
  <conditionalFormatting sqref="O61">
    <cfRule type="cellIs" dxfId="315" priority="2112" operator="equal">
      <formula>"Catastrófico"</formula>
    </cfRule>
    <cfRule type="cellIs" dxfId="314" priority="2113" operator="equal">
      <formula>"Mayor"</formula>
    </cfRule>
    <cfRule type="cellIs" dxfId="313" priority="2116" operator="equal">
      <formula>"Leve"</formula>
    </cfRule>
    <cfRule type="cellIs" dxfId="312" priority="2114" operator="equal">
      <formula>"Moderado"</formula>
    </cfRule>
    <cfRule type="cellIs" dxfId="311" priority="2115" operator="equal">
      <formula>"Menor"</formula>
    </cfRule>
  </conditionalFormatting>
  <conditionalFormatting sqref="O64">
    <cfRule type="cellIs" dxfId="310" priority="2100" operator="equal">
      <formula>"Menor"</formula>
    </cfRule>
    <cfRule type="cellIs" dxfId="309" priority="2101" operator="equal">
      <formula>"Leve"</formula>
    </cfRule>
    <cfRule type="cellIs" dxfId="308" priority="2097" operator="equal">
      <formula>"Catastrófico"</formula>
    </cfRule>
    <cfRule type="cellIs" dxfId="307" priority="2098" operator="equal">
      <formula>"Mayor"</formula>
    </cfRule>
    <cfRule type="cellIs" dxfId="306" priority="2099" operator="equal">
      <formula>"Moderado"</formula>
    </cfRule>
  </conditionalFormatting>
  <conditionalFormatting sqref="O67">
    <cfRule type="cellIs" dxfId="305" priority="220" operator="equal">
      <formula>"Moderado"</formula>
    </cfRule>
    <cfRule type="cellIs" dxfId="304" priority="218" operator="equal">
      <formula>"Catastrófico"</formula>
    </cfRule>
    <cfRule type="cellIs" dxfId="303" priority="221" operator="equal">
      <formula>"Menor"</formula>
    </cfRule>
    <cfRule type="cellIs" dxfId="302" priority="222" operator="equal">
      <formula>"Leve"</formula>
    </cfRule>
    <cfRule type="cellIs" dxfId="301" priority="219" operator="equal">
      <formula>"Mayor"</formula>
    </cfRule>
  </conditionalFormatting>
  <conditionalFormatting sqref="O70">
    <cfRule type="cellIs" dxfId="300" priority="2071" operator="equal">
      <formula>"Leve"</formula>
    </cfRule>
    <cfRule type="cellIs" dxfId="299" priority="2070" operator="equal">
      <formula>"Menor"</formula>
    </cfRule>
    <cfRule type="cellIs" dxfId="298" priority="2069" operator="equal">
      <formula>"Moderado"</formula>
    </cfRule>
    <cfRule type="cellIs" dxfId="297" priority="2068" operator="equal">
      <formula>"Mayor"</formula>
    </cfRule>
    <cfRule type="cellIs" dxfId="296" priority="2067" operator="equal">
      <formula>"Catastrófico"</formula>
    </cfRule>
  </conditionalFormatting>
  <conditionalFormatting sqref="O73">
    <cfRule type="cellIs" dxfId="295" priority="2056" operator="equal">
      <formula>"Leve"</formula>
    </cfRule>
    <cfRule type="cellIs" dxfId="294" priority="2054" operator="equal">
      <formula>"Moderado"</formula>
    </cfRule>
    <cfRule type="cellIs" dxfId="293" priority="2053" operator="equal">
      <formula>"Mayor"</formula>
    </cfRule>
    <cfRule type="cellIs" dxfId="292" priority="2052" operator="equal">
      <formula>"Catastrófico"</formula>
    </cfRule>
    <cfRule type="cellIs" dxfId="291" priority="2055" operator="equal">
      <formula>"Menor"</formula>
    </cfRule>
  </conditionalFormatting>
  <conditionalFormatting sqref="O76">
    <cfRule type="cellIs" dxfId="290" priority="524" operator="equal">
      <formula>"Leve"</formula>
    </cfRule>
    <cfRule type="cellIs" dxfId="289" priority="520" operator="equal">
      <formula>"Catastrófico"</formula>
    </cfRule>
    <cfRule type="cellIs" dxfId="288" priority="521" operator="equal">
      <formula>"Mayor"</formula>
    </cfRule>
    <cfRule type="cellIs" dxfId="287" priority="522" operator="equal">
      <formula>"Moderado"</formula>
    </cfRule>
    <cfRule type="cellIs" dxfId="286" priority="523" operator="equal">
      <formula>"Menor"</formula>
    </cfRule>
  </conditionalFormatting>
  <conditionalFormatting sqref="O79">
    <cfRule type="cellIs" dxfId="285" priority="2040" operator="equal">
      <formula>"Menor"</formula>
    </cfRule>
    <cfRule type="cellIs" dxfId="284" priority="2038" operator="equal">
      <formula>"Mayor"</formula>
    </cfRule>
    <cfRule type="cellIs" dxfId="283" priority="2037" operator="equal">
      <formula>"Catastrófico"</formula>
    </cfRule>
    <cfRule type="cellIs" dxfId="282" priority="2041" operator="equal">
      <formula>"Leve"</formula>
    </cfRule>
    <cfRule type="cellIs" dxfId="281" priority="2039" operator="equal">
      <formula>"Moderado"</formula>
    </cfRule>
  </conditionalFormatting>
  <conditionalFormatting sqref="O82">
    <cfRule type="cellIs" dxfId="280" priority="2022" operator="equal">
      <formula>"Catastrófico"</formula>
    </cfRule>
    <cfRule type="cellIs" dxfId="279" priority="2023" operator="equal">
      <formula>"Mayor"</formula>
    </cfRule>
    <cfRule type="cellIs" dxfId="278" priority="2024" operator="equal">
      <formula>"Moderado"</formula>
    </cfRule>
    <cfRule type="cellIs" dxfId="277" priority="2025" operator="equal">
      <formula>"Menor"</formula>
    </cfRule>
    <cfRule type="cellIs" dxfId="276" priority="2026" operator="equal">
      <formula>"Leve"</formula>
    </cfRule>
  </conditionalFormatting>
  <conditionalFormatting sqref="O85">
    <cfRule type="cellIs" dxfId="275" priority="2008" operator="equal">
      <formula>"Mayor"</formula>
    </cfRule>
    <cfRule type="cellIs" dxfId="274" priority="2010" operator="equal">
      <formula>"Menor"</formula>
    </cfRule>
    <cfRule type="cellIs" dxfId="273" priority="2007" operator="equal">
      <formula>"Catastrófico"</formula>
    </cfRule>
    <cfRule type="cellIs" dxfId="272" priority="2011" operator="equal">
      <formula>"Leve"</formula>
    </cfRule>
    <cfRule type="cellIs" dxfId="271" priority="2009" operator="equal">
      <formula>"Moderado"</formula>
    </cfRule>
  </conditionalFormatting>
  <conditionalFormatting sqref="O88">
    <cfRule type="cellIs" dxfId="270" priority="1993" operator="equal">
      <formula>"Mayor"</formula>
    </cfRule>
    <cfRule type="cellIs" dxfId="269" priority="1992" operator="equal">
      <formula>"Catastrófico"</formula>
    </cfRule>
    <cfRule type="cellIs" dxfId="268" priority="1994" operator="equal">
      <formula>"Moderado"</formula>
    </cfRule>
    <cfRule type="cellIs" dxfId="267" priority="1995" operator="equal">
      <formula>"Menor"</formula>
    </cfRule>
    <cfRule type="cellIs" dxfId="266" priority="1996" operator="equal">
      <formula>"Leve"</formula>
    </cfRule>
  </conditionalFormatting>
  <conditionalFormatting sqref="O91">
    <cfRule type="cellIs" dxfId="265" priority="679" operator="equal">
      <formula>"Moderado"</formula>
    </cfRule>
    <cfRule type="cellIs" dxfId="264" priority="680" operator="equal">
      <formula>"Menor"</formula>
    </cfRule>
    <cfRule type="cellIs" dxfId="263" priority="681" operator="equal">
      <formula>"Leve"</formula>
    </cfRule>
    <cfRule type="cellIs" dxfId="262" priority="677" operator="equal">
      <formula>"Catastrófico"</formula>
    </cfRule>
    <cfRule type="cellIs" dxfId="261" priority="678" operator="equal">
      <formula>"Mayor"</formula>
    </cfRule>
  </conditionalFormatting>
  <conditionalFormatting sqref="O94">
    <cfRule type="cellIs" dxfId="260" priority="1981" operator="equal">
      <formula>"Leve"</formula>
    </cfRule>
    <cfRule type="cellIs" dxfId="259" priority="1979" operator="equal">
      <formula>"Moderado"</formula>
    </cfRule>
    <cfRule type="cellIs" dxfId="258" priority="1978" operator="equal">
      <formula>"Mayor"</formula>
    </cfRule>
    <cfRule type="cellIs" dxfId="257" priority="1977" operator="equal">
      <formula>"Catastrófico"</formula>
    </cfRule>
    <cfRule type="cellIs" dxfId="256" priority="1980" operator="equal">
      <formula>"Menor"</formula>
    </cfRule>
  </conditionalFormatting>
  <conditionalFormatting sqref="O97">
    <cfRule type="cellIs" dxfId="255" priority="1962" operator="equal">
      <formula>"Catastrófico"</formula>
    </cfRule>
    <cfRule type="cellIs" dxfId="254" priority="1963" operator="equal">
      <formula>"Mayor"</formula>
    </cfRule>
    <cfRule type="cellIs" dxfId="253" priority="1964" operator="equal">
      <formula>"Moderado"</formula>
    </cfRule>
    <cfRule type="cellIs" dxfId="252" priority="1966" operator="equal">
      <formula>"Leve"</formula>
    </cfRule>
    <cfRule type="cellIs" dxfId="251" priority="1965" operator="equal">
      <formula>"Menor"</formula>
    </cfRule>
  </conditionalFormatting>
  <conditionalFormatting sqref="O100">
    <cfRule type="cellIs" dxfId="250" priority="1949" operator="equal">
      <formula>"Moderado"</formula>
    </cfRule>
    <cfRule type="cellIs" dxfId="249" priority="1950" operator="equal">
      <formula>"Menor"</formula>
    </cfRule>
    <cfRule type="cellIs" dxfId="248" priority="1948" operator="equal">
      <formula>"Mayor"</formula>
    </cfRule>
    <cfRule type="cellIs" dxfId="247" priority="1947" operator="equal">
      <formula>"Catastrófico"</formula>
    </cfRule>
    <cfRule type="cellIs" dxfId="246" priority="1951" operator="equal">
      <formula>"Leve"</formula>
    </cfRule>
  </conditionalFormatting>
  <conditionalFormatting sqref="O103">
    <cfRule type="cellIs" dxfId="245" priority="119" operator="equal">
      <formula>"Catastrófico"</formula>
    </cfRule>
    <cfRule type="cellIs" dxfId="244" priority="123" operator="equal">
      <formula>"Leve"</formula>
    </cfRule>
    <cfRule type="cellIs" dxfId="243" priority="122" operator="equal">
      <formula>"Menor"</formula>
    </cfRule>
    <cfRule type="cellIs" dxfId="242" priority="121" operator="equal">
      <formula>"Moderado"</formula>
    </cfRule>
    <cfRule type="cellIs" dxfId="241" priority="120" operator="equal">
      <formula>"Mayor"</formula>
    </cfRule>
  </conditionalFormatting>
  <conditionalFormatting sqref="O106">
    <cfRule type="cellIs" dxfId="240" priority="1906" operator="equal">
      <formula>"Leve"</formula>
    </cfRule>
    <cfRule type="cellIs" dxfId="239" priority="1905" operator="equal">
      <formula>"Menor"</formula>
    </cfRule>
    <cfRule type="cellIs" dxfId="238" priority="1904" operator="equal">
      <formula>"Moderado"</formula>
    </cfRule>
    <cfRule type="cellIs" dxfId="237" priority="1903" operator="equal">
      <formula>"Mayor"</formula>
    </cfRule>
    <cfRule type="cellIs" dxfId="236" priority="1902" operator="equal">
      <formula>"Catastrófico"</formula>
    </cfRule>
  </conditionalFormatting>
  <conditionalFormatting sqref="O109">
    <cfRule type="cellIs" dxfId="235" priority="1889" operator="equal">
      <formula>"Moderado"</formula>
    </cfRule>
    <cfRule type="cellIs" dxfId="234" priority="1890" operator="equal">
      <formula>"Menor"</formula>
    </cfRule>
    <cfRule type="cellIs" dxfId="233" priority="1891" operator="equal">
      <formula>"Leve"</formula>
    </cfRule>
    <cfRule type="cellIs" dxfId="232" priority="1888" operator="equal">
      <formula>"Mayor"</formula>
    </cfRule>
    <cfRule type="cellIs" dxfId="231" priority="1887" operator="equal">
      <formula>"Catastrófico"</formula>
    </cfRule>
  </conditionalFormatting>
  <conditionalFormatting sqref="O112">
    <cfRule type="cellIs" dxfId="230" priority="1818" operator="equal">
      <formula>"Menor"</formula>
    </cfRule>
    <cfRule type="cellIs" dxfId="229" priority="1816" operator="equal">
      <formula>"Mayor"</formula>
    </cfRule>
    <cfRule type="cellIs" dxfId="228" priority="1817" operator="equal">
      <formula>"Moderado"</formula>
    </cfRule>
    <cfRule type="cellIs" dxfId="227" priority="1819" operator="equal">
      <formula>"Leve"</formula>
    </cfRule>
    <cfRule type="cellIs" dxfId="226" priority="1815" operator="equal">
      <formula>"Catastrófico"</formula>
    </cfRule>
  </conditionalFormatting>
  <conditionalFormatting sqref="O115:O116">
    <cfRule type="cellIs" dxfId="225" priority="1935" operator="equal">
      <formula>"Menor"</formula>
    </cfRule>
    <cfRule type="cellIs" dxfId="224" priority="1934" operator="equal">
      <formula>"Moderado"</formula>
    </cfRule>
    <cfRule type="cellIs" dxfId="223" priority="1933" operator="equal">
      <formula>"Mayor"</formula>
    </cfRule>
    <cfRule type="cellIs" dxfId="222" priority="1932" operator="equal">
      <formula>"Catastrófico"</formula>
    </cfRule>
    <cfRule type="cellIs" dxfId="221" priority="1936" operator="equal">
      <formula>"Leve"</formula>
    </cfRule>
  </conditionalFormatting>
  <conditionalFormatting sqref="O118">
    <cfRule type="cellIs" dxfId="220" priority="1758" operator="equal">
      <formula>"Catastrófico"</formula>
    </cfRule>
    <cfRule type="cellIs" dxfId="219" priority="1759" operator="equal">
      <formula>"Mayor"</formula>
    </cfRule>
    <cfRule type="cellIs" dxfId="218" priority="1760" operator="equal">
      <formula>"Moderado"</formula>
    </cfRule>
    <cfRule type="cellIs" dxfId="217" priority="1761" operator="equal">
      <formula>"Menor"</formula>
    </cfRule>
    <cfRule type="cellIs" dxfId="216" priority="1762" operator="equal">
      <formula>"Leve"</formula>
    </cfRule>
  </conditionalFormatting>
  <conditionalFormatting sqref="O121">
    <cfRule type="cellIs" dxfId="215" priority="1703" operator="equal">
      <formula>"Moderado"</formula>
    </cfRule>
    <cfRule type="cellIs" dxfId="214" priority="1702" operator="equal">
      <formula>"Mayor"</formula>
    </cfRule>
    <cfRule type="cellIs" dxfId="213" priority="1701" operator="equal">
      <formula>"Catastrófico"</formula>
    </cfRule>
    <cfRule type="cellIs" dxfId="212" priority="1705" operator="equal">
      <formula>"Leve"</formula>
    </cfRule>
    <cfRule type="cellIs" dxfId="211" priority="1704" operator="equal">
      <formula>"Menor"</formula>
    </cfRule>
  </conditionalFormatting>
  <conditionalFormatting sqref="O124">
    <cfRule type="cellIs" dxfId="210" priority="1644" operator="equal">
      <formula>"Catastrófico"</formula>
    </cfRule>
    <cfRule type="cellIs" dxfId="209" priority="1646" operator="equal">
      <formula>"Moderado"</formula>
    </cfRule>
    <cfRule type="cellIs" dxfId="208" priority="1647" operator="equal">
      <formula>"Menor"</formula>
    </cfRule>
    <cfRule type="cellIs" dxfId="207" priority="1648" operator="equal">
      <formula>"Leve"</formula>
    </cfRule>
    <cfRule type="cellIs" dxfId="206" priority="1645" operator="equal">
      <formula>"Mayor"</formula>
    </cfRule>
  </conditionalFormatting>
  <conditionalFormatting sqref="O127">
    <cfRule type="cellIs" dxfId="205" priority="7" operator="equal">
      <formula>"Mayor"</formula>
    </cfRule>
    <cfRule type="cellIs" dxfId="204" priority="6" operator="equal">
      <formula>"Catastrófico"</formula>
    </cfRule>
    <cfRule type="cellIs" dxfId="203" priority="8" operator="equal">
      <formula>"Moderado"</formula>
    </cfRule>
    <cfRule type="cellIs" dxfId="202" priority="9" operator="equal">
      <formula>"Menor"</formula>
    </cfRule>
    <cfRule type="cellIs" dxfId="201" priority="10" operator="equal">
      <formula>"Leve"</formula>
    </cfRule>
  </conditionalFormatting>
  <conditionalFormatting sqref="O130">
    <cfRule type="cellIs" dxfId="200" priority="1170" operator="equal">
      <formula>"Catastrófico"</formula>
    </cfRule>
    <cfRule type="cellIs" dxfId="199" priority="1172" operator="equal">
      <formula>"Moderado"</formula>
    </cfRule>
    <cfRule type="cellIs" dxfId="198" priority="1171" operator="equal">
      <formula>"Mayor"</formula>
    </cfRule>
    <cfRule type="cellIs" dxfId="197" priority="1173" operator="equal">
      <formula>"Menor"</formula>
    </cfRule>
    <cfRule type="cellIs" dxfId="196" priority="1174" operator="equal">
      <formula>"Leve"</formula>
    </cfRule>
  </conditionalFormatting>
  <conditionalFormatting sqref="O133">
    <cfRule type="cellIs" dxfId="195" priority="1101" operator="equal">
      <formula>"Menor"</formula>
    </cfRule>
    <cfRule type="cellIs" dxfId="194" priority="1099" operator="equal">
      <formula>"Mayor"</formula>
    </cfRule>
    <cfRule type="cellIs" dxfId="193" priority="1100" operator="equal">
      <formula>"Moderado"</formula>
    </cfRule>
    <cfRule type="cellIs" dxfId="192" priority="1098" operator="equal">
      <formula>"Catastrófico"</formula>
    </cfRule>
    <cfRule type="cellIs" dxfId="191" priority="1102" operator="equal">
      <formula>"Leve"</formula>
    </cfRule>
  </conditionalFormatting>
  <conditionalFormatting sqref="O136">
    <cfRule type="cellIs" dxfId="190" priority="886" operator="equal">
      <formula>"Leve"</formula>
    </cfRule>
    <cfRule type="cellIs" dxfId="189" priority="885" operator="equal">
      <formula>"Menor"</formula>
    </cfRule>
    <cfRule type="cellIs" dxfId="188" priority="884" operator="equal">
      <formula>"Moderado"</formula>
    </cfRule>
    <cfRule type="cellIs" dxfId="187" priority="883" operator="equal">
      <formula>"Mayor"</formula>
    </cfRule>
    <cfRule type="cellIs" dxfId="186" priority="882" operator="equal">
      <formula>"Catastrófico"</formula>
    </cfRule>
  </conditionalFormatting>
  <conditionalFormatting sqref="Q7">
    <cfRule type="cellIs" dxfId="185" priority="3817" operator="equal">
      <formula>"Bajo"</formula>
    </cfRule>
    <cfRule type="cellIs" dxfId="184" priority="3816" operator="equal">
      <formula>"Moderado"</formula>
    </cfRule>
    <cfRule type="cellIs" dxfId="183" priority="3815" operator="equal">
      <formula>"Alto"</formula>
    </cfRule>
    <cfRule type="cellIs" dxfId="182" priority="3814" operator="equal">
      <formula>"Extremo"</formula>
    </cfRule>
  </conditionalFormatting>
  <conditionalFormatting sqref="Q10">
    <cfRule type="cellIs" dxfId="181" priority="2363" operator="equal">
      <formula>"Extremo"</formula>
    </cfRule>
    <cfRule type="cellIs" dxfId="180" priority="2364" operator="equal">
      <formula>"Alto"</formula>
    </cfRule>
    <cfRule type="cellIs" dxfId="179" priority="2366" operator="equal">
      <formula>"Bajo"</formula>
    </cfRule>
    <cfRule type="cellIs" dxfId="178" priority="2365" operator="equal">
      <formula>"Moderado"</formula>
    </cfRule>
  </conditionalFormatting>
  <conditionalFormatting sqref="Q13">
    <cfRule type="cellIs" dxfId="177" priority="2351" operator="equal">
      <formula>"Bajo"</formula>
    </cfRule>
    <cfRule type="cellIs" dxfId="176" priority="2350" operator="equal">
      <formula>"Moderado"</formula>
    </cfRule>
    <cfRule type="cellIs" dxfId="175" priority="2349" operator="equal">
      <formula>"Alto"</formula>
    </cfRule>
    <cfRule type="cellIs" dxfId="174" priority="2348" operator="equal">
      <formula>"Extremo"</formula>
    </cfRule>
  </conditionalFormatting>
  <conditionalFormatting sqref="Q16">
    <cfRule type="cellIs" dxfId="173" priority="2306" operator="equal">
      <formula>"Bajo"</formula>
    </cfRule>
    <cfRule type="cellIs" dxfId="172" priority="2305" operator="equal">
      <formula>"Moderado"</formula>
    </cfRule>
    <cfRule type="cellIs" dxfId="171" priority="2304" operator="equal">
      <formula>"Alto"</formula>
    </cfRule>
    <cfRule type="cellIs" dxfId="170" priority="2303" operator="equal">
      <formula>"Extremo"</formula>
    </cfRule>
  </conditionalFormatting>
  <conditionalFormatting sqref="Q19">
    <cfRule type="cellIs" dxfId="169" priority="2288" operator="equal">
      <formula>"Extremo"</formula>
    </cfRule>
    <cfRule type="cellIs" dxfId="168" priority="2289" operator="equal">
      <formula>"Alto"</formula>
    </cfRule>
    <cfRule type="cellIs" dxfId="167" priority="2290" operator="equal">
      <formula>"Moderado"</formula>
    </cfRule>
    <cfRule type="cellIs" dxfId="166" priority="2291" operator="equal">
      <formula>"Bajo"</formula>
    </cfRule>
  </conditionalFormatting>
  <conditionalFormatting sqref="Q22">
    <cfRule type="cellIs" dxfId="165" priority="432" operator="equal">
      <formula>"Moderado"</formula>
    </cfRule>
    <cfRule type="cellIs" dxfId="164" priority="433" operator="equal">
      <formula>"Bajo"</formula>
    </cfRule>
    <cfRule type="cellIs" dxfId="163" priority="431" operator="equal">
      <formula>"Alto"</formula>
    </cfRule>
    <cfRule type="cellIs" dxfId="162" priority="430" operator="equal">
      <formula>"Extremo"</formula>
    </cfRule>
  </conditionalFormatting>
  <conditionalFormatting sqref="Q25">
    <cfRule type="cellIs" dxfId="161" priority="2276" operator="equal">
      <formula>"Bajo"</formula>
    </cfRule>
    <cfRule type="cellIs" dxfId="160" priority="2275" operator="equal">
      <formula>"Moderado"</formula>
    </cfRule>
    <cfRule type="cellIs" dxfId="159" priority="2273" operator="equal">
      <formula>"Extremo"</formula>
    </cfRule>
    <cfRule type="cellIs" dxfId="158" priority="2274" operator="equal">
      <formula>"Alto"</formula>
    </cfRule>
  </conditionalFormatting>
  <conditionalFormatting sqref="Q28">
    <cfRule type="cellIs" dxfId="157" priority="2261" operator="equal">
      <formula>"Bajo"</formula>
    </cfRule>
    <cfRule type="cellIs" dxfId="156" priority="2260" operator="equal">
      <formula>"Moderado"</formula>
    </cfRule>
    <cfRule type="cellIs" dxfId="155" priority="2259" operator="equal">
      <formula>"Alto"</formula>
    </cfRule>
    <cfRule type="cellIs" dxfId="154" priority="2258" operator="equal">
      <formula>"Extremo"</formula>
    </cfRule>
  </conditionalFormatting>
  <conditionalFormatting sqref="Q31">
    <cfRule type="cellIs" dxfId="153" priority="2244" operator="equal">
      <formula>"Alto"</formula>
    </cfRule>
    <cfRule type="cellIs" dxfId="152" priority="2245" operator="equal">
      <formula>"Moderado"</formula>
    </cfRule>
    <cfRule type="cellIs" dxfId="151" priority="2243" operator="equal">
      <formula>"Extremo"</formula>
    </cfRule>
    <cfRule type="cellIs" dxfId="150" priority="2246" operator="equal">
      <formula>"Bajo"</formula>
    </cfRule>
  </conditionalFormatting>
  <conditionalFormatting sqref="Q34">
    <cfRule type="cellIs" dxfId="149" priority="381" operator="equal">
      <formula>"Bajo"</formula>
    </cfRule>
    <cfRule type="cellIs" dxfId="148" priority="380" operator="equal">
      <formula>"Moderado"</formula>
    </cfRule>
    <cfRule type="cellIs" dxfId="147" priority="379" operator="equal">
      <formula>"Alto"</formula>
    </cfRule>
    <cfRule type="cellIs" dxfId="146" priority="378" operator="equal">
      <formula>"Extremo"</formula>
    </cfRule>
  </conditionalFormatting>
  <conditionalFormatting sqref="Q37">
    <cfRule type="cellIs" dxfId="145" priority="2215" operator="equal">
      <formula>"Moderado"</formula>
    </cfRule>
    <cfRule type="cellIs" dxfId="144" priority="2214" operator="equal">
      <formula>"Alto"</formula>
    </cfRule>
    <cfRule type="cellIs" dxfId="143" priority="2213" operator="equal">
      <formula>"Extremo"</formula>
    </cfRule>
    <cfRule type="cellIs" dxfId="142" priority="2216" operator="equal">
      <formula>"Bajo"</formula>
    </cfRule>
  </conditionalFormatting>
  <conditionalFormatting sqref="Q41">
    <cfRule type="cellIs" dxfId="141" priority="2199" operator="equal">
      <formula>"Alto"</formula>
    </cfRule>
    <cfRule type="cellIs" dxfId="140" priority="2198" operator="equal">
      <formula>"Extremo"</formula>
    </cfRule>
    <cfRule type="cellIs" dxfId="139" priority="2201" operator="equal">
      <formula>"Bajo"</formula>
    </cfRule>
    <cfRule type="cellIs" dxfId="138" priority="2200" operator="equal">
      <formula>"Moderado"</formula>
    </cfRule>
  </conditionalFormatting>
  <conditionalFormatting sqref="Q44">
    <cfRule type="cellIs" dxfId="137" priority="303" operator="equal">
      <formula>"Moderado"</formula>
    </cfRule>
    <cfRule type="cellIs" dxfId="136" priority="301" operator="equal">
      <formula>"Extremo"</formula>
    </cfRule>
    <cfRule type="cellIs" dxfId="135" priority="302" operator="equal">
      <formula>"Alto"</formula>
    </cfRule>
    <cfRule type="cellIs" dxfId="134" priority="304" operator="equal">
      <formula>"Bajo"</formula>
    </cfRule>
  </conditionalFormatting>
  <conditionalFormatting sqref="Q49">
    <cfRule type="cellIs" dxfId="133" priority="2169" operator="equal">
      <formula>"Alto"</formula>
    </cfRule>
    <cfRule type="cellIs" dxfId="132" priority="2170" operator="equal">
      <formula>"Moderado"</formula>
    </cfRule>
    <cfRule type="cellIs" dxfId="131" priority="2171" operator="equal">
      <formula>"Bajo"</formula>
    </cfRule>
    <cfRule type="cellIs" dxfId="130" priority="2168" operator="equal">
      <formula>"Extremo"</formula>
    </cfRule>
  </conditionalFormatting>
  <conditionalFormatting sqref="Q52">
    <cfRule type="cellIs" dxfId="129" priority="2154" operator="equal">
      <formula>"Alto"</formula>
    </cfRule>
    <cfRule type="cellIs" dxfId="128" priority="2156" operator="equal">
      <formula>"Bajo"</formula>
    </cfRule>
    <cfRule type="cellIs" dxfId="127" priority="2155" operator="equal">
      <formula>"Moderado"</formula>
    </cfRule>
    <cfRule type="cellIs" dxfId="126" priority="2153" operator="equal">
      <formula>"Extremo"</formula>
    </cfRule>
  </conditionalFormatting>
  <conditionalFormatting sqref="Q55">
    <cfRule type="cellIs" dxfId="125" priority="2138" operator="equal">
      <formula>"Extremo"</formula>
    </cfRule>
    <cfRule type="cellIs" dxfId="124" priority="2139" operator="equal">
      <formula>"Alto"</formula>
    </cfRule>
    <cfRule type="cellIs" dxfId="123" priority="2140" operator="equal">
      <formula>"Moderado"</formula>
    </cfRule>
    <cfRule type="cellIs" dxfId="122" priority="2141" operator="equal">
      <formula>"Bajo"</formula>
    </cfRule>
  </conditionalFormatting>
  <conditionalFormatting sqref="Q58">
    <cfRule type="cellIs" dxfId="121" priority="2124" operator="equal">
      <formula>"Alto"</formula>
    </cfRule>
    <cfRule type="cellIs" dxfId="120" priority="2123" operator="equal">
      <formula>"Extremo"</formula>
    </cfRule>
    <cfRule type="cellIs" dxfId="119" priority="2126" operator="equal">
      <formula>"Bajo"</formula>
    </cfRule>
    <cfRule type="cellIs" dxfId="118" priority="2125" operator="equal">
      <formula>"Moderado"</formula>
    </cfRule>
  </conditionalFormatting>
  <conditionalFormatting sqref="Q61">
    <cfRule type="cellIs" dxfId="117" priority="2108" operator="equal">
      <formula>"Extremo"</formula>
    </cfRule>
    <cfRule type="cellIs" dxfId="116" priority="2109" operator="equal">
      <formula>"Alto"</formula>
    </cfRule>
    <cfRule type="cellIs" dxfId="115" priority="2111" operator="equal">
      <formula>"Bajo"</formula>
    </cfRule>
    <cfRule type="cellIs" dxfId="114" priority="2110" operator="equal">
      <formula>"Moderado"</formula>
    </cfRule>
  </conditionalFormatting>
  <conditionalFormatting sqref="Q64">
    <cfRule type="cellIs" dxfId="113" priority="2096" operator="equal">
      <formula>"Bajo"</formula>
    </cfRule>
    <cfRule type="cellIs" dxfId="112" priority="2095" operator="equal">
      <formula>"Moderado"</formula>
    </cfRule>
    <cfRule type="cellIs" dxfId="111" priority="2093" operator="equal">
      <formula>"Extremo"</formula>
    </cfRule>
    <cfRule type="cellIs" dxfId="110" priority="2094" operator="equal">
      <formula>"Alto"</formula>
    </cfRule>
  </conditionalFormatting>
  <conditionalFormatting sqref="Q67">
    <cfRule type="cellIs" dxfId="109" priority="214" operator="equal">
      <formula>"Extremo"</formula>
    </cfRule>
    <cfRule type="cellIs" dxfId="108" priority="215" operator="equal">
      <formula>"Alto"</formula>
    </cfRule>
    <cfRule type="cellIs" dxfId="107" priority="216" operator="equal">
      <formula>"Moderado"</formula>
    </cfRule>
    <cfRule type="cellIs" dxfId="106" priority="217" operator="equal">
      <formula>"Bajo"</formula>
    </cfRule>
  </conditionalFormatting>
  <conditionalFormatting sqref="Q70">
    <cfRule type="cellIs" dxfId="105" priority="2064" operator="equal">
      <formula>"Alto"</formula>
    </cfRule>
    <cfRule type="cellIs" dxfId="104" priority="2065" operator="equal">
      <formula>"Moderado"</formula>
    </cfRule>
    <cfRule type="cellIs" dxfId="103" priority="2066" operator="equal">
      <formula>"Bajo"</formula>
    </cfRule>
    <cfRule type="cellIs" dxfId="102" priority="2063" operator="equal">
      <formula>"Extremo"</formula>
    </cfRule>
  </conditionalFormatting>
  <conditionalFormatting sqref="Q73">
    <cfRule type="cellIs" dxfId="101" priority="2049" operator="equal">
      <formula>"Alto"</formula>
    </cfRule>
    <cfRule type="cellIs" dxfId="100" priority="2048" operator="equal">
      <formula>"Extremo"</formula>
    </cfRule>
    <cfRule type="cellIs" dxfId="99" priority="2050" operator="equal">
      <formula>"Moderado"</formula>
    </cfRule>
    <cfRule type="cellIs" dxfId="98" priority="2051" operator="equal">
      <formula>"Bajo"</formula>
    </cfRule>
  </conditionalFormatting>
  <conditionalFormatting sqref="Q76">
    <cfRule type="cellIs" dxfId="97" priority="517" operator="equal">
      <formula>"Alto"</formula>
    </cfRule>
    <cfRule type="cellIs" dxfId="96" priority="518" operator="equal">
      <formula>"Moderado"</formula>
    </cfRule>
    <cfRule type="cellIs" dxfId="95" priority="516" operator="equal">
      <formula>"Extremo"</formula>
    </cfRule>
    <cfRule type="cellIs" dxfId="94" priority="519" operator="equal">
      <formula>"Bajo"</formula>
    </cfRule>
  </conditionalFormatting>
  <conditionalFormatting sqref="Q79">
    <cfRule type="cellIs" dxfId="93" priority="2034" operator="equal">
      <formula>"Alto"</formula>
    </cfRule>
    <cfRule type="cellIs" dxfId="92" priority="2036" operator="equal">
      <formula>"Bajo"</formula>
    </cfRule>
    <cfRule type="cellIs" dxfId="91" priority="2035" operator="equal">
      <formula>"Moderado"</formula>
    </cfRule>
    <cfRule type="cellIs" dxfId="90" priority="2033" operator="equal">
      <formula>"Extremo"</formula>
    </cfRule>
  </conditionalFormatting>
  <conditionalFormatting sqref="Q82">
    <cfRule type="cellIs" dxfId="89" priority="2018" operator="equal">
      <formula>"Extremo"</formula>
    </cfRule>
    <cfRule type="cellIs" dxfId="88" priority="2020" operator="equal">
      <formula>"Moderado"</formula>
    </cfRule>
    <cfRule type="cellIs" dxfId="87" priority="2021" operator="equal">
      <formula>"Bajo"</formula>
    </cfRule>
    <cfRule type="cellIs" dxfId="86" priority="2019" operator="equal">
      <formula>"Alto"</formula>
    </cfRule>
  </conditionalFormatting>
  <conditionalFormatting sqref="Q85">
    <cfRule type="cellIs" dxfId="85" priority="2004" operator="equal">
      <formula>"Alto"</formula>
    </cfRule>
    <cfRule type="cellIs" dxfId="84" priority="2006" operator="equal">
      <formula>"Bajo"</formula>
    </cfRule>
    <cfRule type="cellIs" dxfId="83" priority="2005" operator="equal">
      <formula>"Moderado"</formula>
    </cfRule>
    <cfRule type="cellIs" dxfId="82" priority="2003" operator="equal">
      <formula>"Extremo"</formula>
    </cfRule>
  </conditionalFormatting>
  <conditionalFormatting sqref="Q88">
    <cfRule type="cellIs" dxfId="81" priority="1991" operator="equal">
      <formula>"Bajo"</formula>
    </cfRule>
    <cfRule type="cellIs" dxfId="80" priority="1988" operator="equal">
      <formula>"Extremo"</formula>
    </cfRule>
    <cfRule type="cellIs" dxfId="79" priority="1989" operator="equal">
      <formula>"Alto"</formula>
    </cfRule>
    <cfRule type="cellIs" dxfId="78" priority="1990" operator="equal">
      <formula>"Moderado"</formula>
    </cfRule>
  </conditionalFormatting>
  <conditionalFormatting sqref="Q91">
    <cfRule type="cellIs" dxfId="77" priority="673" operator="equal">
      <formula>"Extremo"</formula>
    </cfRule>
    <cfRule type="cellIs" dxfId="76" priority="674" operator="equal">
      <formula>"Alto"</formula>
    </cfRule>
    <cfRule type="cellIs" dxfId="75" priority="675" operator="equal">
      <formula>"Moderado"</formula>
    </cfRule>
    <cfRule type="cellIs" dxfId="74" priority="676" operator="equal">
      <formula>"Bajo"</formula>
    </cfRule>
  </conditionalFormatting>
  <conditionalFormatting sqref="Q94">
    <cfRule type="cellIs" dxfId="73" priority="1973" operator="equal">
      <formula>"Extremo"</formula>
    </cfRule>
    <cfRule type="cellIs" dxfId="72" priority="1976" operator="equal">
      <formula>"Bajo"</formula>
    </cfRule>
    <cfRule type="cellIs" dxfId="71" priority="1975" operator="equal">
      <formula>"Moderado"</formula>
    </cfRule>
    <cfRule type="cellIs" dxfId="70" priority="1974" operator="equal">
      <formula>"Alto"</formula>
    </cfRule>
  </conditionalFormatting>
  <conditionalFormatting sqref="Q97">
    <cfRule type="cellIs" dxfId="69" priority="1960" operator="equal">
      <formula>"Moderado"</formula>
    </cfRule>
    <cfRule type="cellIs" dxfId="68" priority="1961" operator="equal">
      <formula>"Bajo"</formula>
    </cfRule>
    <cfRule type="cellIs" dxfId="67" priority="1958" operator="equal">
      <formula>"Extremo"</formula>
    </cfRule>
    <cfRule type="cellIs" dxfId="66" priority="1959" operator="equal">
      <formula>"Alto"</formula>
    </cfRule>
  </conditionalFormatting>
  <conditionalFormatting sqref="Q100">
    <cfRule type="cellIs" dxfId="65" priority="1946" operator="equal">
      <formula>"Bajo"</formula>
    </cfRule>
    <cfRule type="cellIs" dxfId="64" priority="1944" operator="equal">
      <formula>"Alto"</formula>
    </cfRule>
    <cfRule type="cellIs" dxfId="63" priority="1943" operator="equal">
      <formula>"Extremo"</formula>
    </cfRule>
    <cfRule type="cellIs" dxfId="62" priority="1945" operator="equal">
      <formula>"Moderado"</formula>
    </cfRule>
  </conditionalFormatting>
  <conditionalFormatting sqref="Q103">
    <cfRule type="cellIs" dxfId="61" priority="115" operator="equal">
      <formula>"Extremo"</formula>
    </cfRule>
    <cfRule type="cellIs" dxfId="60" priority="118" operator="equal">
      <formula>"Bajo"</formula>
    </cfRule>
    <cfRule type="cellIs" dxfId="59" priority="117" operator="equal">
      <formula>"Moderado"</formula>
    </cfRule>
    <cfRule type="cellIs" dxfId="58" priority="116" operator="equal">
      <formula>"Alto"</formula>
    </cfRule>
  </conditionalFormatting>
  <conditionalFormatting sqref="Q106">
    <cfRule type="cellIs" dxfId="57" priority="1900" operator="equal">
      <formula>"Moderado"</formula>
    </cfRule>
    <cfRule type="cellIs" dxfId="56" priority="1901" operator="equal">
      <formula>"Bajo"</formula>
    </cfRule>
    <cfRule type="cellIs" dxfId="55" priority="1898" operator="equal">
      <formula>"Extremo"</formula>
    </cfRule>
    <cfRule type="cellIs" dxfId="54" priority="1899" operator="equal">
      <formula>"Alto"</formula>
    </cfRule>
  </conditionalFormatting>
  <conditionalFormatting sqref="Q109">
    <cfRule type="cellIs" dxfId="53" priority="1883" operator="equal">
      <formula>"Extremo"</formula>
    </cfRule>
    <cfRule type="cellIs" dxfId="52" priority="1884" operator="equal">
      <formula>"Alto"</formula>
    </cfRule>
    <cfRule type="cellIs" dxfId="51" priority="1885" operator="equal">
      <formula>"Moderado"</formula>
    </cfRule>
    <cfRule type="cellIs" dxfId="50" priority="1886" operator="equal">
      <formula>"Bajo"</formula>
    </cfRule>
  </conditionalFormatting>
  <conditionalFormatting sqref="Q112">
    <cfRule type="cellIs" dxfId="49" priority="1814" operator="equal">
      <formula>"Bajo"</formula>
    </cfRule>
    <cfRule type="cellIs" dxfId="48" priority="1813" operator="equal">
      <formula>"Moderado"</formula>
    </cfRule>
    <cfRule type="cellIs" dxfId="47" priority="1812" operator="equal">
      <formula>"Alto"</formula>
    </cfRule>
    <cfRule type="cellIs" dxfId="46" priority="1811" operator="equal">
      <formula>"Extremo"</formula>
    </cfRule>
  </conditionalFormatting>
  <conditionalFormatting sqref="Q115:Q116">
    <cfRule type="cellIs" dxfId="45" priority="1931" operator="equal">
      <formula>"Bajo"</formula>
    </cfRule>
    <cfRule type="cellIs" dxfId="44" priority="1929" operator="equal">
      <formula>"Alto"</formula>
    </cfRule>
    <cfRule type="cellIs" dxfId="43" priority="1928" operator="equal">
      <formula>"Extremo"</formula>
    </cfRule>
    <cfRule type="cellIs" dxfId="42" priority="1930" operator="equal">
      <formula>"Moderado"</formula>
    </cfRule>
  </conditionalFormatting>
  <conditionalFormatting sqref="Q118">
    <cfRule type="cellIs" dxfId="41" priority="1755" operator="equal">
      <formula>"Alto"</formula>
    </cfRule>
    <cfRule type="cellIs" dxfId="40" priority="1757" operator="equal">
      <formula>"Bajo"</formula>
    </cfRule>
    <cfRule type="cellIs" dxfId="39" priority="1756" operator="equal">
      <formula>"Moderado"</formula>
    </cfRule>
    <cfRule type="cellIs" dxfId="38" priority="1754" operator="equal">
      <formula>"Extremo"</formula>
    </cfRule>
  </conditionalFormatting>
  <conditionalFormatting sqref="Q121">
    <cfRule type="cellIs" dxfId="37" priority="1698" operator="equal">
      <formula>"Alto"</formula>
    </cfRule>
    <cfRule type="cellIs" dxfId="36" priority="1697" operator="equal">
      <formula>"Extremo"</formula>
    </cfRule>
    <cfRule type="cellIs" dxfId="35" priority="1699" operator="equal">
      <formula>"Moderado"</formula>
    </cfRule>
    <cfRule type="cellIs" dxfId="34" priority="1700" operator="equal">
      <formula>"Bajo"</formula>
    </cfRule>
  </conditionalFormatting>
  <conditionalFormatting sqref="Q124">
    <cfRule type="cellIs" dxfId="33" priority="1640" operator="equal">
      <formula>"Extremo"</formula>
    </cfRule>
    <cfRule type="cellIs" dxfId="32" priority="1643" operator="equal">
      <formula>"Bajo"</formula>
    </cfRule>
    <cfRule type="cellIs" dxfId="31" priority="1642" operator="equal">
      <formula>"Moderado"</formula>
    </cfRule>
    <cfRule type="cellIs" dxfId="30" priority="1641" operator="equal">
      <formula>"Alto"</formula>
    </cfRule>
  </conditionalFormatting>
  <conditionalFormatting sqref="Q127">
    <cfRule type="cellIs" dxfId="29" priority="3" operator="equal">
      <formula>"Alto"</formula>
    </cfRule>
    <cfRule type="cellIs" dxfId="28" priority="2" operator="equal">
      <formula>"Extremo"</formula>
    </cfRule>
    <cfRule type="cellIs" dxfId="27" priority="5" operator="equal">
      <formula>"Bajo"</formula>
    </cfRule>
    <cfRule type="cellIs" dxfId="26" priority="4" operator="equal">
      <formula>"Moderado"</formula>
    </cfRule>
  </conditionalFormatting>
  <conditionalFormatting sqref="Q130">
    <cfRule type="cellIs" dxfId="25" priority="1167" operator="equal">
      <formula>"Alto"</formula>
    </cfRule>
    <cfRule type="cellIs" dxfId="24" priority="1166" operator="equal">
      <formula>"Extremo"</formula>
    </cfRule>
    <cfRule type="cellIs" dxfId="23" priority="1169" operator="equal">
      <formula>"Bajo"</formula>
    </cfRule>
    <cfRule type="cellIs" dxfId="22" priority="1168" operator="equal">
      <formula>"Moderado"</formula>
    </cfRule>
  </conditionalFormatting>
  <conditionalFormatting sqref="Q133">
    <cfRule type="cellIs" dxfId="21" priority="1094" operator="equal">
      <formula>"Extremo"</formula>
    </cfRule>
    <cfRule type="cellIs" dxfId="20" priority="1096" operator="equal">
      <formula>"Moderado"</formula>
    </cfRule>
    <cfRule type="cellIs" dxfId="19" priority="1097" operator="equal">
      <formula>"Bajo"</formula>
    </cfRule>
    <cfRule type="cellIs" dxfId="18" priority="1095" operator="equal">
      <formula>"Alto"</formula>
    </cfRule>
  </conditionalFormatting>
  <conditionalFormatting sqref="Q136">
    <cfRule type="cellIs" dxfId="17" priority="879" operator="equal">
      <formula>"Alto"</formula>
    </cfRule>
    <cfRule type="cellIs" dxfId="16" priority="880" operator="equal">
      <formula>"Moderado"</formula>
    </cfRule>
    <cfRule type="cellIs" dxfId="15" priority="881" operator="equal">
      <formula>"Bajo"</formula>
    </cfRule>
    <cfRule type="cellIs" dxfId="14" priority="878" operator="equal">
      <formula>"Extremo"</formula>
    </cfRule>
  </conditionalFormatting>
  <conditionalFormatting sqref="AB7:AB138">
    <cfRule type="cellIs" dxfId="13" priority="28" operator="equal">
      <formula>"Baja"</formula>
    </cfRule>
    <cfRule type="cellIs" dxfId="12" priority="27" operator="equal">
      <formula>"Media"</formula>
    </cfRule>
    <cfRule type="cellIs" dxfId="11" priority="26" operator="equal">
      <formula>"Alta"</formula>
    </cfRule>
    <cfRule type="cellIs" dxfId="10" priority="25" operator="equal">
      <formula>"Muy Alta"</formula>
    </cfRule>
    <cfRule type="cellIs" dxfId="9" priority="29" operator="equal">
      <formula>"Muy Baja"</formula>
    </cfRule>
  </conditionalFormatting>
  <conditionalFormatting sqref="AD7:AD138">
    <cfRule type="cellIs" dxfId="8" priority="22" operator="equal">
      <formula>"Moderado"</formula>
    </cfRule>
    <cfRule type="cellIs" dxfId="7" priority="23" operator="equal">
      <formula>"Menor"</formula>
    </cfRule>
    <cfRule type="cellIs" dxfId="6" priority="24" operator="equal">
      <formula>"Leve"</formula>
    </cfRule>
    <cfRule type="cellIs" dxfId="5" priority="21" operator="equal">
      <formula>"Mayor"</formula>
    </cfRule>
    <cfRule type="cellIs" dxfId="4" priority="20" operator="equal">
      <formula>"Catastrófico"</formula>
    </cfRule>
  </conditionalFormatting>
  <conditionalFormatting sqref="AF7:AF138">
    <cfRule type="cellIs" dxfId="3" priority="16" operator="equal">
      <formula>"Extremo"</formula>
    </cfRule>
    <cfRule type="cellIs" dxfId="2" priority="17" operator="equal">
      <formula>"Alto"</formula>
    </cfRule>
    <cfRule type="cellIs" dxfId="1" priority="18" operator="equal">
      <formula>"Moderado"</formula>
    </cfRule>
    <cfRule type="cellIs" dxfId="0" priority="19" operator="equal">
      <formula>"Bajo"</formula>
    </cfRule>
  </conditionalFormatting>
  <dataValidations count="2">
    <dataValidation type="list" allowBlank="1" showInputMessage="1" showErrorMessage="1" sqref="U44:V48 Y44:Y48" xr:uid="{00000000-0002-0000-0200-000000000000}">
      <formula1>#REF!</formula1>
    </dataValidation>
    <dataValidation type="list" allowBlank="1" showInputMessage="1" showErrorMessage="1" sqref="X103:Z105 U103:V105 AG103:AG105" xr:uid="{00000000-0002-0000-0200-000001000000}">
      <formula1>#REF!</formula1>
    </dataValidation>
  </dataValidations>
  <hyperlinks>
    <hyperlink ref="AQ116" r:id="rId1" xr:uid="{6A55C692-C521-44DF-9D69-AFF2AA344D0A}"/>
    <hyperlink ref="AN115" r:id="rId2" xr:uid="{4B967593-1D9E-4EAC-BFC9-14B2F3E17290}"/>
    <hyperlink ref="AN116" r:id="rId3" xr:uid="{DEEEA992-D374-4891-88E6-4A35D53C32F0}"/>
  </hyperlinks>
  <pageMargins left="0.7" right="0.7" top="0.75" bottom="0.75" header="0.3" footer="0.3"/>
  <pageSetup orientation="portrait" r:id="rId4"/>
  <ignoredErrors>
    <ignoredError sqref="AA67" formula="1"/>
  </ignoredErrors>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200-000003000000}">
          <x14:formula1>
            <xm:f>'Opciones Tratamiento'!$B$13:$B$19</xm:f>
          </x14:formula1>
          <xm:sqref>I7 I10 I13 I106 I16 I19 I25 I28 I31 I37 I41 I49 I52 I55 I58 I61 I109 I64 I44 I67 I73 I79 I82 I85 I88 I94 I97 I100 I115:I116 I130 I112 I118 I121 I124 I133 I136 I91 I70 I22 I34 I76 I103 I127</xm:sqref>
        </x14:dataValidation>
        <x14:dataValidation type="list" allowBlank="1" showInputMessage="1" showErrorMessage="1" xr:uid="{00000000-0002-0000-0200-000004000000}">
          <x14:formula1>
            <xm:f>'Opciones Tratamiento'!$E$2:$E$4</xm:f>
          </x14:formula1>
          <xm:sqref>E7 E10 E13 E106 E16 E19 E25 E28 E31 E37 E41 E49 E52 E55 E58 E61 E109 E64 E44 E70 E34 E79 E82 E85 E88 E94 E97 E100 E115:E116 E130 E112 E118 E121 E124 E133 E136 E91 E67 E22 E73 E76 E103 E127</xm:sqref>
        </x14:dataValidation>
        <x14:dataValidation type="list" allowBlank="1" showInputMessage="1" showErrorMessage="1" xr:uid="{00000000-0002-0000-0200-000005000000}">
          <x14:formula1>
            <xm:f>'Tabla Impacto'!$F$210:$F$221</xm:f>
          </x14:formula1>
          <xm:sqref>M7 M10 M13 M16 M19 M25 M28 M31 M37 M41 M49 M52 M55 M58 M61 M136 M64 M44 M70 M73 M79 M133 M82 M85 M88 M91 M94 M97 M100 M115:M116 M130 M106 M109 M112 M118 M121 M124 M67 M22 M34 M76 M103 M127</xm:sqref>
        </x14:dataValidation>
        <x14:dataValidation type="list" allowBlank="1" showInputMessage="1" showErrorMessage="1" xr:uid="{00000000-0002-0000-0200-000006000000}">
          <x14:formula1>
            <xm:f>'Tabla Valoración controles'!$D$4:$D$6</xm:f>
          </x14:formula1>
          <xm:sqref>U7:U36 U41:U43 U91:U102 U106:U116 U49:U88 U118:U138</xm:sqref>
        </x14:dataValidation>
        <x14:dataValidation type="list" allowBlank="1" showInputMessage="1" showErrorMessage="1" xr:uid="{00000000-0002-0000-0200-000007000000}">
          <x14:formula1>
            <xm:f>'Tabla Valoración controles'!$D$7:$D$8</xm:f>
          </x14:formula1>
          <xm:sqref>V7:V43 V91:V102 V106:V116 V49:V88 V118:V138</xm:sqref>
        </x14:dataValidation>
        <x14:dataValidation type="list" allowBlank="1" showInputMessage="1" showErrorMessage="1" xr:uid="{00000000-0002-0000-0200-000008000000}">
          <x14:formula1>
            <xm:f>'Tabla Valoración controles'!$D$9:$D$10</xm:f>
          </x14:formula1>
          <xm:sqref>X7:X88 X91:X102 X106:X116 X118:X138</xm:sqref>
        </x14:dataValidation>
        <x14:dataValidation type="list" allowBlank="1" showInputMessage="1" showErrorMessage="1" xr:uid="{00000000-0002-0000-0200-000009000000}">
          <x14:formula1>
            <xm:f>'Tabla Valoración controles'!$D$11:$D$12</xm:f>
          </x14:formula1>
          <xm:sqref>Y7:Y43 Y91:Y102 Y106:Y116 Y49:Y88 Y118:Y138</xm:sqref>
        </x14:dataValidation>
        <x14:dataValidation type="list" allowBlank="1" showInputMessage="1" showErrorMessage="1" xr:uid="{00000000-0002-0000-0200-00000A000000}">
          <x14:formula1>
            <xm:f>'Tabla Valoración controles'!$D$13:$D$14</xm:f>
          </x14:formula1>
          <xm:sqref>Z7:Z88 Z91:Z102 Z106:Z116 Z118:Z138</xm:sqref>
        </x14:dataValidation>
        <x14:dataValidation type="list" allowBlank="1" showInputMessage="1" showErrorMessage="1" xr:uid="{00000000-0002-0000-0200-00000B000000}">
          <x14:formula1>
            <xm:f>'Opciones Tratamiento'!$B$2:$B$5</xm:f>
          </x14:formula1>
          <xm:sqref>AG7:AG102 AG106:AG116 AG118:AG138</xm:sqref>
        </x14:dataValidation>
        <x14:dataValidation type="list" allowBlank="1" showInputMessage="1" showErrorMessage="1" xr:uid="{00000000-0002-0000-0200-00000C000000}">
          <x14:formula1>
            <xm:f>'D:\Users\lujo6\Downloads\[Mapa_riesgos_Ejec_Proy_2024_Propuesta_SGEP.xlsx]Tabla Valoración controles'!#REF!</xm:f>
          </x14:formula1>
          <xm:sqref>U37:U40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O194"/>
  <sheetViews>
    <sheetView topLeftCell="B35" zoomScale="40" zoomScaleNormal="40" workbookViewId="0">
      <selection activeCell="E101" sqref="E101"/>
    </sheetView>
  </sheetViews>
  <sheetFormatPr baseColWidth="10" defaultRowHeight="14.4" x14ac:dyDescent="0.3"/>
  <cols>
    <col min="2" max="9" width="5.5546875" customWidth="1"/>
    <col min="10" max="59" width="8.5546875" customWidth="1"/>
    <col min="61" max="65" width="5.5546875" customWidth="1"/>
    <col min="66" max="66" width="20.5546875" customWidth="1"/>
  </cols>
  <sheetData>
    <row r="1" spans="1:119" x14ac:dyDescent="0.3">
      <c r="A1" s="38"/>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c r="CI1" s="38"/>
      <c r="CJ1" s="38"/>
      <c r="CK1" s="38"/>
      <c r="CL1" s="38"/>
      <c r="CM1" s="38"/>
      <c r="CN1" s="38"/>
      <c r="CO1" s="38"/>
      <c r="CP1" s="38"/>
      <c r="CQ1" s="38"/>
      <c r="CR1" s="38"/>
      <c r="CS1" s="38"/>
      <c r="CT1" s="38"/>
      <c r="CU1" s="38"/>
      <c r="CV1" s="38"/>
      <c r="CW1" s="38"/>
      <c r="CX1" s="38"/>
      <c r="CY1" s="38"/>
      <c r="CZ1" s="38"/>
      <c r="DA1" s="38"/>
      <c r="DB1" s="38"/>
      <c r="DC1" s="38"/>
      <c r="DD1" s="38"/>
      <c r="DE1" s="38"/>
      <c r="DF1" s="38"/>
      <c r="DG1" s="38"/>
      <c r="DH1" s="38"/>
      <c r="DI1" s="38"/>
      <c r="DJ1" s="38"/>
      <c r="DK1" s="38"/>
      <c r="DL1" s="38"/>
      <c r="DM1" s="38"/>
      <c r="DN1" s="38"/>
      <c r="DO1" s="38"/>
    </row>
    <row r="2" spans="1:119" ht="18" customHeight="1" x14ac:dyDescent="0.3">
      <c r="A2" s="38"/>
      <c r="B2" s="542" t="s">
        <v>135</v>
      </c>
      <c r="C2" s="542"/>
      <c r="D2" s="542"/>
      <c r="E2" s="542"/>
      <c r="F2" s="542"/>
      <c r="G2" s="542"/>
      <c r="H2" s="542"/>
      <c r="I2" s="542"/>
      <c r="J2" s="302" t="s">
        <v>2</v>
      </c>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c r="AM2" s="302"/>
      <c r="AN2" s="302"/>
      <c r="AO2" s="302"/>
      <c r="AP2" s="302"/>
      <c r="AQ2" s="302"/>
      <c r="AR2" s="302"/>
      <c r="AS2" s="302"/>
      <c r="AT2" s="302"/>
      <c r="AU2" s="302"/>
      <c r="AV2" s="302"/>
      <c r="AW2" s="302"/>
      <c r="AX2" s="302"/>
      <c r="AY2" s="302"/>
      <c r="AZ2" s="302"/>
      <c r="BA2" s="302"/>
      <c r="BB2" s="302"/>
      <c r="BC2" s="302"/>
      <c r="BD2" s="302"/>
      <c r="BE2" s="302"/>
      <c r="BF2" s="302"/>
      <c r="BG2" s="302"/>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row>
    <row r="3" spans="1:119" ht="18.75" customHeight="1" x14ac:dyDescent="0.3">
      <c r="A3" s="38"/>
      <c r="B3" s="542"/>
      <c r="C3" s="542"/>
      <c r="D3" s="542"/>
      <c r="E3" s="542"/>
      <c r="F3" s="542"/>
      <c r="G3" s="542"/>
      <c r="H3" s="542"/>
      <c r="I3" s="542"/>
      <c r="J3" s="302"/>
      <c r="K3" s="302"/>
      <c r="L3" s="302"/>
      <c r="M3" s="302"/>
      <c r="N3" s="302"/>
      <c r="O3" s="302"/>
      <c r="P3" s="302"/>
      <c r="Q3" s="302"/>
      <c r="R3" s="302"/>
      <c r="S3" s="302"/>
      <c r="T3" s="302"/>
      <c r="U3" s="302"/>
      <c r="V3" s="302"/>
      <c r="W3" s="302"/>
      <c r="X3" s="302"/>
      <c r="Y3" s="302"/>
      <c r="Z3" s="302"/>
      <c r="AA3" s="302"/>
      <c r="AB3" s="302"/>
      <c r="AC3" s="302"/>
      <c r="AD3" s="302"/>
      <c r="AE3" s="302"/>
      <c r="AF3" s="302"/>
      <c r="AG3" s="302"/>
      <c r="AH3" s="302"/>
      <c r="AI3" s="302"/>
      <c r="AJ3" s="302"/>
      <c r="AK3" s="302"/>
      <c r="AL3" s="302"/>
      <c r="AM3" s="302"/>
      <c r="AN3" s="302"/>
      <c r="AO3" s="302"/>
      <c r="AP3" s="302"/>
      <c r="AQ3" s="302"/>
      <c r="AR3" s="302"/>
      <c r="AS3" s="302"/>
      <c r="AT3" s="302"/>
      <c r="AU3" s="302"/>
      <c r="AV3" s="302"/>
      <c r="AW3" s="302"/>
      <c r="AX3" s="302"/>
      <c r="AY3" s="302"/>
      <c r="AZ3" s="302"/>
      <c r="BA3" s="302"/>
      <c r="BB3" s="302"/>
      <c r="BC3" s="302"/>
      <c r="BD3" s="302"/>
      <c r="BE3" s="302"/>
      <c r="BF3" s="302"/>
      <c r="BG3" s="302"/>
      <c r="BH3" s="38"/>
      <c r="BI3" s="38"/>
      <c r="BJ3" s="38"/>
      <c r="BK3" s="38"/>
      <c r="BL3" s="38"/>
      <c r="BM3" s="38"/>
      <c r="BN3" s="38"/>
      <c r="BO3" s="38"/>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row>
    <row r="4" spans="1:119" ht="15" customHeight="1" x14ac:dyDescent="0.3">
      <c r="A4" s="38"/>
      <c r="B4" s="542"/>
      <c r="C4" s="542"/>
      <c r="D4" s="542"/>
      <c r="E4" s="542"/>
      <c r="F4" s="542"/>
      <c r="G4" s="542"/>
      <c r="H4" s="542"/>
      <c r="I4" s="542"/>
      <c r="J4" s="302"/>
      <c r="K4" s="302"/>
      <c r="L4" s="302"/>
      <c r="M4" s="302"/>
      <c r="N4" s="302"/>
      <c r="O4" s="302"/>
      <c r="P4" s="302"/>
      <c r="Q4" s="302"/>
      <c r="R4" s="302"/>
      <c r="S4" s="302"/>
      <c r="T4" s="302"/>
      <c r="U4" s="302"/>
      <c r="V4" s="302"/>
      <c r="W4" s="302"/>
      <c r="X4" s="302"/>
      <c r="Y4" s="302"/>
      <c r="Z4" s="302"/>
      <c r="AA4" s="302"/>
      <c r="AB4" s="302"/>
      <c r="AC4" s="302"/>
      <c r="AD4" s="302"/>
      <c r="AE4" s="302"/>
      <c r="AF4" s="302"/>
      <c r="AG4" s="302"/>
      <c r="AH4" s="302"/>
      <c r="AI4" s="302"/>
      <c r="AJ4" s="302"/>
      <c r="AK4" s="302"/>
      <c r="AL4" s="302"/>
      <c r="AM4" s="302"/>
      <c r="AN4" s="302"/>
      <c r="AO4" s="302"/>
      <c r="AP4" s="302"/>
      <c r="AQ4" s="302"/>
      <c r="AR4" s="302"/>
      <c r="AS4" s="302"/>
      <c r="AT4" s="302"/>
      <c r="AU4" s="302"/>
      <c r="AV4" s="302"/>
      <c r="AW4" s="302"/>
      <c r="AX4" s="302"/>
      <c r="AY4" s="302"/>
      <c r="AZ4" s="302"/>
      <c r="BA4" s="302"/>
      <c r="BB4" s="302"/>
      <c r="BC4" s="302"/>
      <c r="BD4" s="302"/>
      <c r="BE4" s="302"/>
      <c r="BF4" s="302"/>
      <c r="BG4" s="302"/>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c r="CU4" s="38"/>
      <c r="CV4" s="38"/>
      <c r="CW4" s="38"/>
      <c r="CX4" s="38"/>
      <c r="CY4" s="38"/>
      <c r="CZ4" s="38"/>
      <c r="DA4" s="38"/>
      <c r="DB4" s="38"/>
      <c r="DC4" s="38"/>
      <c r="DD4" s="38"/>
      <c r="DE4" s="38"/>
      <c r="DF4" s="38"/>
      <c r="DG4" s="38"/>
      <c r="DH4" s="38"/>
      <c r="DI4" s="38"/>
      <c r="DJ4" s="38"/>
      <c r="DK4" s="38"/>
      <c r="DL4" s="38"/>
      <c r="DM4" s="38"/>
      <c r="DN4" s="38"/>
      <c r="DO4" s="38"/>
    </row>
    <row r="5" spans="1:119" ht="15" thickBot="1" x14ac:dyDescent="0.35">
      <c r="A5" s="38"/>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c r="CU5" s="38"/>
      <c r="CV5" s="38"/>
      <c r="CW5" s="38"/>
      <c r="CX5" s="38"/>
      <c r="CY5" s="38"/>
      <c r="CZ5" s="38"/>
      <c r="DA5" s="38"/>
      <c r="DB5" s="38"/>
      <c r="DC5" s="38"/>
      <c r="DD5" s="38"/>
      <c r="DE5" s="38"/>
      <c r="DF5" s="38"/>
      <c r="DG5" s="38"/>
      <c r="DH5" s="38"/>
      <c r="DI5" s="38"/>
      <c r="DJ5" s="38"/>
      <c r="DK5" s="38"/>
      <c r="DL5" s="38"/>
      <c r="DM5" s="38"/>
      <c r="DN5" s="38"/>
      <c r="DO5" s="38"/>
    </row>
    <row r="6" spans="1:119" ht="15" customHeight="1" x14ac:dyDescent="0.3">
      <c r="A6" s="38"/>
      <c r="B6" s="303" t="s">
        <v>4</v>
      </c>
      <c r="C6" s="304"/>
      <c r="D6" s="305"/>
      <c r="E6" s="525" t="s">
        <v>107</v>
      </c>
      <c r="F6" s="526"/>
      <c r="G6" s="526"/>
      <c r="H6" s="526"/>
      <c r="I6" s="526"/>
      <c r="J6" s="535" t="str">
        <f>IF(AND('Mapa final'!$K$7="Muy Alta",'Mapa final'!$O$7="Leve"),CONCATENATE("R",'Mapa final'!$A$7),"")</f>
        <v/>
      </c>
      <c r="K6" s="485"/>
      <c r="L6" s="485" t="str">
        <f>IF(AND('Mapa final'!$K$10="Muy Alta",'Mapa final'!$O$10="Leve"),CONCATENATE("R",'Mapa final'!$A$10),"")</f>
        <v/>
      </c>
      <c r="M6" s="485"/>
      <c r="N6" s="485" t="e">
        <f>IF(AND('Mapa final'!#REF!="Muy Alta",'Mapa final'!#REF!="Leve"),CONCATENATE("R",'Mapa final'!#REF!),"")</f>
        <v>#REF!</v>
      </c>
      <c r="O6" s="485"/>
      <c r="P6" s="485" t="str">
        <f>IF(AND('Mapa final'!$K$13="Muy Alta",'Mapa final'!$O$13="Leve"),CONCATENATE("R",'Mapa final'!$A$13),"")</f>
        <v/>
      </c>
      <c r="Q6" s="485"/>
      <c r="R6" s="485" t="str">
        <f>IF(AND('Mapa final'!$K$16="Muy Alta",'Mapa final'!$O$16="Leve"),CONCATENATE("R",'Mapa final'!$A$16),"")</f>
        <v/>
      </c>
      <c r="S6" s="536"/>
      <c r="T6" s="535" t="str">
        <f>IF(AND('Mapa final'!$K$7="Muy Alta",'Mapa final'!$O$7="Menor"),CONCATENATE("R",'Mapa final'!$A$7),"")</f>
        <v/>
      </c>
      <c r="U6" s="485"/>
      <c r="V6" s="485" t="str">
        <f>IF(AND('Mapa final'!$K$10="Muy Alta",'Mapa final'!$O$10="Menor"),CONCATENATE("R",'Mapa final'!$A$10),"")</f>
        <v/>
      </c>
      <c r="W6" s="485"/>
      <c r="X6" s="485" t="e">
        <f>IF(AND('Mapa final'!#REF!="Muy Alta",'Mapa final'!#REF!="Menor"),CONCATENATE("R",'Mapa final'!#REF!),"")</f>
        <v>#REF!</v>
      </c>
      <c r="Y6" s="485"/>
      <c r="Z6" s="485" t="str">
        <f>IF(AND('Mapa final'!$K$13="Muy Alta",'Mapa final'!$O$13="Menor"),CONCATENATE("R",'Mapa final'!$A$13),"")</f>
        <v/>
      </c>
      <c r="AA6" s="485"/>
      <c r="AB6" s="485" t="str">
        <f>IF(AND('Mapa final'!$K$16="Muy Alta",'Mapa final'!$O$16="Menor"),CONCATENATE("R",'Mapa final'!$A$16),"")</f>
        <v/>
      </c>
      <c r="AC6" s="536"/>
      <c r="AD6" s="535" t="str">
        <f>IF(AND('Mapa final'!$K$7="Muy Alta",'Mapa final'!$O$7="Moderado"),CONCATENATE("R",'Mapa final'!$A$7),"")</f>
        <v/>
      </c>
      <c r="AE6" s="485"/>
      <c r="AF6" s="485" t="str">
        <f>IF(AND('Mapa final'!$K$10="Muy Alta",'Mapa final'!$O$10="Moderado"),CONCATENATE("R",'Mapa final'!$A$10),"")</f>
        <v/>
      </c>
      <c r="AG6" s="485"/>
      <c r="AH6" s="485" t="e">
        <f>IF(AND('Mapa final'!#REF!="Muy Alta",'Mapa final'!#REF!="Moderado"),CONCATENATE("R",'Mapa final'!#REF!),"")</f>
        <v>#REF!</v>
      </c>
      <c r="AI6" s="485"/>
      <c r="AJ6" s="485" t="str">
        <f>IF(AND('Mapa final'!$K$13="Muy Alta",'Mapa final'!$O$13="Moderado"),CONCATENATE("R",'Mapa final'!$A$13),"")</f>
        <v/>
      </c>
      <c r="AK6" s="485"/>
      <c r="AL6" s="485" t="str">
        <f>IF(AND('Mapa final'!$K$16="Muy Alta",'Mapa final'!$O$16="Moderado"),CONCATENATE("R",'Mapa final'!$A$16),"")</f>
        <v/>
      </c>
      <c r="AM6" s="536"/>
      <c r="AN6" s="535" t="str">
        <f>IF(AND('Mapa final'!$K$7="Muy Alta",'Mapa final'!$O$7="Mayor"),CONCATENATE("R",'Mapa final'!$A$7),"")</f>
        <v/>
      </c>
      <c r="AO6" s="485"/>
      <c r="AP6" s="485" t="str">
        <f>IF(AND('Mapa final'!$K$10="Muy Alta",'Mapa final'!$O$10="Mayor"),CONCATENATE("R",'Mapa final'!$A$10),"")</f>
        <v/>
      </c>
      <c r="AQ6" s="485"/>
      <c r="AR6" s="485" t="e">
        <f>IF(AND('Mapa final'!#REF!="Muy Alta",'Mapa final'!#REF!="Mayor"),CONCATENATE("R",'Mapa final'!#REF!),"")</f>
        <v>#REF!</v>
      </c>
      <c r="AS6" s="485"/>
      <c r="AT6" s="485" t="str">
        <f>IF(AND('Mapa final'!$K$13="Muy Alta",'Mapa final'!$O$13="Mayor"),CONCATENATE("R",'Mapa final'!$A$13),"")</f>
        <v/>
      </c>
      <c r="AU6" s="485"/>
      <c r="AV6" s="485" t="str">
        <f>IF(AND('Mapa final'!$K$16="Muy Alta",'Mapa final'!$O$16="Mayor"),CONCATENATE("R",'Mapa final'!$A$16),"")</f>
        <v/>
      </c>
      <c r="AW6" s="536"/>
      <c r="AX6" s="482" t="str">
        <f>IF(AND('Mapa final'!$K$7="Muy Alta",'Mapa final'!$O$7="Catastrófico"),CONCATENATE("R",'Mapa final'!$A$7),"")</f>
        <v/>
      </c>
      <c r="AY6" s="471"/>
      <c r="AZ6" s="471" t="str">
        <f>IF(AND('Mapa final'!$K$10="Muy Alta",'Mapa final'!$O$10="Catastrófico"),CONCATENATE("R",'Mapa final'!$A$10),"")</f>
        <v/>
      </c>
      <c r="BA6" s="471"/>
      <c r="BB6" s="471" t="e">
        <f>IF(AND('Mapa final'!#REF!="Muy Alta",'Mapa final'!#REF!="Catastrófico"),CONCATENATE("R",'Mapa final'!#REF!),"")</f>
        <v>#REF!</v>
      </c>
      <c r="BC6" s="471"/>
      <c r="BD6" s="471" t="str">
        <f>IF(AND('Mapa final'!$K$13="Muy Alta",'Mapa final'!$O$13="Catastrófico"),CONCATENATE("R",'Mapa final'!$A$13),"")</f>
        <v/>
      </c>
      <c r="BE6" s="471"/>
      <c r="BF6" s="471" t="str">
        <f>IF(AND('Mapa final'!$K$16="Muy Alta",'Mapa final'!$O$16="Catastrófico"),CONCATENATE("R",'Mapa final'!$A$16),"")</f>
        <v/>
      </c>
      <c r="BG6" s="483"/>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row>
    <row r="7" spans="1:119" ht="15" customHeight="1" x14ac:dyDescent="0.3">
      <c r="A7" s="38"/>
      <c r="B7" s="306"/>
      <c r="C7" s="307"/>
      <c r="D7" s="308"/>
      <c r="E7" s="527"/>
      <c r="F7" s="528"/>
      <c r="G7" s="528"/>
      <c r="H7" s="528"/>
      <c r="I7" s="528"/>
      <c r="J7" s="468"/>
      <c r="K7" s="469"/>
      <c r="L7" s="469"/>
      <c r="M7" s="469"/>
      <c r="N7" s="469"/>
      <c r="O7" s="469"/>
      <c r="P7" s="469"/>
      <c r="Q7" s="469"/>
      <c r="R7" s="469"/>
      <c r="S7" s="470"/>
      <c r="T7" s="468"/>
      <c r="U7" s="469"/>
      <c r="V7" s="469"/>
      <c r="W7" s="469"/>
      <c r="X7" s="469"/>
      <c r="Y7" s="469"/>
      <c r="Z7" s="469"/>
      <c r="AA7" s="469"/>
      <c r="AB7" s="469"/>
      <c r="AC7" s="470"/>
      <c r="AD7" s="468"/>
      <c r="AE7" s="469"/>
      <c r="AF7" s="469"/>
      <c r="AG7" s="469"/>
      <c r="AH7" s="469"/>
      <c r="AI7" s="469"/>
      <c r="AJ7" s="469"/>
      <c r="AK7" s="469"/>
      <c r="AL7" s="469"/>
      <c r="AM7" s="470"/>
      <c r="AN7" s="468"/>
      <c r="AO7" s="469"/>
      <c r="AP7" s="469"/>
      <c r="AQ7" s="469"/>
      <c r="AR7" s="469"/>
      <c r="AS7" s="469"/>
      <c r="AT7" s="469"/>
      <c r="AU7" s="469"/>
      <c r="AV7" s="469"/>
      <c r="AW7" s="470"/>
      <c r="AX7" s="452"/>
      <c r="AY7" s="450"/>
      <c r="AZ7" s="450"/>
      <c r="BA7" s="450"/>
      <c r="BB7" s="450"/>
      <c r="BC7" s="450"/>
      <c r="BD7" s="450"/>
      <c r="BE7" s="450"/>
      <c r="BF7" s="450"/>
      <c r="BG7" s="451"/>
      <c r="BH7" s="38"/>
      <c r="BI7" s="38"/>
      <c r="BJ7" s="38"/>
      <c r="BK7" s="38"/>
      <c r="BL7" s="38"/>
      <c r="BM7" s="38"/>
      <c r="BN7" s="38"/>
      <c r="BO7" s="38"/>
      <c r="BP7" s="38"/>
      <c r="BQ7" s="38"/>
      <c r="BR7" s="38"/>
      <c r="BS7" s="38"/>
      <c r="BT7" s="38"/>
      <c r="BU7" s="38"/>
      <c r="BV7" s="38"/>
      <c r="BW7" s="38"/>
      <c r="BX7" s="38"/>
      <c r="BY7" s="38"/>
      <c r="BZ7" s="38"/>
      <c r="CA7" s="38"/>
      <c r="CB7" s="38"/>
      <c r="CC7" s="38"/>
      <c r="CD7" s="38"/>
      <c r="CE7" s="38"/>
      <c r="CF7" s="38"/>
      <c r="CG7" s="38"/>
      <c r="CH7" s="38"/>
      <c r="CI7" s="38"/>
      <c r="CJ7" s="38"/>
      <c r="CK7" s="38"/>
      <c r="CL7" s="38"/>
      <c r="CM7" s="38"/>
      <c r="CN7" s="38"/>
      <c r="CO7" s="38"/>
      <c r="CP7" s="38"/>
      <c r="CQ7" s="38"/>
      <c r="CR7" s="38"/>
      <c r="CS7" s="38"/>
      <c r="CT7" s="38"/>
      <c r="CU7" s="38"/>
      <c r="CV7" s="38"/>
    </row>
    <row r="8" spans="1:119" ht="15" customHeight="1" x14ac:dyDescent="0.3">
      <c r="A8" s="38"/>
      <c r="B8" s="306"/>
      <c r="C8" s="307"/>
      <c r="D8" s="308"/>
      <c r="E8" s="527"/>
      <c r="F8" s="528"/>
      <c r="G8" s="528"/>
      <c r="H8" s="528"/>
      <c r="I8" s="528"/>
      <c r="J8" s="468" t="str">
        <f>IF(AND('Mapa final'!$K$19="Muy Alta",'Mapa final'!$O$19="Leve"),CONCATENATE("R",'Mapa final'!$A$19),"")</f>
        <v/>
      </c>
      <c r="K8" s="469"/>
      <c r="L8" s="469" t="str">
        <f>IF(AND('Mapa final'!$K$22="Muy Alta",'Mapa final'!$O$22="Leve"),CONCATENATE("R",'Mapa final'!$A$22),"")</f>
        <v/>
      </c>
      <c r="M8" s="469"/>
      <c r="N8" s="469" t="str">
        <f>IF(AND('Mapa final'!$K$25="Muy Alta",'Mapa final'!$O$25="Leve"),CONCATENATE("R",'Mapa final'!$A$25),"")</f>
        <v/>
      </c>
      <c r="O8" s="469"/>
      <c r="P8" s="469" t="str">
        <f>IF(AND('Mapa final'!$K$28="Muy Alta",'Mapa final'!$O$28="Leve"),CONCATENATE("R",'Mapa final'!$A$28),"")</f>
        <v/>
      </c>
      <c r="Q8" s="469"/>
      <c r="R8" s="469" t="str">
        <f>IF(AND('Mapa final'!$K$31="Muy Alta",'Mapa final'!$O$31="Leve"),CONCATENATE("R",'Mapa final'!$A$31),"")</f>
        <v/>
      </c>
      <c r="S8" s="470"/>
      <c r="T8" s="468" t="str">
        <f>IF(AND('Mapa final'!$K$19="Muy Alta",'Mapa final'!$O$19="Menor"),CONCATENATE("R",'Mapa final'!$A$19),"")</f>
        <v/>
      </c>
      <c r="U8" s="469"/>
      <c r="V8" s="469" t="str">
        <f>IF(AND('Mapa final'!$K$22="Muy Alta",'Mapa final'!$O$22="Menor"),CONCATENATE("R",'Mapa final'!$A$22),"")</f>
        <v/>
      </c>
      <c r="W8" s="469"/>
      <c r="X8" s="469" t="str">
        <f>IF(AND('Mapa final'!$K$25="Muy Alta",'Mapa final'!$O$25="Menor"),CONCATENATE("R",'Mapa final'!$A$25),"")</f>
        <v/>
      </c>
      <c r="Y8" s="469"/>
      <c r="Z8" s="469" t="str">
        <f>IF(AND('Mapa final'!$K$28="Muy Alta",'Mapa final'!$O$28="Menor"),CONCATENATE("R",'Mapa final'!$A$28),"")</f>
        <v/>
      </c>
      <c r="AA8" s="469"/>
      <c r="AB8" s="469" t="str">
        <f>IF(AND('Mapa final'!$K$31="Muy Alta",'Mapa final'!$O$31="Menor"),CONCATENATE("R",'Mapa final'!$A$31),"")</f>
        <v/>
      </c>
      <c r="AC8" s="470"/>
      <c r="AD8" s="468" t="str">
        <f>IF(AND('Mapa final'!$K$19="Muy Alta",'Mapa final'!$O$19="Moderado"),CONCATENATE("R",'Mapa final'!$A$19),"")</f>
        <v/>
      </c>
      <c r="AE8" s="469"/>
      <c r="AF8" s="469" t="str">
        <f>IF(AND('Mapa final'!$K$22="Muy Alta",'Mapa final'!$O$22="Moderado"),CONCATENATE("R",'Mapa final'!$A$22),"")</f>
        <v/>
      </c>
      <c r="AG8" s="469"/>
      <c r="AH8" s="469" t="str">
        <f>IF(AND('Mapa final'!$K$25="Muy Alta",'Mapa final'!$O$25="Moderado"),CONCATENATE("R",'Mapa final'!$A$25),"")</f>
        <v/>
      </c>
      <c r="AI8" s="469"/>
      <c r="AJ8" s="469" t="str">
        <f>IF(AND('Mapa final'!$K$28="Muy Alta",'Mapa final'!$O$28="Moderado"),CONCATENATE("R",'Mapa final'!$A$28),"")</f>
        <v/>
      </c>
      <c r="AK8" s="469"/>
      <c r="AL8" s="469" t="str">
        <f>IF(AND('Mapa final'!$K$31="Muy Alta",'Mapa final'!$O$31="Moderado"),CONCATENATE("R",'Mapa final'!$A$31),"")</f>
        <v/>
      </c>
      <c r="AM8" s="470"/>
      <c r="AN8" s="468" t="str">
        <f>IF(AND('Mapa final'!$K$19="Muy Alta",'Mapa final'!$O$19="Mayor"),CONCATENATE("R",'Mapa final'!$A$19),"")</f>
        <v/>
      </c>
      <c r="AO8" s="469"/>
      <c r="AP8" s="469" t="str">
        <f>IF(AND('Mapa final'!$K$22="Muy Alta",'Mapa final'!$O$22="Mayor"),CONCATENATE("R",'Mapa final'!$A$22),"")</f>
        <v/>
      </c>
      <c r="AQ8" s="469"/>
      <c r="AR8" s="469" t="str">
        <f>IF(AND('Mapa final'!$K$25="Muy Alta",'Mapa final'!$O$25="Mayor"),CONCATENATE("R",'Mapa final'!$A$25),"")</f>
        <v/>
      </c>
      <c r="AS8" s="469"/>
      <c r="AT8" s="469" t="str">
        <f>IF(AND('Mapa final'!$K$28="Muy Alta",'Mapa final'!$O$28="Mayor"),CONCATENATE("R",'Mapa final'!$A$28),"")</f>
        <v/>
      </c>
      <c r="AU8" s="469"/>
      <c r="AV8" s="469" t="str">
        <f>IF(AND('Mapa final'!$K$31="Muy Alta",'Mapa final'!$O$31="Mayor"),CONCATENATE("R",'Mapa final'!$A$31),"")</f>
        <v/>
      </c>
      <c r="AW8" s="470"/>
      <c r="AX8" s="452" t="str">
        <f>IF(AND('Mapa final'!$K$19="Muy Alta",'Mapa final'!$O$19="Catastrófico"),CONCATENATE("R",'Mapa final'!$A$19),"")</f>
        <v/>
      </c>
      <c r="AY8" s="450"/>
      <c r="AZ8" s="450" t="str">
        <f>IF(AND('Mapa final'!$K$22="Muy Alta",'Mapa final'!$O$22="Catastrófico"),CONCATENATE("R",'Mapa final'!$A$22),"")</f>
        <v/>
      </c>
      <c r="BA8" s="450"/>
      <c r="BB8" s="450" t="str">
        <f>IF(AND('Mapa final'!$K$25="Muy Alta",'Mapa final'!$O$25="Catastrófico"),CONCATENATE("R",'Mapa final'!$A$25),"")</f>
        <v/>
      </c>
      <c r="BC8" s="450"/>
      <c r="BD8" s="450" t="str">
        <f>IF(AND('Mapa final'!$K$28="Muy Alta",'Mapa final'!$O$28="Catastrófico"),CONCATENATE("R",'Mapa final'!$A$28),"")</f>
        <v/>
      </c>
      <c r="BE8" s="450"/>
      <c r="BF8" s="450" t="str">
        <f>IF(AND('Mapa final'!$K$31="Muy Alta",'Mapa final'!$O$31="Catastrófico"),CONCATENATE("R",'Mapa final'!$A$31),"")</f>
        <v/>
      </c>
      <c r="BG8" s="451"/>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row>
    <row r="9" spans="1:119" ht="15" customHeight="1" x14ac:dyDescent="0.3">
      <c r="A9" s="38"/>
      <c r="B9" s="306"/>
      <c r="C9" s="307"/>
      <c r="D9" s="308"/>
      <c r="E9" s="527"/>
      <c r="F9" s="528"/>
      <c r="G9" s="528"/>
      <c r="H9" s="528"/>
      <c r="I9" s="528"/>
      <c r="J9" s="468"/>
      <c r="K9" s="469"/>
      <c r="L9" s="469"/>
      <c r="M9" s="469"/>
      <c r="N9" s="469"/>
      <c r="O9" s="469"/>
      <c r="P9" s="469"/>
      <c r="Q9" s="469"/>
      <c r="R9" s="469"/>
      <c r="S9" s="470"/>
      <c r="T9" s="468"/>
      <c r="U9" s="469"/>
      <c r="V9" s="469"/>
      <c r="W9" s="469"/>
      <c r="X9" s="469"/>
      <c r="Y9" s="469"/>
      <c r="Z9" s="469"/>
      <c r="AA9" s="469"/>
      <c r="AB9" s="469"/>
      <c r="AC9" s="470"/>
      <c r="AD9" s="468"/>
      <c r="AE9" s="469"/>
      <c r="AF9" s="469"/>
      <c r="AG9" s="469"/>
      <c r="AH9" s="469"/>
      <c r="AI9" s="469"/>
      <c r="AJ9" s="469"/>
      <c r="AK9" s="469"/>
      <c r="AL9" s="469"/>
      <c r="AM9" s="470"/>
      <c r="AN9" s="468"/>
      <c r="AO9" s="469"/>
      <c r="AP9" s="469"/>
      <c r="AQ9" s="469"/>
      <c r="AR9" s="469"/>
      <c r="AS9" s="469"/>
      <c r="AT9" s="469"/>
      <c r="AU9" s="469"/>
      <c r="AV9" s="469"/>
      <c r="AW9" s="470"/>
      <c r="AX9" s="452"/>
      <c r="AY9" s="450"/>
      <c r="AZ9" s="450"/>
      <c r="BA9" s="450"/>
      <c r="BB9" s="450"/>
      <c r="BC9" s="450"/>
      <c r="BD9" s="450"/>
      <c r="BE9" s="450"/>
      <c r="BF9" s="450"/>
      <c r="BG9" s="451"/>
      <c r="BH9" s="38"/>
      <c r="BI9" s="38"/>
      <c r="BJ9" s="38"/>
      <c r="BK9" s="38"/>
      <c r="BL9" s="38"/>
      <c r="BM9" s="38"/>
      <c r="BN9" s="38"/>
      <c r="BO9" s="38"/>
      <c r="BP9" s="38"/>
      <c r="BQ9" s="38"/>
      <c r="BR9" s="38"/>
      <c r="BS9" s="38"/>
      <c r="BT9" s="38"/>
      <c r="BU9" s="38"/>
      <c r="BV9" s="38"/>
      <c r="BW9" s="38"/>
      <c r="BX9" s="38"/>
      <c r="BY9" s="38"/>
      <c r="BZ9" s="38"/>
      <c r="CA9" s="38"/>
      <c r="CB9" s="38"/>
      <c r="CC9" s="38"/>
      <c r="CD9" s="38"/>
      <c r="CE9" s="38"/>
      <c r="CF9" s="38"/>
      <c r="CG9" s="38"/>
      <c r="CH9" s="38"/>
      <c r="CI9" s="38"/>
      <c r="CJ9" s="38"/>
      <c r="CK9" s="38"/>
      <c r="CL9" s="38"/>
      <c r="CM9" s="38"/>
      <c r="CN9" s="38"/>
      <c r="CO9" s="38"/>
      <c r="CP9" s="38"/>
      <c r="CQ9" s="38"/>
      <c r="CR9" s="38"/>
      <c r="CS9" s="38"/>
      <c r="CT9" s="38"/>
      <c r="CU9" s="38"/>
      <c r="CV9" s="38"/>
    </row>
    <row r="10" spans="1:119" ht="15" customHeight="1" x14ac:dyDescent="0.3">
      <c r="A10" s="38"/>
      <c r="B10" s="306"/>
      <c r="C10" s="307"/>
      <c r="D10" s="308"/>
      <c r="E10" s="527"/>
      <c r="F10" s="528"/>
      <c r="G10" s="528"/>
      <c r="H10" s="528"/>
      <c r="I10" s="528"/>
      <c r="J10" s="468" t="str">
        <f>IF(AND('Mapa final'!$K$34="Muy Alta",'Mapa final'!$O$34="Leve"),CONCATENATE("R",'Mapa final'!$A$34),"")</f>
        <v/>
      </c>
      <c r="K10" s="469"/>
      <c r="L10" s="469" t="str">
        <f>IF(AND('Mapa final'!$K$37="Muy Alta",'Mapa final'!$O$37="Leve"),CONCATENATE("R",'Mapa final'!$A$37),"")</f>
        <v/>
      </c>
      <c r="M10" s="469"/>
      <c r="N10" s="469" t="str">
        <f>IF(AND('Mapa final'!$K$41="Muy Alta",'Mapa final'!$O$41="Leve"),CONCATENATE("R",'Mapa final'!$A$41),"")</f>
        <v/>
      </c>
      <c r="O10" s="469"/>
      <c r="P10" s="469" t="str">
        <f>IF(AND('Mapa final'!$K$44="Muy Alta",'Mapa final'!$O$44="Leve"),CONCATENATE("R",'Mapa final'!$A$44),"")</f>
        <v/>
      </c>
      <c r="Q10" s="469"/>
      <c r="R10" s="469" t="str">
        <f>IF(AND('Mapa final'!$K$49="Muy Alta",'Mapa final'!$O$49="Leve"),CONCATENATE("R",'Mapa final'!$A$49),"")</f>
        <v/>
      </c>
      <c r="S10" s="470"/>
      <c r="T10" s="468" t="str">
        <f>IF(AND('Mapa final'!$K$34="Muy Alta",'Mapa final'!$O$34="Menor"),CONCATENATE("R",'Mapa final'!$A$34),"")</f>
        <v/>
      </c>
      <c r="U10" s="469"/>
      <c r="V10" s="469" t="str">
        <f>IF(AND('Mapa final'!$K$37="Muy Alta",'Mapa final'!$O$37="Menor"),CONCATENATE("R",'Mapa final'!$A$37),"")</f>
        <v/>
      </c>
      <c r="W10" s="469"/>
      <c r="X10" s="469" t="str">
        <f>IF(AND('Mapa final'!$K$41="Muy Alta",'Mapa final'!$O$41="Menor"),CONCATENATE("R",'Mapa final'!$A$41),"")</f>
        <v/>
      </c>
      <c r="Y10" s="469"/>
      <c r="Z10" s="469" t="str">
        <f>IF(AND('Mapa final'!$K$44="Muy Alta",'Mapa final'!$O$44="Menor"),CONCATENATE("R",'Mapa final'!$A$44),"")</f>
        <v/>
      </c>
      <c r="AA10" s="469"/>
      <c r="AB10" s="469" t="str">
        <f>IF(AND('Mapa final'!$K$49="Muy Alta",'Mapa final'!$O$49="Menor"),CONCATENATE("R",'Mapa final'!$A$49),"")</f>
        <v/>
      </c>
      <c r="AC10" s="470"/>
      <c r="AD10" s="468" t="str">
        <f>IF(AND('Mapa final'!$K$34="Muy Alta",'Mapa final'!$O$34="Moderado"),CONCATENATE("R",'Mapa final'!$A$34),"")</f>
        <v/>
      </c>
      <c r="AE10" s="469"/>
      <c r="AF10" s="469" t="str">
        <f>IF(AND('Mapa final'!$K$37="Muy Alta",'Mapa final'!$O$37="Moderado"),CONCATENATE("R",'Mapa final'!$A$37),"")</f>
        <v/>
      </c>
      <c r="AG10" s="469"/>
      <c r="AH10" s="469" t="str">
        <f>IF(AND('Mapa final'!$K$41="Muy Alta",'Mapa final'!$O$41="Moderado"),CONCATENATE("R",'Mapa final'!$A$41),"")</f>
        <v/>
      </c>
      <c r="AI10" s="469"/>
      <c r="AJ10" s="469" t="str">
        <f>IF(AND('Mapa final'!$K$44="Muy Alta",'Mapa final'!$O$44="Moderado"),CONCATENATE("R",'Mapa final'!$A$44),"")</f>
        <v/>
      </c>
      <c r="AK10" s="469"/>
      <c r="AL10" s="469" t="str">
        <f>IF(AND('Mapa final'!$K$49="Muy Alta",'Mapa final'!$O$49="Moderado"),CONCATENATE("R",'Mapa final'!$A$49),"")</f>
        <v/>
      </c>
      <c r="AM10" s="470"/>
      <c r="AN10" s="468" t="str">
        <f>IF(AND('Mapa final'!$K$34="Muy Alta",'Mapa final'!$O$34="Mayor"),CONCATENATE("R",'Mapa final'!$A$34),"")</f>
        <v/>
      </c>
      <c r="AO10" s="469"/>
      <c r="AP10" s="469" t="str">
        <f>IF(AND('Mapa final'!$K$37="Muy Alta",'Mapa final'!$O$37="Mayor"),CONCATENATE("R",'Mapa final'!$A$37),"")</f>
        <v/>
      </c>
      <c r="AQ10" s="469"/>
      <c r="AR10" s="469" t="str">
        <f>IF(AND('Mapa final'!$K$41="Muy Alta",'Mapa final'!$O$41="Mayor"),CONCATENATE("R",'Mapa final'!$A$41),"")</f>
        <v/>
      </c>
      <c r="AS10" s="469"/>
      <c r="AT10" s="469" t="str">
        <f>IF(AND('Mapa final'!$K$44="Muy Alta",'Mapa final'!$O$44="Mayor"),CONCATENATE("R",'Mapa final'!$A$44),"")</f>
        <v/>
      </c>
      <c r="AU10" s="469"/>
      <c r="AV10" s="469" t="str">
        <f>IF(AND('Mapa final'!$K$49="Muy Alta",'Mapa final'!$O$49="Mayor"),CONCATENATE("R",'Mapa final'!$A$49),"")</f>
        <v/>
      </c>
      <c r="AW10" s="470"/>
      <c r="AX10" s="452" t="str">
        <f>IF(AND('Mapa final'!$K$34="Muy Alta",'Mapa final'!$O$34="Catastrófico"),CONCATENATE("R",'Mapa final'!$A$34),"")</f>
        <v/>
      </c>
      <c r="AY10" s="450"/>
      <c r="AZ10" s="450" t="str">
        <f>IF(AND('Mapa final'!$K$37="Muy Alta",'Mapa final'!$O$37="Catastrófico"),CONCATENATE("R",'Mapa final'!$A$37),"")</f>
        <v/>
      </c>
      <c r="BA10" s="450"/>
      <c r="BB10" s="450" t="str">
        <f>IF(AND('Mapa final'!$K$41="Muy Alta",'Mapa final'!$O$41="Catastrófico"),CONCATENATE("R",'Mapa final'!$A$41),"")</f>
        <v/>
      </c>
      <c r="BC10" s="450"/>
      <c r="BD10" s="450" t="str">
        <f>IF(AND('Mapa final'!$K$44="Muy Alta",'Mapa final'!$O$44="Catastrófico"),CONCATENATE("R",'Mapa final'!$A$44),"")</f>
        <v/>
      </c>
      <c r="BE10" s="450"/>
      <c r="BF10" s="450" t="str">
        <f>IF(AND('Mapa final'!$K$49="Muy Alta",'Mapa final'!$O$49="Catastrófico"),CONCATENATE("R",'Mapa final'!$A$49),"")</f>
        <v/>
      </c>
      <c r="BG10" s="451"/>
      <c r="BH10" s="38"/>
      <c r="BI10" s="38"/>
      <c r="BJ10" s="38"/>
      <c r="BK10" s="38"/>
      <c r="BL10" s="38"/>
      <c r="BM10" s="38"/>
      <c r="BN10" s="38"/>
      <c r="BO10" s="38"/>
      <c r="BP10" s="38"/>
      <c r="BQ10" s="38"/>
      <c r="BR10" s="38"/>
      <c r="BS10" s="38"/>
      <c r="BT10" s="38"/>
      <c r="BU10" s="38"/>
      <c r="BV10" s="38"/>
      <c r="BW10" s="38"/>
      <c r="BX10" s="38"/>
      <c r="BY10" s="38"/>
      <c r="BZ10" s="38"/>
      <c r="CA10" s="38"/>
      <c r="CB10" s="38"/>
      <c r="CC10" s="38"/>
      <c r="CD10" s="38"/>
      <c r="CE10" s="38"/>
      <c r="CF10" s="38"/>
      <c r="CG10" s="38"/>
      <c r="CH10" s="38"/>
      <c r="CI10" s="38"/>
      <c r="CJ10" s="38"/>
      <c r="CK10" s="38"/>
      <c r="CL10" s="38"/>
      <c r="CM10" s="38"/>
      <c r="CN10" s="38"/>
      <c r="CO10" s="38"/>
      <c r="CP10" s="38"/>
      <c r="CQ10" s="38"/>
      <c r="CR10" s="38"/>
      <c r="CS10" s="38"/>
      <c r="CT10" s="38"/>
      <c r="CU10" s="38"/>
      <c r="CV10" s="38"/>
    </row>
    <row r="11" spans="1:119" ht="15" customHeight="1" x14ac:dyDescent="0.3">
      <c r="A11" s="38"/>
      <c r="B11" s="306"/>
      <c r="C11" s="307"/>
      <c r="D11" s="308"/>
      <c r="E11" s="527"/>
      <c r="F11" s="528"/>
      <c r="G11" s="528"/>
      <c r="H11" s="528"/>
      <c r="I11" s="528"/>
      <c r="J11" s="468"/>
      <c r="K11" s="469"/>
      <c r="L11" s="469"/>
      <c r="M11" s="469"/>
      <c r="N11" s="469"/>
      <c r="O11" s="469"/>
      <c r="P11" s="469"/>
      <c r="Q11" s="469"/>
      <c r="R11" s="469"/>
      <c r="S11" s="470"/>
      <c r="T11" s="468"/>
      <c r="U11" s="469"/>
      <c r="V11" s="469"/>
      <c r="W11" s="469"/>
      <c r="X11" s="469"/>
      <c r="Y11" s="469"/>
      <c r="Z11" s="469"/>
      <c r="AA11" s="469"/>
      <c r="AB11" s="469"/>
      <c r="AC11" s="470"/>
      <c r="AD11" s="468"/>
      <c r="AE11" s="469"/>
      <c r="AF11" s="469"/>
      <c r="AG11" s="469"/>
      <c r="AH11" s="469"/>
      <c r="AI11" s="469"/>
      <c r="AJ11" s="469"/>
      <c r="AK11" s="469"/>
      <c r="AL11" s="469"/>
      <c r="AM11" s="470"/>
      <c r="AN11" s="468"/>
      <c r="AO11" s="469"/>
      <c r="AP11" s="469"/>
      <c r="AQ11" s="469"/>
      <c r="AR11" s="469"/>
      <c r="AS11" s="469"/>
      <c r="AT11" s="469"/>
      <c r="AU11" s="469"/>
      <c r="AV11" s="469"/>
      <c r="AW11" s="470"/>
      <c r="AX11" s="452"/>
      <c r="AY11" s="450"/>
      <c r="AZ11" s="450"/>
      <c r="BA11" s="450"/>
      <c r="BB11" s="450"/>
      <c r="BC11" s="450"/>
      <c r="BD11" s="450"/>
      <c r="BE11" s="450"/>
      <c r="BF11" s="450"/>
      <c r="BG11" s="451"/>
      <c r="BH11" s="38"/>
      <c r="BI11" s="38"/>
      <c r="BJ11" s="38"/>
      <c r="BK11" s="38"/>
      <c r="BL11" s="38"/>
      <c r="BM11" s="38"/>
      <c r="BN11" s="38"/>
      <c r="BO11" s="38"/>
      <c r="BP11" s="38"/>
      <c r="BQ11" s="38"/>
      <c r="BR11" s="38"/>
      <c r="BS11" s="38"/>
      <c r="BT11" s="38"/>
      <c r="BU11" s="38"/>
      <c r="BV11" s="38"/>
      <c r="BW11" s="38"/>
      <c r="BX11" s="38"/>
      <c r="BY11" s="38"/>
      <c r="BZ11" s="38"/>
      <c r="CA11" s="38"/>
      <c r="CB11" s="38"/>
      <c r="CC11" s="38"/>
      <c r="CD11" s="38"/>
      <c r="CE11" s="38"/>
      <c r="CF11" s="38"/>
      <c r="CG11" s="38"/>
      <c r="CH11" s="38"/>
      <c r="CI11" s="38"/>
      <c r="CJ11" s="38"/>
      <c r="CK11" s="38"/>
      <c r="CL11" s="38"/>
      <c r="CM11" s="38"/>
      <c r="CN11" s="38"/>
      <c r="CO11" s="38"/>
      <c r="CP11" s="38"/>
      <c r="CQ11" s="38"/>
      <c r="CR11" s="38"/>
      <c r="CS11" s="38"/>
      <c r="CT11" s="38"/>
      <c r="CU11" s="38"/>
      <c r="CV11" s="38"/>
      <c r="CW11" s="38"/>
      <c r="CX11" s="38"/>
      <c r="CY11" s="38"/>
      <c r="CZ11" s="38"/>
      <c r="DA11" s="38"/>
      <c r="DB11" s="38"/>
    </row>
    <row r="12" spans="1:119" ht="15" customHeight="1" x14ac:dyDescent="0.3">
      <c r="A12" s="38"/>
      <c r="B12" s="306"/>
      <c r="C12" s="307"/>
      <c r="D12" s="308"/>
      <c r="E12" s="527"/>
      <c r="F12" s="528"/>
      <c r="G12" s="528"/>
      <c r="H12" s="528"/>
      <c r="I12" s="528"/>
      <c r="J12" s="468" t="str">
        <f>IF(AND('Mapa final'!$K$52="Muy Alta",'Mapa final'!$O$52="Leve"),CONCATENATE("R",'Mapa final'!$A$52),"")</f>
        <v/>
      </c>
      <c r="K12" s="469"/>
      <c r="L12" s="469" t="str">
        <f>IF(AND('Mapa final'!$K$55="Muy Alta",'Mapa final'!$O$55="Leve"),CONCATENATE("R",'Mapa final'!$A$55),"")</f>
        <v/>
      </c>
      <c r="M12" s="469"/>
      <c r="N12" s="469" t="str">
        <f>IF(AND('Mapa final'!$K$58="Muy Alta",'Mapa final'!$O$58="Leve"),CONCATENATE("R",'Mapa final'!$A$58),"")</f>
        <v/>
      </c>
      <c r="O12" s="469"/>
      <c r="P12" s="469" t="str">
        <f>IF(AND('Mapa final'!$K$61="Muy Alta",'Mapa final'!$O$61="Leve"),CONCATENATE("R",'Mapa final'!$A$61),"")</f>
        <v/>
      </c>
      <c r="Q12" s="469"/>
      <c r="R12" s="469" t="str">
        <f>IF(AND('Mapa final'!$K$64="Muy Alta",'Mapa final'!$O$64="Leve"),CONCATENATE("R",'Mapa final'!$A$64),"")</f>
        <v/>
      </c>
      <c r="S12" s="470"/>
      <c r="T12" s="468" t="str">
        <f>IF(AND('Mapa final'!$K$52="Muy Alta",'Mapa final'!$O$52="Menor"),CONCATENATE("R",'Mapa final'!$A$52),"")</f>
        <v/>
      </c>
      <c r="U12" s="469"/>
      <c r="V12" s="469" t="str">
        <f>IF(AND('Mapa final'!$K$55="Muy Alta",'Mapa final'!$O$55="Menor"),CONCATENATE("R",'Mapa final'!$A$55),"")</f>
        <v/>
      </c>
      <c r="W12" s="469"/>
      <c r="X12" s="469" t="str">
        <f>IF(AND('Mapa final'!$K$58="Muy Alta",'Mapa final'!$O$58="Menor"),CONCATENATE("R",'Mapa final'!$A$58),"")</f>
        <v/>
      </c>
      <c r="Y12" s="469"/>
      <c r="Z12" s="469" t="str">
        <f>IF(AND('Mapa final'!$K$61="Muy Alta",'Mapa final'!$O$61="Menor"),CONCATENATE("R",'Mapa final'!$A$61),"")</f>
        <v/>
      </c>
      <c r="AA12" s="469"/>
      <c r="AB12" s="469" t="str">
        <f>IF(AND('Mapa final'!$K$64="Muy Alta",'Mapa final'!$O$64="Menor"),CONCATENATE("R",'Mapa final'!$A$64),"")</f>
        <v/>
      </c>
      <c r="AC12" s="470"/>
      <c r="AD12" s="468" t="str">
        <f>IF(AND('Mapa final'!$K$52="Muy Alta",'Mapa final'!$O$52="Moderado"),CONCATENATE("R",'Mapa final'!$A$52),"")</f>
        <v/>
      </c>
      <c r="AE12" s="469"/>
      <c r="AF12" s="469" t="str">
        <f>IF(AND('Mapa final'!$K$55="Muy Alta",'Mapa final'!$O$55="Moderado"),CONCATENATE("R",'Mapa final'!$A$55),"")</f>
        <v/>
      </c>
      <c r="AG12" s="469"/>
      <c r="AH12" s="469" t="str">
        <f>IF(AND('Mapa final'!$K$58="Muy Alta",'Mapa final'!$O$58="Moderado"),CONCATENATE("R",'Mapa final'!$A$58),"")</f>
        <v/>
      </c>
      <c r="AI12" s="469"/>
      <c r="AJ12" s="469" t="str">
        <f>IF(AND('Mapa final'!$K$61="Muy Alta",'Mapa final'!$O$61="Moderado"),CONCATENATE("R",'Mapa final'!$A$61),"")</f>
        <v/>
      </c>
      <c r="AK12" s="469"/>
      <c r="AL12" s="469" t="str">
        <f>IF(AND('Mapa final'!$K$64="Muy Alta",'Mapa final'!$O$64="Moderado"),CONCATENATE("R",'Mapa final'!$A$64),"")</f>
        <v/>
      </c>
      <c r="AM12" s="470"/>
      <c r="AN12" s="468" t="str">
        <f>IF(AND('Mapa final'!$K$52="Muy Alta",'Mapa final'!$O$52="Mayor"),CONCATENATE("R",'Mapa final'!$A$52),"")</f>
        <v/>
      </c>
      <c r="AO12" s="469"/>
      <c r="AP12" s="469" t="str">
        <f>IF(AND('Mapa final'!$K$55="Muy Alta",'Mapa final'!$O$55="Mayor"),CONCATENATE("R",'Mapa final'!$A$55),"")</f>
        <v/>
      </c>
      <c r="AQ12" s="469"/>
      <c r="AR12" s="469" t="str">
        <f>IF(AND('Mapa final'!$K$58="Muy Alta",'Mapa final'!$O$58="Mayor"),CONCATENATE("R",'Mapa final'!$A$58),"")</f>
        <v/>
      </c>
      <c r="AS12" s="469"/>
      <c r="AT12" s="469" t="str">
        <f>IF(AND('Mapa final'!$K$61="Muy Alta",'Mapa final'!$O$61="Mayor"),CONCATENATE("R",'Mapa final'!$A$61),"")</f>
        <v/>
      </c>
      <c r="AU12" s="469"/>
      <c r="AV12" s="469" t="str">
        <f>IF(AND('Mapa final'!$K$64="Muy Alta",'Mapa final'!$O$64="Mayor"),CONCATENATE("R",'Mapa final'!$A$64),"")</f>
        <v/>
      </c>
      <c r="AW12" s="470"/>
      <c r="AX12" s="452" t="str">
        <f>IF(AND('Mapa final'!$K$52="Muy Alta",'Mapa final'!$O$52="Catastrófico"),CONCATENATE("R",'Mapa final'!$A$52),"")</f>
        <v/>
      </c>
      <c r="AY12" s="450"/>
      <c r="AZ12" s="450" t="str">
        <f>IF(AND('Mapa final'!$K$55="Muy Alta",'Mapa final'!$O$55="Catastrófico"),CONCATENATE("R",'Mapa final'!$A$55),"")</f>
        <v/>
      </c>
      <c r="BA12" s="450"/>
      <c r="BB12" s="450" t="str">
        <f>IF(AND('Mapa final'!$K$58="Muy Alta",'Mapa final'!$O$58="Catastrófico"),CONCATENATE("R",'Mapa final'!$A$58),"")</f>
        <v/>
      </c>
      <c r="BC12" s="450"/>
      <c r="BD12" s="450" t="str">
        <f>IF(AND('Mapa final'!$K$61="Muy Alta",'Mapa final'!$O$61="Catastrófico"),CONCATENATE("R",'Mapa final'!$A$61),"")</f>
        <v/>
      </c>
      <c r="BE12" s="450"/>
      <c r="BF12" s="450" t="str">
        <f>IF(AND('Mapa final'!$K$64="Muy Alta",'Mapa final'!$O$64="Catastrófico"),CONCATENATE("R",'Mapa final'!$A$64),"")</f>
        <v/>
      </c>
      <c r="BG12" s="451"/>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row>
    <row r="13" spans="1:119" ht="15" customHeight="1" thickBot="1" x14ac:dyDescent="0.35">
      <c r="A13" s="38"/>
      <c r="B13" s="306"/>
      <c r="C13" s="307"/>
      <c r="D13" s="308"/>
      <c r="E13" s="527"/>
      <c r="F13" s="528"/>
      <c r="G13" s="528"/>
      <c r="H13" s="528"/>
      <c r="I13" s="528"/>
      <c r="J13" s="468"/>
      <c r="K13" s="469"/>
      <c r="L13" s="469"/>
      <c r="M13" s="469"/>
      <c r="N13" s="469"/>
      <c r="O13" s="469"/>
      <c r="P13" s="469"/>
      <c r="Q13" s="469"/>
      <c r="R13" s="469"/>
      <c r="S13" s="470"/>
      <c r="T13" s="468"/>
      <c r="U13" s="469"/>
      <c r="V13" s="469"/>
      <c r="W13" s="469"/>
      <c r="X13" s="469"/>
      <c r="Y13" s="469"/>
      <c r="Z13" s="469"/>
      <c r="AA13" s="469"/>
      <c r="AB13" s="469"/>
      <c r="AC13" s="470"/>
      <c r="AD13" s="468"/>
      <c r="AE13" s="469"/>
      <c r="AF13" s="469"/>
      <c r="AG13" s="469"/>
      <c r="AH13" s="469"/>
      <c r="AI13" s="469"/>
      <c r="AJ13" s="469"/>
      <c r="AK13" s="469"/>
      <c r="AL13" s="469"/>
      <c r="AM13" s="470"/>
      <c r="AN13" s="468"/>
      <c r="AO13" s="469"/>
      <c r="AP13" s="469"/>
      <c r="AQ13" s="469"/>
      <c r="AR13" s="469"/>
      <c r="AS13" s="469"/>
      <c r="AT13" s="469"/>
      <c r="AU13" s="469"/>
      <c r="AV13" s="469"/>
      <c r="AW13" s="470"/>
      <c r="AX13" s="452"/>
      <c r="AY13" s="450"/>
      <c r="AZ13" s="450"/>
      <c r="BA13" s="450"/>
      <c r="BB13" s="450"/>
      <c r="BC13" s="450"/>
      <c r="BD13" s="450"/>
      <c r="BE13" s="450"/>
      <c r="BF13" s="450"/>
      <c r="BG13" s="451"/>
      <c r="BH13" s="38"/>
      <c r="BI13" s="38"/>
      <c r="BJ13" s="38"/>
      <c r="BK13" s="38"/>
      <c r="BL13" s="38"/>
      <c r="BM13" s="38"/>
      <c r="BN13" s="38"/>
      <c r="BO13" s="38"/>
      <c r="BP13" s="38"/>
      <c r="BQ13" s="38"/>
      <c r="BR13" s="38"/>
      <c r="BS13" s="38"/>
      <c r="BT13" s="38"/>
      <c r="BU13" s="38"/>
      <c r="BV13" s="38"/>
      <c r="BW13" s="38"/>
      <c r="BX13" s="38"/>
      <c r="BY13" s="38"/>
      <c r="BZ13" s="38"/>
      <c r="CA13" s="38"/>
      <c r="CB13" s="38"/>
      <c r="CC13" s="38"/>
      <c r="CD13" s="38"/>
      <c r="CE13" s="38"/>
      <c r="CF13" s="38"/>
      <c r="CG13" s="38"/>
      <c r="CH13" s="38"/>
      <c r="CI13" s="38"/>
      <c r="CJ13" s="38"/>
      <c r="CK13" s="38"/>
      <c r="CL13" s="38"/>
      <c r="CM13" s="38"/>
      <c r="CN13" s="38"/>
      <c r="CO13" s="38"/>
      <c r="CP13" s="38"/>
      <c r="CQ13" s="38"/>
      <c r="CR13" s="38"/>
      <c r="CS13" s="38"/>
      <c r="CT13" s="38"/>
      <c r="CU13" s="38"/>
      <c r="CV13" s="38"/>
    </row>
    <row r="14" spans="1:119" ht="15" customHeight="1" x14ac:dyDescent="0.3">
      <c r="A14" s="38"/>
      <c r="B14" s="306"/>
      <c r="C14" s="307"/>
      <c r="D14" s="308"/>
      <c r="E14" s="527"/>
      <c r="F14" s="528"/>
      <c r="G14" s="528"/>
      <c r="H14" s="528"/>
      <c r="I14" s="528"/>
      <c r="J14" s="468" t="str">
        <f>IF(AND('Mapa final'!$K$67="Muy Alta",'Mapa final'!$O$67="Leve"),CONCATENATE("R",'Mapa final'!$A$67),"")</f>
        <v/>
      </c>
      <c r="K14" s="469"/>
      <c r="L14" s="469" t="str">
        <f>IF(AND('Mapa final'!$K$70="Muy Alta",'Mapa final'!$O$70="Leve"),CONCATENATE("R",'Mapa final'!$A$70),"")</f>
        <v/>
      </c>
      <c r="M14" s="469"/>
      <c r="N14" s="469" t="str">
        <f>IF(AND('Mapa final'!$K$73="Muy Alta",'Mapa final'!$O$73="Leve"),CONCATENATE("R",'Mapa final'!$A$73),"")</f>
        <v/>
      </c>
      <c r="O14" s="469"/>
      <c r="P14" s="469" t="str">
        <f>IF(AND('Mapa final'!$K$76="Muy Alta",'Mapa final'!$O$76="Leve"),CONCATENATE("R",'Mapa final'!$A$76),"")</f>
        <v/>
      </c>
      <c r="Q14" s="469"/>
      <c r="R14" s="469" t="str">
        <f>IF(AND('Mapa final'!$K$79="Muy Alta",'Mapa final'!$O$79="Leve"),CONCATENATE("R",'Mapa final'!$A$79),"")</f>
        <v/>
      </c>
      <c r="S14" s="470"/>
      <c r="T14" s="468" t="str">
        <f>IF(AND('Mapa final'!$K$67="Muy Alta",'Mapa final'!$O$67="Menor"),CONCATENATE("R",'Mapa final'!$A$67),"")</f>
        <v/>
      </c>
      <c r="U14" s="469"/>
      <c r="V14" s="469" t="str">
        <f>IF(AND('Mapa final'!$K$70="Muy Alta",'Mapa final'!$O$70="Menor"),CONCATENATE("R",'Mapa final'!$A$70),"")</f>
        <v/>
      </c>
      <c r="W14" s="469"/>
      <c r="X14" s="469" t="str">
        <f>IF(AND('Mapa final'!$K$73="Muy Alta",'Mapa final'!$O$73="Menor"),CONCATENATE("R",'Mapa final'!$A$73),"")</f>
        <v/>
      </c>
      <c r="Y14" s="469"/>
      <c r="Z14" s="469" t="str">
        <f>IF(AND('Mapa final'!$K$76="Muy Alta",'Mapa final'!$O$76="Menor"),CONCATENATE("R",'Mapa final'!$A$76),"")</f>
        <v/>
      </c>
      <c r="AA14" s="469"/>
      <c r="AB14" s="469" t="str">
        <f>IF(AND('Mapa final'!$K$79="Muy Alta",'Mapa final'!$O$79="Menor"),CONCATENATE("R",'Mapa final'!$A$79),"")</f>
        <v/>
      </c>
      <c r="AC14" s="470"/>
      <c r="AD14" s="468" t="str">
        <f>IF(AND('Mapa final'!$K$67="Muy Alta",'Mapa final'!$O$67="Moderado"),CONCATENATE("R",'Mapa final'!$A$67),"")</f>
        <v/>
      </c>
      <c r="AE14" s="469"/>
      <c r="AF14" s="469" t="str">
        <f>IF(AND('Mapa final'!$K$70="Muy Alta",'Mapa final'!$O$70="Moderado"),CONCATENATE("R",'Mapa final'!$A$70),"")</f>
        <v/>
      </c>
      <c r="AG14" s="469"/>
      <c r="AH14" s="469" t="str">
        <f>IF(AND('Mapa final'!$K$73="Muy Alta",'Mapa final'!$O$73="Moderado"),CONCATENATE("R",'Mapa final'!$A$73),"")</f>
        <v/>
      </c>
      <c r="AI14" s="469"/>
      <c r="AJ14" s="469" t="str">
        <f>IF(AND('Mapa final'!$K$76="Muy Alta",'Mapa final'!$O$76="Moderado"),CONCATENATE("R",'Mapa final'!$A$76),"")</f>
        <v/>
      </c>
      <c r="AK14" s="469"/>
      <c r="AL14" s="469" t="str">
        <f>IF(AND('Mapa final'!$K$79="Muy Alta",'Mapa final'!$O$79="Moderado"),CONCATENATE("R",'Mapa final'!$A$79),"")</f>
        <v/>
      </c>
      <c r="AM14" s="470"/>
      <c r="AN14" s="468" t="str">
        <f>IF(AND('Mapa final'!$K$67="Muy Alta",'Mapa final'!$O$67="Mayor"),CONCATENATE("R",'Mapa final'!$A$67),"")</f>
        <v/>
      </c>
      <c r="AO14" s="469"/>
      <c r="AP14" s="469" t="str">
        <f>IF(AND('Mapa final'!$K$70="Muy Alta",'Mapa final'!$O$70="Mayor"),CONCATENATE("R",'Mapa final'!$A$70),"")</f>
        <v/>
      </c>
      <c r="AQ14" s="469"/>
      <c r="AR14" s="469" t="str">
        <f>IF(AND('Mapa final'!$K$73="Muy Alta",'Mapa final'!$O$73="Mayor"),CONCATENATE("R",'Mapa final'!$A$73),"")</f>
        <v/>
      </c>
      <c r="AS14" s="469"/>
      <c r="AT14" s="469" t="str">
        <f>IF(AND('Mapa final'!$K$76="Muy Alta",'Mapa final'!$O$76="Mayor"),CONCATENATE("R",'Mapa final'!$A$76),"")</f>
        <v/>
      </c>
      <c r="AU14" s="469"/>
      <c r="AV14" s="469" t="str">
        <f>IF(AND('Mapa final'!$K$79="Muy Alta",'Mapa final'!$O$79="Mayor"),CONCATENATE("R",'Mapa final'!$A$79),"")</f>
        <v/>
      </c>
      <c r="AW14" s="470"/>
      <c r="AX14" s="452" t="str">
        <f>IF(AND('Mapa final'!$K$67="Muy Alta",'Mapa final'!$O$67="Catastrófico"),CONCATENATE("R",'Mapa final'!$A$67),"")</f>
        <v/>
      </c>
      <c r="AY14" s="450"/>
      <c r="AZ14" s="450" t="str">
        <f>IF(AND('Mapa final'!$K$70="Muy Alta",'Mapa final'!$O$70="Catastrófico"),CONCATENATE("R",'Mapa final'!$A$70),"")</f>
        <v/>
      </c>
      <c r="BA14" s="450"/>
      <c r="BB14" s="450" t="str">
        <f>IF(AND('Mapa final'!$K$73="Muy Alta",'Mapa final'!$O$73="Catastrófico"),CONCATENATE("R",'Mapa final'!$A$73),"")</f>
        <v/>
      </c>
      <c r="BC14" s="450"/>
      <c r="BD14" s="450" t="str">
        <f>IF(AND('Mapa final'!$K$76="Muy Alta",'Mapa final'!$O$76="Catastrófico"),CONCATENATE("R",'Mapa final'!$A$76),"")</f>
        <v/>
      </c>
      <c r="BE14" s="450"/>
      <c r="BF14" s="450" t="str">
        <f>IF(AND('Mapa final'!$K$79="Muy Alta",'Mapa final'!$O$79="Catastrófico"),CONCATENATE("R",'Mapa final'!$A$79),"")</f>
        <v/>
      </c>
      <c r="BG14" s="451"/>
      <c r="BH14" s="38"/>
      <c r="BI14" s="489" t="s">
        <v>73</v>
      </c>
      <c r="BJ14" s="490"/>
      <c r="BK14" s="490"/>
      <c r="BL14" s="490"/>
      <c r="BM14" s="490"/>
      <c r="BN14" s="491"/>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row>
    <row r="15" spans="1:119" ht="15" customHeight="1" x14ac:dyDescent="0.3">
      <c r="A15" s="38"/>
      <c r="B15" s="306"/>
      <c r="C15" s="307"/>
      <c r="D15" s="308"/>
      <c r="E15" s="527"/>
      <c r="F15" s="528"/>
      <c r="G15" s="528"/>
      <c r="H15" s="528"/>
      <c r="I15" s="528"/>
      <c r="J15" s="468"/>
      <c r="K15" s="469"/>
      <c r="L15" s="469"/>
      <c r="M15" s="469"/>
      <c r="N15" s="469"/>
      <c r="O15" s="469"/>
      <c r="P15" s="469"/>
      <c r="Q15" s="469"/>
      <c r="R15" s="469"/>
      <c r="S15" s="470"/>
      <c r="T15" s="468"/>
      <c r="U15" s="469"/>
      <c r="V15" s="469"/>
      <c r="W15" s="469"/>
      <c r="X15" s="469"/>
      <c r="Y15" s="469"/>
      <c r="Z15" s="469"/>
      <c r="AA15" s="469"/>
      <c r="AB15" s="469"/>
      <c r="AC15" s="470"/>
      <c r="AD15" s="468"/>
      <c r="AE15" s="469"/>
      <c r="AF15" s="469"/>
      <c r="AG15" s="469"/>
      <c r="AH15" s="469"/>
      <c r="AI15" s="469"/>
      <c r="AJ15" s="469"/>
      <c r="AK15" s="469"/>
      <c r="AL15" s="469"/>
      <c r="AM15" s="470"/>
      <c r="AN15" s="468"/>
      <c r="AO15" s="469"/>
      <c r="AP15" s="469"/>
      <c r="AQ15" s="469"/>
      <c r="AR15" s="469"/>
      <c r="AS15" s="469"/>
      <c r="AT15" s="469"/>
      <c r="AU15" s="469"/>
      <c r="AV15" s="469"/>
      <c r="AW15" s="470"/>
      <c r="AX15" s="452"/>
      <c r="AY15" s="450"/>
      <c r="AZ15" s="450"/>
      <c r="BA15" s="450"/>
      <c r="BB15" s="450"/>
      <c r="BC15" s="450"/>
      <c r="BD15" s="450"/>
      <c r="BE15" s="450"/>
      <c r="BF15" s="450"/>
      <c r="BG15" s="451"/>
      <c r="BH15" s="38"/>
      <c r="BI15" s="492"/>
      <c r="BJ15" s="493"/>
      <c r="BK15" s="493"/>
      <c r="BL15" s="493"/>
      <c r="BM15" s="493"/>
      <c r="BN15" s="494"/>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row>
    <row r="16" spans="1:119" ht="15" customHeight="1" x14ac:dyDescent="0.3">
      <c r="A16" s="38"/>
      <c r="B16" s="306"/>
      <c r="C16" s="307"/>
      <c r="D16" s="308"/>
      <c r="E16" s="527"/>
      <c r="F16" s="528"/>
      <c r="G16" s="528"/>
      <c r="H16" s="528"/>
      <c r="I16" s="528"/>
      <c r="J16" s="468" t="str">
        <f>IF(AND('Mapa final'!$K$82="Muy Alta",'Mapa final'!$O$82="Leve"),CONCATENATE("R",'Mapa final'!$A$82),"")</f>
        <v/>
      </c>
      <c r="K16" s="469"/>
      <c r="L16" s="469" t="str">
        <f>IF(AND('Mapa final'!$K$85="Muy Alta",'Mapa final'!$O$85="Leve"),CONCATENATE("R",'Mapa final'!$A$85),"")</f>
        <v/>
      </c>
      <c r="M16" s="469"/>
      <c r="N16" s="469" t="str">
        <f>IF(AND('Mapa final'!$K$88="Muy Alta",'Mapa final'!$O$88="Leve"),CONCATENATE("R",'Mapa final'!$A$88),"")</f>
        <v/>
      </c>
      <c r="O16" s="469"/>
      <c r="P16" s="469" t="str">
        <f>IF(AND('Mapa final'!$K$91="Muy Alta",'Mapa final'!$O$91="Leve"),CONCATENATE("R",'Mapa final'!$A$91),"")</f>
        <v/>
      </c>
      <c r="Q16" s="469"/>
      <c r="R16" s="469" t="str">
        <f>IF(AND('Mapa final'!$K$94="Muy Alta",'Mapa final'!$O$94="Leve"),CONCATENATE("R",'Mapa final'!$A$94),"")</f>
        <v/>
      </c>
      <c r="S16" s="470"/>
      <c r="T16" s="468" t="str">
        <f>IF(AND('Mapa final'!$K$82="Muy Alta",'Mapa final'!$O$82="Menor"),CONCATENATE("R",'Mapa final'!$A$82),"")</f>
        <v/>
      </c>
      <c r="U16" s="469"/>
      <c r="V16" s="469" t="str">
        <f>IF(AND('Mapa final'!$K$85="Muy Alta",'Mapa final'!$O$85="Menor"),CONCATENATE("R",'Mapa final'!$A$85),"")</f>
        <v/>
      </c>
      <c r="W16" s="469"/>
      <c r="X16" s="469" t="str">
        <f>IF(AND('Mapa final'!$K$88="Muy Alta",'Mapa final'!$O$88="Menor"),CONCATENATE("R",'Mapa final'!$A$88),"")</f>
        <v/>
      </c>
      <c r="Y16" s="469"/>
      <c r="Z16" s="469" t="str">
        <f>IF(AND('Mapa final'!$K$91="Muy Alta",'Mapa final'!$O$91="Menor"),CONCATENATE("R",'Mapa final'!$A$91),"")</f>
        <v/>
      </c>
      <c r="AA16" s="469"/>
      <c r="AB16" s="469" t="str">
        <f>IF(AND('Mapa final'!$K$94="Muy Alta",'Mapa final'!$O$94="Menor"),CONCATENATE("R",'Mapa final'!$A$94),"")</f>
        <v/>
      </c>
      <c r="AC16" s="470"/>
      <c r="AD16" s="468" t="str">
        <f>IF(AND('Mapa final'!$K$82="Muy Alta",'Mapa final'!$O$82="Moderado"),CONCATENATE("R",'Mapa final'!$A$82),"")</f>
        <v/>
      </c>
      <c r="AE16" s="469"/>
      <c r="AF16" s="469" t="str">
        <f>IF(AND('Mapa final'!$K$85="Muy Alta",'Mapa final'!$O$85="Moderado"),CONCATENATE("R",'Mapa final'!$A$85),"")</f>
        <v/>
      </c>
      <c r="AG16" s="469"/>
      <c r="AH16" s="469" t="str">
        <f>IF(AND('Mapa final'!$K$88="Muy Alta",'Mapa final'!$O$88="Moderado"),CONCATENATE("R",'Mapa final'!$A$88),"")</f>
        <v/>
      </c>
      <c r="AI16" s="469"/>
      <c r="AJ16" s="469" t="str">
        <f>IF(AND('Mapa final'!$K$91="Muy Alta",'Mapa final'!$O$91="Moderado"),CONCATENATE("R",'Mapa final'!$A$91),"")</f>
        <v/>
      </c>
      <c r="AK16" s="469"/>
      <c r="AL16" s="469" t="str">
        <f>IF(AND('Mapa final'!$K$94="Muy Alta",'Mapa final'!$O$94="Moderado"),CONCATENATE("R",'Mapa final'!$A$94),"")</f>
        <v/>
      </c>
      <c r="AM16" s="470"/>
      <c r="AN16" s="468" t="str">
        <f>IF(AND('Mapa final'!$K$82="Muy Alta",'Mapa final'!$O$82="Mayor"),CONCATENATE("R",'Mapa final'!$A$82),"")</f>
        <v/>
      </c>
      <c r="AO16" s="469"/>
      <c r="AP16" s="469" t="str">
        <f>IF(AND('Mapa final'!$K$85="Muy Alta",'Mapa final'!$O$85="Mayor"),CONCATENATE("R",'Mapa final'!$A$85),"")</f>
        <v/>
      </c>
      <c r="AQ16" s="469"/>
      <c r="AR16" s="469" t="str">
        <f>IF(AND('Mapa final'!$K$88="Muy Alta",'Mapa final'!$O$88="Mayor"),CONCATENATE("R",'Mapa final'!$A$88),"")</f>
        <v/>
      </c>
      <c r="AS16" s="469"/>
      <c r="AT16" s="469" t="str">
        <f>IF(AND('Mapa final'!$K$91="Muy Alta",'Mapa final'!$O$91="Mayor"),CONCATENATE("R",'Mapa final'!$A$91),"")</f>
        <v/>
      </c>
      <c r="AU16" s="469"/>
      <c r="AV16" s="469" t="str">
        <f>IF(AND('Mapa final'!$K$94="Muy Alta",'Mapa final'!$O$94="Mayor"),CONCATENATE("R",'Mapa final'!$A$94),"")</f>
        <v/>
      </c>
      <c r="AW16" s="470"/>
      <c r="AX16" s="452" t="str">
        <f>IF(AND('Mapa final'!$K$82="Muy Alta",'Mapa final'!$O$82="Catastrófico"),CONCATENATE("R",'Mapa final'!$A$82),"")</f>
        <v/>
      </c>
      <c r="AY16" s="450"/>
      <c r="AZ16" s="450" t="str">
        <f>IF(AND('Mapa final'!$K$85="Muy Alta",'Mapa final'!$O$85="Catastrófico"),CONCATENATE("R",'Mapa final'!$A$85),"")</f>
        <v/>
      </c>
      <c r="BA16" s="450"/>
      <c r="BB16" s="450" t="str">
        <f>IF(AND('Mapa final'!$K$88="Muy Alta",'Mapa final'!$O$88="Catastrófico"),CONCATENATE("R",'Mapa final'!$A$88),"")</f>
        <v/>
      </c>
      <c r="BC16" s="450"/>
      <c r="BD16" s="450" t="str">
        <f>IF(AND('Mapa final'!$K$91="Muy Alta",'Mapa final'!$O$91="Catastrófico"),CONCATENATE("R",'Mapa final'!$A$91),"")</f>
        <v/>
      </c>
      <c r="BE16" s="450"/>
      <c r="BF16" s="450" t="str">
        <f>IF(AND('Mapa final'!$K$94="Muy Alta",'Mapa final'!$O$94="Catastrófico"),CONCATENATE("R",'Mapa final'!$A$94),"")</f>
        <v/>
      </c>
      <c r="BG16" s="451"/>
      <c r="BH16" s="38"/>
      <c r="BI16" s="492"/>
      <c r="BJ16" s="493"/>
      <c r="BK16" s="493"/>
      <c r="BL16" s="493"/>
      <c r="BM16" s="493"/>
      <c r="BN16" s="494"/>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row>
    <row r="17" spans="1:100" ht="15" customHeight="1" x14ac:dyDescent="0.3">
      <c r="A17" s="38"/>
      <c r="B17" s="306"/>
      <c r="C17" s="307"/>
      <c r="D17" s="308"/>
      <c r="E17" s="527"/>
      <c r="F17" s="528"/>
      <c r="G17" s="528"/>
      <c r="H17" s="528"/>
      <c r="I17" s="528"/>
      <c r="J17" s="468"/>
      <c r="K17" s="469"/>
      <c r="L17" s="469"/>
      <c r="M17" s="469"/>
      <c r="N17" s="469"/>
      <c r="O17" s="469"/>
      <c r="P17" s="469"/>
      <c r="Q17" s="469"/>
      <c r="R17" s="469"/>
      <c r="S17" s="470"/>
      <c r="T17" s="468"/>
      <c r="U17" s="469"/>
      <c r="V17" s="469"/>
      <c r="W17" s="469"/>
      <c r="X17" s="469"/>
      <c r="Y17" s="469"/>
      <c r="Z17" s="469"/>
      <c r="AA17" s="469"/>
      <c r="AB17" s="469"/>
      <c r="AC17" s="470"/>
      <c r="AD17" s="468"/>
      <c r="AE17" s="469"/>
      <c r="AF17" s="469"/>
      <c r="AG17" s="469"/>
      <c r="AH17" s="469"/>
      <c r="AI17" s="469"/>
      <c r="AJ17" s="469"/>
      <c r="AK17" s="469"/>
      <c r="AL17" s="469"/>
      <c r="AM17" s="470"/>
      <c r="AN17" s="468"/>
      <c r="AO17" s="469"/>
      <c r="AP17" s="469"/>
      <c r="AQ17" s="469"/>
      <c r="AR17" s="469"/>
      <c r="AS17" s="469"/>
      <c r="AT17" s="469"/>
      <c r="AU17" s="469"/>
      <c r="AV17" s="469"/>
      <c r="AW17" s="470"/>
      <c r="AX17" s="452"/>
      <c r="AY17" s="450"/>
      <c r="AZ17" s="450"/>
      <c r="BA17" s="450"/>
      <c r="BB17" s="450"/>
      <c r="BC17" s="450"/>
      <c r="BD17" s="450"/>
      <c r="BE17" s="450"/>
      <c r="BF17" s="450"/>
      <c r="BG17" s="451"/>
      <c r="BH17" s="38"/>
      <c r="BI17" s="492"/>
      <c r="BJ17" s="493"/>
      <c r="BK17" s="493"/>
      <c r="BL17" s="493"/>
      <c r="BM17" s="493"/>
      <c r="BN17" s="494"/>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c r="CQ17" s="38"/>
      <c r="CR17" s="38"/>
      <c r="CS17" s="38"/>
      <c r="CT17" s="38"/>
      <c r="CU17" s="38"/>
      <c r="CV17" s="38"/>
    </row>
    <row r="18" spans="1:100" ht="15" customHeight="1" x14ac:dyDescent="0.3">
      <c r="A18" s="38"/>
      <c r="B18" s="306"/>
      <c r="C18" s="307"/>
      <c r="D18" s="308"/>
      <c r="E18" s="527"/>
      <c r="F18" s="528"/>
      <c r="G18" s="528"/>
      <c r="H18" s="528"/>
      <c r="I18" s="528"/>
      <c r="J18" s="468" t="str">
        <f>IF(AND('Mapa final'!$K$97="Muy Alta",'Mapa final'!$O$97="Leve"),CONCATENATE("R",'Mapa final'!$A$97),"")</f>
        <v/>
      </c>
      <c r="K18" s="469"/>
      <c r="L18" s="469" t="str">
        <f>IF(AND('Mapa final'!$K$100="Muy Alta",'Mapa final'!$O$100="Leve"),CONCATENATE("R",'Mapa final'!$A$100),"")</f>
        <v/>
      </c>
      <c r="M18" s="469"/>
      <c r="N18" s="469" t="str">
        <f>IF(AND('Mapa final'!$K$103="Muy Alta",'Mapa final'!$O$103="Leve"),CONCATENATE("R",'Mapa final'!$A$103),"")</f>
        <v/>
      </c>
      <c r="O18" s="469"/>
      <c r="P18" s="469" t="str">
        <f>IF(AND('Mapa final'!$K$106="Muy Alta",'Mapa final'!$O$106="Leve"),CONCATENATE("R",'Mapa final'!$A$106),"")</f>
        <v/>
      </c>
      <c r="Q18" s="469"/>
      <c r="R18" s="469" t="str">
        <f>IF(AND('Mapa final'!$K$109="Muy Alta",'Mapa final'!$O$109="Leve"),CONCATENATE("R",'Mapa final'!$A$109),"")</f>
        <v/>
      </c>
      <c r="S18" s="469"/>
      <c r="T18" s="468" t="str">
        <f>IF(AND('Mapa final'!$K$97="Muy Alta",'Mapa final'!$O$97="Menor"),CONCATENATE("R",'Mapa final'!$A$97),"")</f>
        <v/>
      </c>
      <c r="U18" s="469"/>
      <c r="V18" s="469" t="str">
        <f>IF(AND('Mapa final'!$K$100="Muy Alta",'Mapa final'!$O$100="Menor"),CONCATENATE("R",'Mapa final'!$A$100),"")</f>
        <v/>
      </c>
      <c r="W18" s="469"/>
      <c r="X18" s="469" t="str">
        <f>IF(AND('Mapa final'!$K$103="Muy Alta",'Mapa final'!$O$103="Menor"),CONCATENATE("R",'Mapa final'!$A$103),"")</f>
        <v/>
      </c>
      <c r="Y18" s="469"/>
      <c r="Z18" s="469" t="str">
        <f>IF(AND('Mapa final'!$K$106="Muy Alta",'Mapa final'!$O$106="Menor"),CONCATENATE("R",'Mapa final'!$A$106),"")</f>
        <v/>
      </c>
      <c r="AA18" s="469"/>
      <c r="AB18" s="469" t="str">
        <f>IF(AND('Mapa final'!$K$109="Muy Alta",'Mapa final'!$O$109="Menor"),CONCATENATE("R",'Mapa final'!$A$109),"")</f>
        <v/>
      </c>
      <c r="AC18" s="469"/>
      <c r="AD18" s="468" t="str">
        <f>IF(AND('Mapa final'!$K$97="Muy Alta",'Mapa final'!$O$97="Moderado"),CONCATENATE("R",'Mapa final'!$A$97),"")</f>
        <v/>
      </c>
      <c r="AE18" s="469"/>
      <c r="AF18" s="469" t="str">
        <f>IF(AND('Mapa final'!$K$100="Muy Alta",'Mapa final'!$O$100="Moderado"),CONCATENATE("R",'Mapa final'!$A$100),"")</f>
        <v/>
      </c>
      <c r="AG18" s="469"/>
      <c r="AH18" s="469" t="str">
        <f>IF(AND('Mapa final'!$K$103="Muy Alta",'Mapa final'!$O$103="Moderado"),CONCATENATE("R",'Mapa final'!$A$103),"")</f>
        <v/>
      </c>
      <c r="AI18" s="469"/>
      <c r="AJ18" s="469" t="str">
        <f>IF(AND('Mapa final'!$K$106="Muy Alta",'Mapa final'!$O$106="Moderado"),CONCATENATE("R",'Mapa final'!$A$106),"")</f>
        <v/>
      </c>
      <c r="AK18" s="469"/>
      <c r="AL18" s="469" t="str">
        <f>IF(AND('Mapa final'!$K$109="Muy Alta",'Mapa final'!$O$109="Moderado"),CONCATENATE("R",'Mapa final'!$A$109),"")</f>
        <v/>
      </c>
      <c r="AM18" s="469"/>
      <c r="AN18" s="468" t="str">
        <f>IF(AND('Mapa final'!$K$97="Muy Alta",'Mapa final'!$O$97="Mayor"),CONCATENATE("R",'Mapa final'!$A$97),"")</f>
        <v/>
      </c>
      <c r="AO18" s="469"/>
      <c r="AP18" s="469" t="str">
        <f>IF(AND('Mapa final'!$K$100="Muy Alta",'Mapa final'!$O$100="Mayor"),CONCATENATE("R",'Mapa final'!$A$100),"")</f>
        <v/>
      </c>
      <c r="AQ18" s="469"/>
      <c r="AR18" s="469" t="str">
        <f>IF(AND('Mapa final'!$K$103="Muy Alta",'Mapa final'!$O$103="Mayor"),CONCATENATE("R",'Mapa final'!$A$103),"")</f>
        <v/>
      </c>
      <c r="AS18" s="469"/>
      <c r="AT18" s="469" t="str">
        <f>IF(AND('Mapa final'!$K$106="Muy Alta",'Mapa final'!$O$106="Mayor"),CONCATENATE("R",'Mapa final'!$A$106),"")</f>
        <v/>
      </c>
      <c r="AU18" s="469"/>
      <c r="AV18" s="469" t="str">
        <f>IF(AND('Mapa final'!$K$109="Muy Alta",'Mapa final'!$O$109="Mayor"),CONCATENATE("R",'Mapa final'!$A$109),"")</f>
        <v/>
      </c>
      <c r="AW18" s="469"/>
      <c r="AX18" s="452" t="str">
        <f>IF(AND('Mapa final'!$K$97="Muy Alta",'Mapa final'!$O$97="Catastrófico"),CONCATENATE("R",'Mapa final'!$A$97),"")</f>
        <v/>
      </c>
      <c r="AY18" s="450"/>
      <c r="AZ18" s="450" t="str">
        <f>IF(AND('Mapa final'!$K$100="Muy Alta",'Mapa final'!$O$100="Catastrófico"),CONCATENATE("R",'Mapa final'!$A$100),"")</f>
        <v/>
      </c>
      <c r="BA18" s="450"/>
      <c r="BB18" s="450" t="str">
        <f>IF(AND('Mapa final'!$K$103="Muy Alta",'Mapa final'!$O$103="Catastrófico"),CONCATENATE("R",'Mapa final'!$A$103),"")</f>
        <v/>
      </c>
      <c r="BC18" s="450"/>
      <c r="BD18" s="450" t="str">
        <f>IF(AND('Mapa final'!$K$106="Muy Alta",'Mapa final'!$O$106="Catastrófico"),CONCATENATE("R",'Mapa final'!$A$106),"")</f>
        <v/>
      </c>
      <c r="BE18" s="450"/>
      <c r="BF18" s="450" t="str">
        <f>IF(AND('Mapa final'!$K$109="Muy Alta",'Mapa final'!$O$109="Catastrófico"),CONCATENATE("R",'Mapa final'!$A$109),"")</f>
        <v/>
      </c>
      <c r="BG18" s="451"/>
      <c r="BH18" s="38"/>
      <c r="BI18" s="492"/>
      <c r="BJ18" s="493"/>
      <c r="BK18" s="493"/>
      <c r="BL18" s="493"/>
      <c r="BM18" s="493"/>
      <c r="BN18" s="494"/>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row>
    <row r="19" spans="1:100" ht="15" customHeight="1" x14ac:dyDescent="0.3">
      <c r="A19" s="38"/>
      <c r="B19" s="306"/>
      <c r="C19" s="307"/>
      <c r="D19" s="308"/>
      <c r="E19" s="527"/>
      <c r="F19" s="528"/>
      <c r="G19" s="528"/>
      <c r="H19" s="528"/>
      <c r="I19" s="528"/>
      <c r="J19" s="468"/>
      <c r="K19" s="469"/>
      <c r="L19" s="469"/>
      <c r="M19" s="469"/>
      <c r="N19" s="469"/>
      <c r="O19" s="469"/>
      <c r="P19" s="469"/>
      <c r="Q19" s="469"/>
      <c r="R19" s="469"/>
      <c r="S19" s="469"/>
      <c r="T19" s="468"/>
      <c r="U19" s="469"/>
      <c r="V19" s="469"/>
      <c r="W19" s="469"/>
      <c r="X19" s="469"/>
      <c r="Y19" s="469"/>
      <c r="Z19" s="469"/>
      <c r="AA19" s="469"/>
      <c r="AB19" s="469"/>
      <c r="AC19" s="469"/>
      <c r="AD19" s="468"/>
      <c r="AE19" s="469"/>
      <c r="AF19" s="469"/>
      <c r="AG19" s="469"/>
      <c r="AH19" s="469"/>
      <c r="AI19" s="469"/>
      <c r="AJ19" s="469"/>
      <c r="AK19" s="469"/>
      <c r="AL19" s="469"/>
      <c r="AM19" s="469"/>
      <c r="AN19" s="468"/>
      <c r="AO19" s="469"/>
      <c r="AP19" s="469"/>
      <c r="AQ19" s="469"/>
      <c r="AR19" s="469"/>
      <c r="AS19" s="469"/>
      <c r="AT19" s="469"/>
      <c r="AU19" s="469"/>
      <c r="AV19" s="469"/>
      <c r="AW19" s="469"/>
      <c r="AX19" s="452"/>
      <c r="AY19" s="450"/>
      <c r="AZ19" s="450"/>
      <c r="BA19" s="450"/>
      <c r="BB19" s="450"/>
      <c r="BC19" s="450"/>
      <c r="BD19" s="450"/>
      <c r="BE19" s="450"/>
      <c r="BF19" s="450"/>
      <c r="BG19" s="451"/>
      <c r="BH19" s="38"/>
      <c r="BI19" s="492"/>
      <c r="BJ19" s="493"/>
      <c r="BK19" s="493"/>
      <c r="BL19" s="493"/>
      <c r="BM19" s="493"/>
      <c r="BN19" s="494"/>
      <c r="BO19" s="38"/>
      <c r="BP19" s="38"/>
      <c r="BQ19" s="38"/>
      <c r="BR19" s="38"/>
      <c r="BS19" s="38"/>
      <c r="BT19" s="38"/>
      <c r="BU19" s="38"/>
      <c r="BV19" s="38"/>
      <c r="BW19" s="38"/>
      <c r="BX19" s="38"/>
      <c r="BY19" s="38"/>
      <c r="BZ19" s="38"/>
      <c r="CA19" s="38"/>
      <c r="CB19" s="38"/>
      <c r="CC19" s="38"/>
      <c r="CD19" s="38"/>
      <c r="CE19" s="38"/>
      <c r="CF19" s="38"/>
      <c r="CG19" s="38"/>
      <c r="CH19" s="38"/>
      <c r="CI19" s="38"/>
      <c r="CJ19" s="38"/>
      <c r="CK19" s="38"/>
      <c r="CL19" s="38"/>
      <c r="CM19" s="38"/>
      <c r="CN19" s="38"/>
      <c r="CO19" s="38"/>
      <c r="CP19" s="38"/>
      <c r="CQ19" s="38"/>
      <c r="CR19" s="38"/>
      <c r="CS19" s="38"/>
      <c r="CT19" s="38"/>
      <c r="CU19" s="38"/>
      <c r="CV19" s="38"/>
    </row>
    <row r="20" spans="1:100" ht="15" customHeight="1" x14ac:dyDescent="0.3">
      <c r="A20" s="38"/>
      <c r="B20" s="306"/>
      <c r="C20" s="307"/>
      <c r="D20" s="308"/>
      <c r="E20" s="527"/>
      <c r="F20" s="528"/>
      <c r="G20" s="528"/>
      <c r="H20" s="528"/>
      <c r="I20" s="528"/>
      <c r="J20" s="468" t="str">
        <f>IF(AND('Mapa final'!$K$112="Muy Alta",'Mapa final'!$O$112="Leve"),CONCATENATE("R",'Mapa final'!$A$112),"")</f>
        <v/>
      </c>
      <c r="K20" s="469"/>
      <c r="L20" s="469" t="str">
        <f>IF(AND('Mapa final'!$K$115="Muy Alta",'Mapa final'!$O$115="Leve"),CONCATENATE("R",'Mapa final'!$A$115),"")</f>
        <v/>
      </c>
      <c r="M20" s="469"/>
      <c r="N20" s="469" t="str">
        <f>IF(AND('Mapa final'!$K$118="Muy Alta",'Mapa final'!$O$118="Leve"),CONCATENATE("R",'Mapa final'!$A$118),"")</f>
        <v/>
      </c>
      <c r="O20" s="469"/>
      <c r="P20" s="469" t="str">
        <f>IF(AND('Mapa final'!$K$121="Muy Alta",'Mapa final'!$O$121="Leve"),CONCATENATE("R",'Mapa final'!$A$121),"")</f>
        <v/>
      </c>
      <c r="Q20" s="469"/>
      <c r="R20" s="469" t="str">
        <f>IF(AND('Mapa final'!$K$124="Muy Alta",'Mapa final'!$O$124="Leve"),CONCATENATE("R",'Mapa final'!$A$124),"")</f>
        <v/>
      </c>
      <c r="S20" s="469"/>
      <c r="T20" s="468" t="str">
        <f>IF(AND('Mapa final'!$K$112="Muy Alta",'Mapa final'!$O$112="Menor"),CONCATENATE("R",'Mapa final'!$A$112),"")</f>
        <v/>
      </c>
      <c r="U20" s="469"/>
      <c r="V20" s="469" t="str">
        <f>IF(AND('Mapa final'!$K$115="Muy Alta",'Mapa final'!$O$115="Menor"),CONCATENATE("R",'Mapa final'!$A$115),"")</f>
        <v/>
      </c>
      <c r="W20" s="469"/>
      <c r="X20" s="469" t="str">
        <f>IF(AND('Mapa final'!$K$118="Muy Alta",'Mapa final'!$O$118="Menor"),CONCATENATE("R",'Mapa final'!$A$118),"")</f>
        <v/>
      </c>
      <c r="Y20" s="469"/>
      <c r="Z20" s="469" t="str">
        <f>IF(AND('Mapa final'!$K$121="Muy Alta",'Mapa final'!$O$121="Menor"),CONCATENATE("R",'Mapa final'!$A$121),"")</f>
        <v/>
      </c>
      <c r="AA20" s="469"/>
      <c r="AB20" s="469" t="str">
        <f>IF(AND('Mapa final'!$K$124="Muy Alta",'Mapa final'!$O$124="Menor"),CONCATENATE("R",'Mapa final'!$A$124),"")</f>
        <v/>
      </c>
      <c r="AC20" s="469"/>
      <c r="AD20" s="468" t="str">
        <f>IF(AND('Mapa final'!$K$112="Muy Alta",'Mapa final'!$O$112="Moderado"),CONCATENATE("R",'Mapa final'!$A$112),"")</f>
        <v/>
      </c>
      <c r="AE20" s="469"/>
      <c r="AF20" s="469" t="str">
        <f>IF(AND('Mapa final'!$K$115="Muy Alta",'Mapa final'!$O$115="Moderado"),CONCATENATE("R",'Mapa final'!$A$115),"")</f>
        <v/>
      </c>
      <c r="AG20" s="469"/>
      <c r="AH20" s="469" t="str">
        <f>IF(AND('Mapa final'!$K$118="Muy Alta",'Mapa final'!$O$118="Moderado"),CONCATENATE("R",'Mapa final'!$A$118),"")</f>
        <v/>
      </c>
      <c r="AI20" s="469"/>
      <c r="AJ20" s="469" t="str">
        <f>IF(AND('Mapa final'!$K$121="Muy Alta",'Mapa final'!$O$121="Moderado"),CONCATENATE("R",'Mapa final'!$A$121),"")</f>
        <v/>
      </c>
      <c r="AK20" s="469"/>
      <c r="AL20" s="469" t="str">
        <f>IF(AND('Mapa final'!$K$124="Muy Alta",'Mapa final'!$O$124="Moderado"),CONCATENATE("R",'Mapa final'!$A$124),"")</f>
        <v/>
      </c>
      <c r="AM20" s="469"/>
      <c r="AN20" s="468" t="str">
        <f>IF(AND('Mapa final'!$K$112="Muy Alta",'Mapa final'!$O$112="Mayor"),CONCATENATE("R",'Mapa final'!$A$112),"")</f>
        <v/>
      </c>
      <c r="AO20" s="469"/>
      <c r="AP20" s="469" t="str">
        <f>IF(AND('Mapa final'!$K$115="Muy Alta",'Mapa final'!$O$115="Mayor"),CONCATENATE("R",'Mapa final'!$A$115),"")</f>
        <v/>
      </c>
      <c r="AQ20" s="469"/>
      <c r="AR20" s="469" t="str">
        <f>IF(AND('Mapa final'!$K$118="Muy Alta",'Mapa final'!$O$118="Mayor"),CONCATENATE("R",'Mapa final'!$A$118),"")</f>
        <v/>
      </c>
      <c r="AS20" s="469"/>
      <c r="AT20" s="469" t="str">
        <f>IF(AND('Mapa final'!$K$121="Muy Alta",'Mapa final'!$O$121="Mayor"),CONCATENATE("R",'Mapa final'!$A$121),"")</f>
        <v/>
      </c>
      <c r="AU20" s="469"/>
      <c r="AV20" s="469" t="str">
        <f>IF(AND('Mapa final'!$K$124="Muy Alta",'Mapa final'!$O$124="Mayor"),CONCATENATE("R",'Mapa final'!$A$124),"")</f>
        <v/>
      </c>
      <c r="AW20" s="469"/>
      <c r="AX20" s="452" t="str">
        <f>IF(AND('Mapa final'!$K$112="Muy Alta",'Mapa final'!$O$112="Catastrófico"),CONCATENATE("R",'Mapa final'!$A$112),"")</f>
        <v/>
      </c>
      <c r="AY20" s="450"/>
      <c r="AZ20" s="450" t="str">
        <f>IF(AND('Mapa final'!$K$115="Muy Alta",'Mapa final'!$O$115="Catastrófico"),CONCATENATE("R",'Mapa final'!$A$115),"")</f>
        <v/>
      </c>
      <c r="BA20" s="450"/>
      <c r="BB20" s="450" t="str">
        <f>IF(AND('Mapa final'!$K$118="Muy Alta",'Mapa final'!$O$118="Catastrófico"),CONCATENATE("R",'Mapa final'!$A$118),"")</f>
        <v/>
      </c>
      <c r="BC20" s="450"/>
      <c r="BD20" s="450" t="str">
        <f>IF(AND('Mapa final'!$K$121="Muy Alta",'Mapa final'!$O$121="Catastrófico"),CONCATENATE("R",'Mapa final'!$A$121),"")</f>
        <v/>
      </c>
      <c r="BE20" s="450"/>
      <c r="BF20" s="450" t="str">
        <f>IF(AND('Mapa final'!$K$124="Muy Alta",'Mapa final'!$O$124="Catastrófico"),CONCATENATE("R",'Mapa final'!$A$124),"")</f>
        <v/>
      </c>
      <c r="BG20" s="451"/>
      <c r="BH20" s="38"/>
      <c r="BI20" s="492"/>
      <c r="BJ20" s="493"/>
      <c r="BK20" s="493"/>
      <c r="BL20" s="493"/>
      <c r="BM20" s="493"/>
      <c r="BN20" s="494"/>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8"/>
      <c r="CN20" s="38"/>
      <c r="CO20" s="38"/>
      <c r="CP20" s="38"/>
      <c r="CQ20" s="38"/>
      <c r="CR20" s="38"/>
      <c r="CS20" s="38"/>
      <c r="CT20" s="38"/>
      <c r="CU20" s="38"/>
      <c r="CV20" s="38"/>
    </row>
    <row r="21" spans="1:100" ht="15" customHeight="1" x14ac:dyDescent="0.3">
      <c r="A21" s="38"/>
      <c r="B21" s="306"/>
      <c r="C21" s="307"/>
      <c r="D21" s="308"/>
      <c r="E21" s="527"/>
      <c r="F21" s="528"/>
      <c r="G21" s="528"/>
      <c r="H21" s="528"/>
      <c r="I21" s="528"/>
      <c r="J21" s="468"/>
      <c r="K21" s="469"/>
      <c r="L21" s="469"/>
      <c r="M21" s="469"/>
      <c r="N21" s="469"/>
      <c r="O21" s="469"/>
      <c r="P21" s="469"/>
      <c r="Q21" s="469"/>
      <c r="R21" s="469"/>
      <c r="S21" s="469"/>
      <c r="T21" s="468"/>
      <c r="U21" s="469"/>
      <c r="V21" s="469"/>
      <c r="W21" s="469"/>
      <c r="X21" s="469"/>
      <c r="Y21" s="469"/>
      <c r="Z21" s="469"/>
      <c r="AA21" s="469"/>
      <c r="AB21" s="469"/>
      <c r="AC21" s="469"/>
      <c r="AD21" s="468"/>
      <c r="AE21" s="469"/>
      <c r="AF21" s="469"/>
      <c r="AG21" s="469"/>
      <c r="AH21" s="469"/>
      <c r="AI21" s="469"/>
      <c r="AJ21" s="469"/>
      <c r="AK21" s="469"/>
      <c r="AL21" s="469"/>
      <c r="AM21" s="469"/>
      <c r="AN21" s="468"/>
      <c r="AO21" s="469"/>
      <c r="AP21" s="469"/>
      <c r="AQ21" s="469"/>
      <c r="AR21" s="469"/>
      <c r="AS21" s="469"/>
      <c r="AT21" s="469"/>
      <c r="AU21" s="469"/>
      <c r="AV21" s="469"/>
      <c r="AW21" s="469"/>
      <c r="AX21" s="452"/>
      <c r="AY21" s="450"/>
      <c r="AZ21" s="450"/>
      <c r="BA21" s="450"/>
      <c r="BB21" s="450"/>
      <c r="BC21" s="450"/>
      <c r="BD21" s="450"/>
      <c r="BE21" s="450"/>
      <c r="BF21" s="450"/>
      <c r="BG21" s="451"/>
      <c r="BH21" s="38"/>
      <c r="BI21" s="492"/>
      <c r="BJ21" s="493"/>
      <c r="BK21" s="493"/>
      <c r="BL21" s="493"/>
      <c r="BM21" s="493"/>
      <c r="BN21" s="494"/>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c r="CU21" s="38"/>
      <c r="CV21" s="38"/>
    </row>
    <row r="22" spans="1:100" ht="15" customHeight="1" x14ac:dyDescent="0.3">
      <c r="A22" s="38"/>
      <c r="B22" s="306"/>
      <c r="C22" s="307"/>
      <c r="D22" s="308"/>
      <c r="E22" s="527"/>
      <c r="F22" s="528"/>
      <c r="G22" s="528"/>
      <c r="H22" s="528"/>
      <c r="I22" s="528"/>
      <c r="J22" s="468" t="str">
        <f>IF(AND('Mapa final'!$K$130="Muy Alta",'Mapa final'!$O$130="Leve"),CONCATENATE("R",'Mapa final'!$A$130),"")</f>
        <v/>
      </c>
      <c r="K22" s="469"/>
      <c r="L22" s="469" t="str">
        <f>IF(AND('Mapa final'!$K$133="Muy Alta",'Mapa final'!$O$133="Leve"),CONCATENATE("R",'Mapa final'!$A$133),"")</f>
        <v/>
      </c>
      <c r="M22" s="469"/>
      <c r="N22" s="469" t="str">
        <f>IF(AND('Mapa final'!$K$136="Muy Alta",'Mapa final'!$O$136="Leve"),CONCATENATE("R",'Mapa final'!$A$136),"")</f>
        <v/>
      </c>
      <c r="O22" s="469"/>
      <c r="P22" s="469" t="str">
        <f>IF(AND('Mapa final'!$K$139="Muy Alta",'Mapa final'!$O$139="Leve"),CONCATENATE("R",'Mapa final'!$A$139),"")</f>
        <v/>
      </c>
      <c r="Q22" s="469"/>
      <c r="R22" s="469" t="str">
        <f>IF(AND('Mapa final'!$K$142="Muy Alta",'Mapa final'!$O$142="Leve"),CONCATENATE("R",'Mapa final'!$A$142),"")</f>
        <v/>
      </c>
      <c r="S22" s="470"/>
      <c r="T22" s="468" t="str">
        <f>IF(AND('Mapa final'!$K$130="Muy Alta",'Mapa final'!$O$130="Menor"),CONCATENATE("R",'Mapa final'!$A$130),"")</f>
        <v/>
      </c>
      <c r="U22" s="469"/>
      <c r="V22" s="469" t="str">
        <f>IF(AND('Mapa final'!$K$133="Muy Alta",'Mapa final'!$O$133="Menor"),CONCATENATE("R",'Mapa final'!$A$133),"")</f>
        <v/>
      </c>
      <c r="W22" s="469"/>
      <c r="X22" s="469" t="str">
        <f>IF(AND('Mapa final'!$K$136="Muy Alta",'Mapa final'!$O$136="Menor"),CONCATENATE("R",'Mapa final'!$A$136),"")</f>
        <v/>
      </c>
      <c r="Y22" s="469"/>
      <c r="Z22" s="469" t="str">
        <f>IF(AND('Mapa final'!$K$139="Muy Alta",'Mapa final'!$O$139="Menor"),CONCATENATE("R",'Mapa final'!$A$139),"")</f>
        <v/>
      </c>
      <c r="AA22" s="469"/>
      <c r="AB22" s="469" t="str">
        <f>IF(AND('Mapa final'!$K$142="Muy Alta",'Mapa final'!$O$142="Menor"),CONCATENATE("R",'Mapa final'!$A$142),"")</f>
        <v/>
      </c>
      <c r="AC22" s="470"/>
      <c r="AD22" s="468" t="str">
        <f>IF(AND('Mapa final'!$K$130="Muy Alta",'Mapa final'!$O$130="Moderado"),CONCATENATE("R",'Mapa final'!$A$130),"")</f>
        <v/>
      </c>
      <c r="AE22" s="469"/>
      <c r="AF22" s="469" t="str">
        <f>IF(AND('Mapa final'!$K$133="Muy Alta",'Mapa final'!$O$133="Moderado"),CONCATENATE("R",'Mapa final'!$A$133),"")</f>
        <v/>
      </c>
      <c r="AG22" s="469"/>
      <c r="AH22" s="469" t="str">
        <f>IF(AND('Mapa final'!$K$136="Muy Alta",'Mapa final'!$O$136="Moderado"),CONCATENATE("R",'Mapa final'!$A$136),"")</f>
        <v/>
      </c>
      <c r="AI22" s="469"/>
      <c r="AJ22" s="469" t="str">
        <f>IF(AND('Mapa final'!$K$139="Muy Alta",'Mapa final'!$O$139="Moderado"),CONCATENATE("R",'Mapa final'!$A$139),"")</f>
        <v/>
      </c>
      <c r="AK22" s="469"/>
      <c r="AL22" s="469" t="str">
        <f>IF(AND('Mapa final'!$K$142="Muy Alta",'Mapa final'!$O$142="Moderado"),CONCATENATE("R",'Mapa final'!$A$142),"")</f>
        <v/>
      </c>
      <c r="AM22" s="470"/>
      <c r="AN22" s="468" t="str">
        <f>IF(AND('Mapa final'!$K$130="Muy Alta",'Mapa final'!$O$130="Mayor"),CONCATENATE("R",'Mapa final'!$A$130),"")</f>
        <v/>
      </c>
      <c r="AO22" s="469"/>
      <c r="AP22" s="469" t="str">
        <f>IF(AND('Mapa final'!$K$133="Muy Alta",'Mapa final'!$O$133="Mayor"),CONCATENATE("R",'Mapa final'!$A$133),"")</f>
        <v/>
      </c>
      <c r="AQ22" s="469"/>
      <c r="AR22" s="469" t="str">
        <f>IF(AND('Mapa final'!$K$136="Muy Alta",'Mapa final'!$O$136="Mayor"),CONCATENATE("R",'Mapa final'!$A$136),"")</f>
        <v/>
      </c>
      <c r="AS22" s="469"/>
      <c r="AT22" s="469" t="str">
        <f>IF(AND('Mapa final'!$K$139="Muy Alta",'Mapa final'!$O$139="Mayor"),CONCATENATE("R",'Mapa final'!$A$139),"")</f>
        <v/>
      </c>
      <c r="AU22" s="469"/>
      <c r="AV22" s="469" t="str">
        <f>IF(AND('Mapa final'!$K$142="Muy Alta",'Mapa final'!$O$142="Mayor"),CONCATENATE("R",'Mapa final'!$A$142),"")</f>
        <v/>
      </c>
      <c r="AW22" s="470"/>
      <c r="AX22" s="452" t="str">
        <f>IF(AND('Mapa final'!$K$130="Muy Alta",'Mapa final'!$O$130="Catastrófico"),CONCATENATE("R",'Mapa final'!$A$130),"")</f>
        <v/>
      </c>
      <c r="AY22" s="450"/>
      <c r="AZ22" s="450" t="str">
        <f>IF(AND('Mapa final'!$K$133="Muy Alta",'Mapa final'!$O$133="Catastrófico"),CONCATENATE("R",'Mapa final'!$A$133),"")</f>
        <v/>
      </c>
      <c r="BA22" s="450"/>
      <c r="BB22" s="450" t="str">
        <f>IF(AND('Mapa final'!$K$136="Muy Alta",'Mapa final'!$O$136="Catastrófico"),CONCATENATE("R",'Mapa final'!$A$136),"")</f>
        <v/>
      </c>
      <c r="BC22" s="450"/>
      <c r="BD22" s="450" t="str">
        <f>IF(AND('Mapa final'!$K$139="Muy Alta",'Mapa final'!$O$139="Catastrófico"),CONCATENATE("R",'Mapa final'!$A$139),"")</f>
        <v/>
      </c>
      <c r="BE22" s="450"/>
      <c r="BF22" s="450" t="str">
        <f>IF(AND('Mapa final'!$K$142="Muy Alta",'Mapa final'!$O$142="Catastrófico"),CONCATENATE("R",'Mapa final'!$A$142),"")</f>
        <v/>
      </c>
      <c r="BG22" s="451"/>
      <c r="BH22" s="38"/>
      <c r="BI22" s="492"/>
      <c r="BJ22" s="493"/>
      <c r="BK22" s="493"/>
      <c r="BL22" s="493"/>
      <c r="BM22" s="493"/>
      <c r="BN22" s="494"/>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row>
    <row r="23" spans="1:100" ht="15" customHeight="1" thickBot="1" x14ac:dyDescent="0.35">
      <c r="A23" s="38"/>
      <c r="B23" s="306"/>
      <c r="C23" s="307"/>
      <c r="D23" s="308"/>
      <c r="E23" s="527"/>
      <c r="F23" s="528"/>
      <c r="G23" s="528"/>
      <c r="H23" s="528"/>
      <c r="I23" s="528"/>
      <c r="J23" s="468"/>
      <c r="K23" s="469"/>
      <c r="L23" s="469"/>
      <c r="M23" s="469"/>
      <c r="N23" s="469"/>
      <c r="O23" s="469"/>
      <c r="P23" s="469"/>
      <c r="Q23" s="469"/>
      <c r="R23" s="469"/>
      <c r="S23" s="470"/>
      <c r="T23" s="468"/>
      <c r="U23" s="469"/>
      <c r="V23" s="469"/>
      <c r="W23" s="469"/>
      <c r="X23" s="469"/>
      <c r="Y23" s="469"/>
      <c r="Z23" s="469"/>
      <c r="AA23" s="469"/>
      <c r="AB23" s="469"/>
      <c r="AC23" s="470"/>
      <c r="AD23" s="468"/>
      <c r="AE23" s="469"/>
      <c r="AF23" s="469"/>
      <c r="AG23" s="469"/>
      <c r="AH23" s="469"/>
      <c r="AI23" s="469"/>
      <c r="AJ23" s="469"/>
      <c r="AK23" s="469"/>
      <c r="AL23" s="469"/>
      <c r="AM23" s="470"/>
      <c r="AN23" s="468"/>
      <c r="AO23" s="469"/>
      <c r="AP23" s="469"/>
      <c r="AQ23" s="469"/>
      <c r="AR23" s="469"/>
      <c r="AS23" s="469"/>
      <c r="AT23" s="469"/>
      <c r="AU23" s="469"/>
      <c r="AV23" s="469"/>
      <c r="AW23" s="470"/>
      <c r="AX23" s="484"/>
      <c r="AY23" s="472"/>
      <c r="AZ23" s="472"/>
      <c r="BA23" s="472"/>
      <c r="BB23" s="472"/>
      <c r="BC23" s="472"/>
      <c r="BD23" s="472"/>
      <c r="BE23" s="472"/>
      <c r="BF23" s="472"/>
      <c r="BG23" s="473"/>
      <c r="BH23" s="38"/>
      <c r="BI23" s="492"/>
      <c r="BJ23" s="493"/>
      <c r="BK23" s="493"/>
      <c r="BL23" s="493"/>
      <c r="BM23" s="493"/>
      <c r="BN23" s="494"/>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row>
    <row r="24" spans="1:100" ht="15" customHeight="1" x14ac:dyDescent="0.3">
      <c r="A24" s="38"/>
      <c r="B24" s="306"/>
      <c r="C24" s="307"/>
      <c r="D24" s="308"/>
      <c r="E24" s="525" t="s">
        <v>106</v>
      </c>
      <c r="F24" s="526"/>
      <c r="G24" s="526"/>
      <c r="H24" s="526"/>
      <c r="I24" s="526"/>
      <c r="J24" s="465" t="str">
        <f>IF(AND('Mapa final'!$K$7="Alta",'Mapa final'!$O$7="Leve"),CONCATENATE("R",'Mapa final'!$A$7),"")</f>
        <v/>
      </c>
      <c r="K24" s="466"/>
      <c r="L24" s="466" t="str">
        <f>IF(AND('Mapa final'!$K$10="Alta",'Mapa final'!$O$10="Leve"),CONCATENATE("R",'Mapa final'!$A$10),"")</f>
        <v/>
      </c>
      <c r="M24" s="466"/>
      <c r="N24" s="466" t="e">
        <f>IF(AND('Mapa final'!#REF!="Alta",'Mapa final'!#REF!="Leve"),CONCATENATE("R",'Mapa final'!#REF!),"")</f>
        <v>#REF!</v>
      </c>
      <c r="O24" s="466"/>
      <c r="P24" s="466" t="str">
        <f>IF(AND('Mapa final'!$K$13="Alta",'Mapa final'!$O$13="Leve"),CONCATENATE("R",'Mapa final'!$A$13),"")</f>
        <v/>
      </c>
      <c r="Q24" s="466"/>
      <c r="R24" s="466" t="str">
        <f>IF(AND('Mapa final'!$K$16="Alta",'Mapa final'!$O$16="Leve"),CONCATENATE("R",'Mapa final'!$A$16),"")</f>
        <v/>
      </c>
      <c r="S24" s="467"/>
      <c r="T24" s="465" t="str">
        <f>IF(AND('Mapa final'!$K$7="Alta",'Mapa final'!$O$7="Menor"),CONCATENATE("R",'Mapa final'!$A$7),"")</f>
        <v/>
      </c>
      <c r="U24" s="466"/>
      <c r="V24" s="466" t="str">
        <f>IF(AND('Mapa final'!$K$10="Alta",'Mapa final'!$O$10="Menor"),CONCATENATE("R",'Mapa final'!$A$10),"")</f>
        <v/>
      </c>
      <c r="W24" s="466"/>
      <c r="X24" s="466" t="e">
        <f>IF(AND('Mapa final'!#REF!="Alta",'Mapa final'!#REF!="Menor"),CONCATENATE("R",'Mapa final'!#REF!),"")</f>
        <v>#REF!</v>
      </c>
      <c r="Y24" s="466"/>
      <c r="Z24" s="466" t="str">
        <f>IF(AND('Mapa final'!$K$13="Alta",'Mapa final'!$O$13="Menor"),CONCATENATE("R",'Mapa final'!$A$13),"")</f>
        <v/>
      </c>
      <c r="AA24" s="466"/>
      <c r="AB24" s="466" t="str">
        <f>IF(AND('Mapa final'!$K$16="Alta",'Mapa final'!$O$16="Menor"),CONCATENATE("R",'Mapa final'!$A$16),"")</f>
        <v/>
      </c>
      <c r="AC24" s="467"/>
      <c r="AD24" s="462" t="str">
        <f>IF(AND('Mapa final'!$K$7="Alta",'Mapa final'!$O$7="Moderado"),CONCATENATE("R",'Mapa final'!$A$7),"")</f>
        <v/>
      </c>
      <c r="AE24" s="461"/>
      <c r="AF24" s="461" t="str">
        <f>IF(AND('Mapa final'!$K$10="Alta",'Mapa final'!$O$10="Moderado"),CONCATENATE("R",'Mapa final'!$A$10),"")</f>
        <v/>
      </c>
      <c r="AG24" s="461"/>
      <c r="AH24" s="461" t="e">
        <f>IF(AND('Mapa final'!#REF!="Alta",'Mapa final'!#REF!="Moderado"),CONCATENATE("R",'Mapa final'!#REF!),"")</f>
        <v>#REF!</v>
      </c>
      <c r="AI24" s="461"/>
      <c r="AJ24" s="461" t="str">
        <f>IF(AND('Mapa final'!$K$13="Alta",'Mapa final'!$O$13="Moderado"),CONCATENATE("R",'Mapa final'!$A$13),"")</f>
        <v>R3</v>
      </c>
      <c r="AK24" s="461"/>
      <c r="AL24" s="461" t="str">
        <f>IF(AND('Mapa final'!$K$16="Alta",'Mapa final'!$O$16="Moderado"),CONCATENATE("R",'Mapa final'!$A$16),"")</f>
        <v/>
      </c>
      <c r="AM24" s="463"/>
      <c r="AN24" s="462" t="str">
        <f>IF(AND('Mapa final'!$K$7="Alta",'Mapa final'!$O$7="Mayor"),CONCATENATE("R",'Mapa final'!$A$7),"")</f>
        <v/>
      </c>
      <c r="AO24" s="461"/>
      <c r="AP24" s="461" t="str">
        <f>IF(AND('Mapa final'!$K$10="Alta",'Mapa final'!$O$10="Mayor"),CONCATENATE("R",'Mapa final'!$A$10),"")</f>
        <v/>
      </c>
      <c r="AQ24" s="461"/>
      <c r="AR24" s="461" t="e">
        <f>IF(AND('Mapa final'!#REF!="Alta",'Mapa final'!#REF!="Mayor"),CONCATENATE("R",'Mapa final'!#REF!),"")</f>
        <v>#REF!</v>
      </c>
      <c r="AS24" s="461"/>
      <c r="AT24" s="461" t="str">
        <f>IF(AND('Mapa final'!$K$13="Alta",'Mapa final'!$O$13="Mayor"),CONCATENATE("R",'Mapa final'!$A$13),"")</f>
        <v/>
      </c>
      <c r="AU24" s="461"/>
      <c r="AV24" s="461" t="str">
        <f>IF(AND('Mapa final'!$K$16="Alta",'Mapa final'!$O$16="Mayor"),CONCATENATE("R",'Mapa final'!$A$16),"")</f>
        <v/>
      </c>
      <c r="AW24" s="463"/>
      <c r="AX24" s="482" t="str">
        <f>IF(AND('Mapa final'!$K$7="Alta",'Mapa final'!$O$7="Catastrófico"),CONCATENATE("R",'Mapa final'!$A$7),"")</f>
        <v/>
      </c>
      <c r="AY24" s="471"/>
      <c r="AZ24" s="471" t="str">
        <f>IF(AND('Mapa final'!$K$10="Alta",'Mapa final'!$O$10="Catastrófico"),CONCATENATE("R",'Mapa final'!$A$10),"")</f>
        <v/>
      </c>
      <c r="BA24" s="471"/>
      <c r="BB24" s="471" t="e">
        <f>IF(AND('Mapa final'!#REF!="Alta",'Mapa final'!#REF!="Catastrófico"),CONCATENATE("R",'Mapa final'!#REF!),"")</f>
        <v>#REF!</v>
      </c>
      <c r="BC24" s="471"/>
      <c r="BD24" s="471" t="str">
        <f>IF(AND('Mapa final'!$K$13="Alta",'Mapa final'!$O$13="Catastrófico"),CONCATENATE("R",'Mapa final'!$A$13),"")</f>
        <v/>
      </c>
      <c r="BE24" s="471"/>
      <c r="BF24" s="471" t="str">
        <f>IF(AND('Mapa final'!$K$16="Alta",'Mapa final'!$O$16="Catastrófico"),CONCATENATE("R",'Mapa final'!$A$16),"")</f>
        <v/>
      </c>
      <c r="BG24" s="483"/>
      <c r="BH24" s="38"/>
      <c r="BI24" s="492"/>
      <c r="BJ24" s="493"/>
      <c r="BK24" s="493"/>
      <c r="BL24" s="493"/>
      <c r="BM24" s="493"/>
      <c r="BN24" s="494"/>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38"/>
      <c r="CM24" s="38"/>
      <c r="CN24" s="38"/>
      <c r="CO24" s="38"/>
      <c r="CP24" s="38"/>
      <c r="CQ24" s="38"/>
      <c r="CR24" s="38"/>
      <c r="CS24" s="38"/>
      <c r="CT24" s="38"/>
      <c r="CU24" s="38"/>
      <c r="CV24" s="38"/>
    </row>
    <row r="25" spans="1:100" ht="15" customHeight="1" x14ac:dyDescent="0.3">
      <c r="A25" s="38"/>
      <c r="B25" s="306"/>
      <c r="C25" s="307"/>
      <c r="D25" s="308"/>
      <c r="E25" s="527"/>
      <c r="F25" s="528"/>
      <c r="G25" s="528"/>
      <c r="H25" s="528"/>
      <c r="I25" s="528"/>
      <c r="J25" s="455"/>
      <c r="K25" s="453"/>
      <c r="L25" s="453"/>
      <c r="M25" s="453"/>
      <c r="N25" s="453"/>
      <c r="O25" s="453"/>
      <c r="P25" s="453"/>
      <c r="Q25" s="453"/>
      <c r="R25" s="453"/>
      <c r="S25" s="454"/>
      <c r="T25" s="455"/>
      <c r="U25" s="453"/>
      <c r="V25" s="453"/>
      <c r="W25" s="453"/>
      <c r="X25" s="453"/>
      <c r="Y25" s="453"/>
      <c r="Z25" s="453"/>
      <c r="AA25" s="453"/>
      <c r="AB25" s="453"/>
      <c r="AC25" s="454"/>
      <c r="AD25" s="458"/>
      <c r="AE25" s="459"/>
      <c r="AF25" s="459"/>
      <c r="AG25" s="459"/>
      <c r="AH25" s="459"/>
      <c r="AI25" s="459"/>
      <c r="AJ25" s="459"/>
      <c r="AK25" s="459"/>
      <c r="AL25" s="459"/>
      <c r="AM25" s="464"/>
      <c r="AN25" s="458"/>
      <c r="AO25" s="459"/>
      <c r="AP25" s="459"/>
      <c r="AQ25" s="459"/>
      <c r="AR25" s="459"/>
      <c r="AS25" s="459"/>
      <c r="AT25" s="459"/>
      <c r="AU25" s="459"/>
      <c r="AV25" s="459"/>
      <c r="AW25" s="464"/>
      <c r="AX25" s="452"/>
      <c r="AY25" s="450"/>
      <c r="AZ25" s="450"/>
      <c r="BA25" s="450"/>
      <c r="BB25" s="450"/>
      <c r="BC25" s="450"/>
      <c r="BD25" s="450"/>
      <c r="BE25" s="450"/>
      <c r="BF25" s="450"/>
      <c r="BG25" s="451"/>
      <c r="BH25" s="38"/>
      <c r="BI25" s="492"/>
      <c r="BJ25" s="493"/>
      <c r="BK25" s="493"/>
      <c r="BL25" s="493"/>
      <c r="BM25" s="493"/>
      <c r="BN25" s="494"/>
      <c r="BO25" s="38"/>
      <c r="BP25" s="38"/>
      <c r="BQ25" s="38"/>
      <c r="BR25" s="38"/>
      <c r="BS25" s="38"/>
      <c r="BT25" s="38"/>
      <c r="BU25" s="38"/>
      <c r="BV25" s="38"/>
      <c r="BW25" s="38"/>
      <c r="BX25" s="38"/>
      <c r="BY25" s="38"/>
      <c r="BZ25" s="38"/>
      <c r="CA25" s="38"/>
      <c r="CB25" s="38"/>
      <c r="CC25" s="38"/>
      <c r="CD25" s="38"/>
      <c r="CE25" s="38"/>
      <c r="CF25" s="38"/>
      <c r="CG25" s="38"/>
      <c r="CH25" s="38"/>
      <c r="CI25" s="38"/>
      <c r="CJ25" s="38"/>
      <c r="CK25" s="38"/>
      <c r="CL25" s="38"/>
      <c r="CM25" s="38"/>
      <c r="CN25" s="38"/>
      <c r="CO25" s="38"/>
      <c r="CP25" s="38"/>
      <c r="CQ25" s="38"/>
      <c r="CR25" s="38"/>
      <c r="CS25" s="38"/>
      <c r="CT25" s="38"/>
      <c r="CU25" s="38"/>
      <c r="CV25" s="38"/>
    </row>
    <row r="26" spans="1:100" ht="15" customHeight="1" x14ac:dyDescent="0.3">
      <c r="A26" s="38"/>
      <c r="B26" s="306"/>
      <c r="C26" s="307"/>
      <c r="D26" s="308"/>
      <c r="E26" s="527"/>
      <c r="F26" s="528"/>
      <c r="G26" s="528"/>
      <c r="H26" s="528"/>
      <c r="I26" s="528"/>
      <c r="J26" s="455" t="str">
        <f>IF(AND('Mapa final'!$K$19="Alta",'Mapa final'!$O$19="Leve"),CONCATENATE("R",'Mapa final'!$A$19),"")</f>
        <v/>
      </c>
      <c r="K26" s="453"/>
      <c r="L26" s="453" t="str">
        <f>IF(AND('Mapa final'!$K$22="Alta",'Mapa final'!$O$22="Leve"),CONCATENATE("R",'Mapa final'!$A$22),"")</f>
        <v/>
      </c>
      <c r="M26" s="453"/>
      <c r="N26" s="453" t="str">
        <f>IF(AND('Mapa final'!$K$25="Alta",'Mapa final'!$O$25="Leve"),CONCATENATE("R",'Mapa final'!$A$25),"")</f>
        <v/>
      </c>
      <c r="O26" s="453"/>
      <c r="P26" s="453" t="str">
        <f>IF(AND('Mapa final'!$K$28="Alta",'Mapa final'!$O$28="Leve"),CONCATENATE("R",'Mapa final'!$A$28),"")</f>
        <v/>
      </c>
      <c r="Q26" s="453"/>
      <c r="R26" s="453" t="str">
        <f>IF(AND('Mapa final'!$K$31="Alta",'Mapa final'!$O$31="Leve"),CONCATENATE("R",'Mapa final'!$A$31),"")</f>
        <v/>
      </c>
      <c r="S26" s="454"/>
      <c r="T26" s="455" t="str">
        <f>IF(AND('Mapa final'!$K$19="Alta",'Mapa final'!$O$19="Menor"),CONCATENATE("R",'Mapa final'!$A$19),"")</f>
        <v/>
      </c>
      <c r="U26" s="453"/>
      <c r="V26" s="453" t="str">
        <f>IF(AND('Mapa final'!$K$22="Alta",'Mapa final'!$O$22="Menor"),CONCATENATE("R",'Mapa final'!$A$22),"")</f>
        <v/>
      </c>
      <c r="W26" s="453"/>
      <c r="X26" s="453" t="str">
        <f>IF(AND('Mapa final'!$K$25="Alta",'Mapa final'!$O$25="Menor"),CONCATENATE("R",'Mapa final'!$A$25),"")</f>
        <v/>
      </c>
      <c r="Y26" s="453"/>
      <c r="Z26" s="453" t="str">
        <f>IF(AND('Mapa final'!$K$28="Alta",'Mapa final'!$O$28="Menor"),CONCATENATE("R",'Mapa final'!$A$28),"")</f>
        <v/>
      </c>
      <c r="AA26" s="453"/>
      <c r="AB26" s="453" t="str">
        <f>IF(AND('Mapa final'!$K$31="Alta",'Mapa final'!$O$31="Menor"),CONCATENATE("R",'Mapa final'!$A$31),"")</f>
        <v/>
      </c>
      <c r="AC26" s="454"/>
      <c r="AD26" s="458" t="str">
        <f>IF(AND('Mapa final'!$K$19="Alta",'Mapa final'!$O$19="Moderado"),CONCATENATE("R",'Mapa final'!$A$19),"")</f>
        <v>R5</v>
      </c>
      <c r="AE26" s="459"/>
      <c r="AF26" s="459" t="str">
        <f>IF(AND('Mapa final'!$K$22="Alta",'Mapa final'!$O$22="Moderado"),CONCATENATE("R",'Mapa final'!$A$22),"")</f>
        <v/>
      </c>
      <c r="AG26" s="459"/>
      <c r="AH26" s="459" t="str">
        <f>IF(AND('Mapa final'!$K$25="Alta",'Mapa final'!$O$25="Moderado"),CONCATENATE("R",'Mapa final'!$A$25),"")</f>
        <v/>
      </c>
      <c r="AI26" s="459"/>
      <c r="AJ26" s="459" t="str">
        <f>IF(AND('Mapa final'!$K$28="Alta",'Mapa final'!$O$28="Moderado"),CONCATENATE("R",'Mapa final'!$A$28),"")</f>
        <v/>
      </c>
      <c r="AK26" s="459"/>
      <c r="AL26" s="459" t="str">
        <f>IF(AND('Mapa final'!$K$31="Alta",'Mapa final'!$O$31="Moderado"),CONCATENATE("R",'Mapa final'!$A$31),"")</f>
        <v/>
      </c>
      <c r="AM26" s="464"/>
      <c r="AN26" s="458" t="str">
        <f>IF(AND('Mapa final'!$K$19="Alta",'Mapa final'!$O$19="Mayor"),CONCATENATE("R",'Mapa final'!$A$19),"")</f>
        <v/>
      </c>
      <c r="AO26" s="459"/>
      <c r="AP26" s="459" t="str">
        <f>IF(AND('Mapa final'!$K$22="Alta",'Mapa final'!$O$22="Mayor"),CONCATENATE("R",'Mapa final'!$A$22),"")</f>
        <v>R6</v>
      </c>
      <c r="AQ26" s="459"/>
      <c r="AR26" s="459" t="str">
        <f>IF(AND('Mapa final'!$K$25="Alta",'Mapa final'!$O$25="Mayor"),CONCATENATE("R",'Mapa final'!$A$25),"")</f>
        <v/>
      </c>
      <c r="AS26" s="459"/>
      <c r="AT26" s="459" t="str">
        <f>IF(AND('Mapa final'!$K$28="Alta",'Mapa final'!$O$28="Mayor"),CONCATENATE("R",'Mapa final'!$A$28),"")</f>
        <v/>
      </c>
      <c r="AU26" s="459"/>
      <c r="AV26" s="459" t="str">
        <f>IF(AND('Mapa final'!$K$31="Alta",'Mapa final'!$O$31="Mayor"),CONCATENATE("R",'Mapa final'!$A$31),"")</f>
        <v/>
      </c>
      <c r="AW26" s="464"/>
      <c r="AX26" s="452" t="str">
        <f>IF(AND('Mapa final'!$K$19="Alta",'Mapa final'!$O$19="Catastrófico"),CONCATENATE("R",'Mapa final'!$A$19),"")</f>
        <v/>
      </c>
      <c r="AY26" s="450"/>
      <c r="AZ26" s="450" t="str">
        <f>IF(AND('Mapa final'!$K$22="Alta",'Mapa final'!$O$22="Catastrófico"),CONCATENATE("R",'Mapa final'!$A$22),"")</f>
        <v/>
      </c>
      <c r="BA26" s="450"/>
      <c r="BB26" s="450" t="str">
        <f>IF(AND('Mapa final'!$K$25="Alta",'Mapa final'!$O$25="Catastrófico"),CONCATENATE("R",'Mapa final'!$A$25),"")</f>
        <v/>
      </c>
      <c r="BC26" s="450"/>
      <c r="BD26" s="450" t="str">
        <f>IF(AND('Mapa final'!$K$28="Alta",'Mapa final'!$O$28="Catastrófico"),CONCATENATE("R",'Mapa final'!$A$28),"")</f>
        <v/>
      </c>
      <c r="BE26" s="450"/>
      <c r="BF26" s="450" t="str">
        <f>IF(AND('Mapa final'!$K$31="Alta",'Mapa final'!$O$31="Catastrófico"),CONCATENATE("R",'Mapa final'!$A$31),"")</f>
        <v/>
      </c>
      <c r="BG26" s="451"/>
      <c r="BH26" s="38"/>
      <c r="BI26" s="492"/>
      <c r="BJ26" s="493"/>
      <c r="BK26" s="493"/>
      <c r="BL26" s="493"/>
      <c r="BM26" s="493"/>
      <c r="BN26" s="494"/>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c r="CU26" s="38"/>
      <c r="CV26" s="38"/>
    </row>
    <row r="27" spans="1:100" ht="15" customHeight="1" x14ac:dyDescent="0.3">
      <c r="A27" s="38"/>
      <c r="B27" s="306"/>
      <c r="C27" s="307"/>
      <c r="D27" s="308"/>
      <c r="E27" s="527"/>
      <c r="F27" s="528"/>
      <c r="G27" s="528"/>
      <c r="H27" s="528"/>
      <c r="I27" s="528"/>
      <c r="J27" s="455"/>
      <c r="K27" s="453"/>
      <c r="L27" s="453"/>
      <c r="M27" s="453"/>
      <c r="N27" s="453"/>
      <c r="O27" s="453"/>
      <c r="P27" s="453"/>
      <c r="Q27" s="453"/>
      <c r="R27" s="453"/>
      <c r="S27" s="454"/>
      <c r="T27" s="455"/>
      <c r="U27" s="453"/>
      <c r="V27" s="453"/>
      <c r="W27" s="453"/>
      <c r="X27" s="453"/>
      <c r="Y27" s="453"/>
      <c r="Z27" s="453"/>
      <c r="AA27" s="453"/>
      <c r="AB27" s="453"/>
      <c r="AC27" s="454"/>
      <c r="AD27" s="458"/>
      <c r="AE27" s="459"/>
      <c r="AF27" s="459"/>
      <c r="AG27" s="459"/>
      <c r="AH27" s="459"/>
      <c r="AI27" s="459"/>
      <c r="AJ27" s="459"/>
      <c r="AK27" s="459"/>
      <c r="AL27" s="459"/>
      <c r="AM27" s="464"/>
      <c r="AN27" s="458"/>
      <c r="AO27" s="459"/>
      <c r="AP27" s="459"/>
      <c r="AQ27" s="459"/>
      <c r="AR27" s="459"/>
      <c r="AS27" s="459"/>
      <c r="AT27" s="459"/>
      <c r="AU27" s="459"/>
      <c r="AV27" s="459"/>
      <c r="AW27" s="464"/>
      <c r="AX27" s="452"/>
      <c r="AY27" s="450"/>
      <c r="AZ27" s="450"/>
      <c r="BA27" s="450"/>
      <c r="BB27" s="450"/>
      <c r="BC27" s="450"/>
      <c r="BD27" s="450"/>
      <c r="BE27" s="450"/>
      <c r="BF27" s="450"/>
      <c r="BG27" s="451"/>
      <c r="BH27" s="38"/>
      <c r="BI27" s="492"/>
      <c r="BJ27" s="493"/>
      <c r="BK27" s="493"/>
      <c r="BL27" s="493"/>
      <c r="BM27" s="493"/>
      <c r="BN27" s="494"/>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38"/>
      <c r="CV27" s="38"/>
    </row>
    <row r="28" spans="1:100" ht="15" customHeight="1" x14ac:dyDescent="0.3">
      <c r="A28" s="38"/>
      <c r="B28" s="306"/>
      <c r="C28" s="307"/>
      <c r="D28" s="308"/>
      <c r="E28" s="527"/>
      <c r="F28" s="528"/>
      <c r="G28" s="528"/>
      <c r="H28" s="528"/>
      <c r="I28" s="528"/>
      <c r="J28" s="455" t="str">
        <f>IF(AND('Mapa final'!$K$34="Alta",'Mapa final'!$O$34="Leve"),CONCATENATE("R",'Mapa final'!$A$34),"")</f>
        <v/>
      </c>
      <c r="K28" s="453"/>
      <c r="L28" s="453" t="str">
        <f>IF(AND('Mapa final'!$K$37="Alta",'Mapa final'!$O$37="Leve"),CONCATENATE("R",'Mapa final'!$A$37),"")</f>
        <v/>
      </c>
      <c r="M28" s="453"/>
      <c r="N28" s="453" t="str">
        <f>IF(AND('Mapa final'!$K$41="Alta",'Mapa final'!$O$41="Leve"),CONCATENATE("R",'Mapa final'!$A$41),"")</f>
        <v/>
      </c>
      <c r="O28" s="453"/>
      <c r="P28" s="453" t="str">
        <f>IF(AND('Mapa final'!$K$44="Alta",'Mapa final'!$O$44="Leve"),CONCATENATE("R",'Mapa final'!$A$44),"")</f>
        <v/>
      </c>
      <c r="Q28" s="453"/>
      <c r="R28" s="453" t="str">
        <f>IF(AND('Mapa final'!$K$49="Alta",'Mapa final'!$O$49="Leve"),CONCATENATE("R",'Mapa final'!$A$49),"")</f>
        <v/>
      </c>
      <c r="S28" s="454"/>
      <c r="T28" s="455" t="str">
        <f>IF(AND('Mapa final'!$K$34="Alta",'Mapa final'!$O$34="Menor"),CONCATENATE("R",'Mapa final'!$A$34),"")</f>
        <v/>
      </c>
      <c r="U28" s="453"/>
      <c r="V28" s="453" t="str">
        <f>IF(AND('Mapa final'!$K$37="Alta",'Mapa final'!$O$37="Menor"),CONCATENATE("R",'Mapa final'!$A$37),"")</f>
        <v/>
      </c>
      <c r="W28" s="453"/>
      <c r="X28" s="453" t="str">
        <f>IF(AND('Mapa final'!$K$41="Alta",'Mapa final'!$O$41="Menor"),CONCATENATE("R",'Mapa final'!$A$41),"")</f>
        <v/>
      </c>
      <c r="Y28" s="453"/>
      <c r="Z28" s="453" t="str">
        <f>IF(AND('Mapa final'!$K$44="Alta",'Mapa final'!$O$44="Menor"),CONCATENATE("R",'Mapa final'!$A$44),"")</f>
        <v/>
      </c>
      <c r="AA28" s="453"/>
      <c r="AB28" s="453" t="str">
        <f>IF(AND('Mapa final'!$K$49="Alta",'Mapa final'!$O$49="Menor"),CONCATENATE("R",'Mapa final'!$A$49),"")</f>
        <v/>
      </c>
      <c r="AC28" s="454"/>
      <c r="AD28" s="458" t="str">
        <f>IF(AND('Mapa final'!$K$34="Alta",'Mapa final'!$O$34="Moderado"),CONCATENATE("R",'Mapa final'!$A$34),"")</f>
        <v/>
      </c>
      <c r="AE28" s="459"/>
      <c r="AF28" s="459" t="str">
        <f>IF(AND('Mapa final'!$K$37="Alta",'Mapa final'!$O$37="Moderado"),CONCATENATE("R",'Mapa final'!$A$37),"")</f>
        <v/>
      </c>
      <c r="AG28" s="459"/>
      <c r="AH28" s="459" t="str">
        <f>IF(AND('Mapa final'!$K$41="Alta",'Mapa final'!$O$41="Moderado"),CONCATENATE("R",'Mapa final'!$A$41),"")</f>
        <v/>
      </c>
      <c r="AI28" s="459"/>
      <c r="AJ28" s="459" t="str">
        <f>IF(AND('Mapa final'!$K$44="Alta",'Mapa final'!$O$44="Moderado"),CONCATENATE("R",'Mapa final'!$A$44),"")</f>
        <v/>
      </c>
      <c r="AK28" s="459"/>
      <c r="AL28" s="459" t="str">
        <f>IF(AND('Mapa final'!$K$49="Alta",'Mapa final'!$O$49="Moderado"),CONCATENATE("R",'Mapa final'!$A$49),"")</f>
        <v/>
      </c>
      <c r="AM28" s="464"/>
      <c r="AN28" s="458" t="str">
        <f>IF(AND('Mapa final'!$K$34="Alta",'Mapa final'!$O$34="Mayor"),CONCATENATE("R",'Mapa final'!$A$34),"")</f>
        <v/>
      </c>
      <c r="AO28" s="459"/>
      <c r="AP28" s="459" t="str">
        <f>IF(AND('Mapa final'!$K$37="Alta",'Mapa final'!$O$37="Mayor"),CONCATENATE("R",'Mapa final'!$A$37),"")</f>
        <v/>
      </c>
      <c r="AQ28" s="459"/>
      <c r="AR28" s="459" t="str">
        <f>IF(AND('Mapa final'!$K$41="Alta",'Mapa final'!$O$41="Mayor"),CONCATENATE("R",'Mapa final'!$A$41),"")</f>
        <v/>
      </c>
      <c r="AS28" s="459"/>
      <c r="AT28" s="459" t="str">
        <f>IF(AND('Mapa final'!$K$44="Alta",'Mapa final'!$O$44="Mayor"),CONCATENATE("R",'Mapa final'!$A$44),"")</f>
        <v/>
      </c>
      <c r="AU28" s="459"/>
      <c r="AV28" s="459" t="str">
        <f>IF(AND('Mapa final'!$K$49="Alta",'Mapa final'!$O$49="Mayor"),CONCATENATE("R",'Mapa final'!$A$49),"")</f>
        <v/>
      </c>
      <c r="AW28" s="464"/>
      <c r="AX28" s="452" t="str">
        <f>IF(AND('Mapa final'!$K$34="Alta",'Mapa final'!$O$34="Catastrófico"),CONCATENATE("R",'Mapa final'!$A$34),"")</f>
        <v/>
      </c>
      <c r="AY28" s="450"/>
      <c r="AZ28" s="450" t="str">
        <f>IF(AND('Mapa final'!$K$37="Alta",'Mapa final'!$O$37="Catastrófico"),CONCATENATE("R",'Mapa final'!$A$37),"")</f>
        <v/>
      </c>
      <c r="BA28" s="450"/>
      <c r="BB28" s="450" t="str">
        <f>IF(AND('Mapa final'!$K$41="Alta",'Mapa final'!$O$41="Catastrófico"),CONCATENATE("R",'Mapa final'!$A$41),"")</f>
        <v/>
      </c>
      <c r="BC28" s="450"/>
      <c r="BD28" s="450" t="str">
        <f>IF(AND('Mapa final'!$K$44="Alta",'Mapa final'!$O$44="Catastrófico"),CONCATENATE("R",'Mapa final'!$A$44),"")</f>
        <v/>
      </c>
      <c r="BE28" s="450"/>
      <c r="BF28" s="450" t="str">
        <f>IF(AND('Mapa final'!$K$49="Alta",'Mapa final'!$O$49="Catastrófico"),CONCATENATE("R",'Mapa final'!$A$49),"")</f>
        <v/>
      </c>
      <c r="BG28" s="451"/>
      <c r="BH28" s="38"/>
      <c r="BI28" s="492"/>
      <c r="BJ28" s="493"/>
      <c r="BK28" s="493"/>
      <c r="BL28" s="493"/>
      <c r="BM28" s="493"/>
      <c r="BN28" s="494"/>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c r="CQ28" s="38"/>
      <c r="CR28" s="38"/>
      <c r="CS28" s="38"/>
      <c r="CT28" s="38"/>
      <c r="CU28" s="38"/>
      <c r="CV28" s="38"/>
    </row>
    <row r="29" spans="1:100" ht="15" customHeight="1" x14ac:dyDescent="0.3">
      <c r="A29" s="38"/>
      <c r="B29" s="306"/>
      <c r="C29" s="307"/>
      <c r="D29" s="308"/>
      <c r="E29" s="527"/>
      <c r="F29" s="528"/>
      <c r="G29" s="528"/>
      <c r="H29" s="528"/>
      <c r="I29" s="528"/>
      <c r="J29" s="455"/>
      <c r="K29" s="453"/>
      <c r="L29" s="453"/>
      <c r="M29" s="453"/>
      <c r="N29" s="453"/>
      <c r="O29" s="453"/>
      <c r="P29" s="453"/>
      <c r="Q29" s="453"/>
      <c r="R29" s="453"/>
      <c r="S29" s="454"/>
      <c r="T29" s="455"/>
      <c r="U29" s="453"/>
      <c r="V29" s="453"/>
      <c r="W29" s="453"/>
      <c r="X29" s="453"/>
      <c r="Y29" s="453"/>
      <c r="Z29" s="453"/>
      <c r="AA29" s="453"/>
      <c r="AB29" s="453"/>
      <c r="AC29" s="454"/>
      <c r="AD29" s="458"/>
      <c r="AE29" s="459"/>
      <c r="AF29" s="459"/>
      <c r="AG29" s="459"/>
      <c r="AH29" s="459"/>
      <c r="AI29" s="459"/>
      <c r="AJ29" s="459"/>
      <c r="AK29" s="459"/>
      <c r="AL29" s="459"/>
      <c r="AM29" s="464"/>
      <c r="AN29" s="458"/>
      <c r="AO29" s="459"/>
      <c r="AP29" s="459"/>
      <c r="AQ29" s="459"/>
      <c r="AR29" s="459"/>
      <c r="AS29" s="459"/>
      <c r="AT29" s="459"/>
      <c r="AU29" s="459"/>
      <c r="AV29" s="459"/>
      <c r="AW29" s="464"/>
      <c r="AX29" s="452"/>
      <c r="AY29" s="450"/>
      <c r="AZ29" s="450"/>
      <c r="BA29" s="450"/>
      <c r="BB29" s="450"/>
      <c r="BC29" s="450"/>
      <c r="BD29" s="450"/>
      <c r="BE29" s="450"/>
      <c r="BF29" s="450"/>
      <c r="BG29" s="451"/>
      <c r="BH29" s="38"/>
      <c r="BI29" s="492"/>
      <c r="BJ29" s="493"/>
      <c r="BK29" s="493"/>
      <c r="BL29" s="493"/>
      <c r="BM29" s="493"/>
      <c r="BN29" s="494"/>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row>
    <row r="30" spans="1:100" ht="15" customHeight="1" x14ac:dyDescent="0.3">
      <c r="A30" s="38"/>
      <c r="B30" s="306"/>
      <c r="C30" s="307"/>
      <c r="D30" s="308"/>
      <c r="E30" s="527"/>
      <c r="F30" s="528"/>
      <c r="G30" s="528"/>
      <c r="H30" s="528"/>
      <c r="I30" s="528"/>
      <c r="J30" s="455" t="str">
        <f>IF(AND('Mapa final'!$K$52="Alta",'Mapa final'!$O$52="Leve"),CONCATENATE("R",'Mapa final'!$A$52),"")</f>
        <v/>
      </c>
      <c r="K30" s="453"/>
      <c r="L30" s="453" t="str">
        <f>IF(AND('Mapa final'!$K$55="Alta",'Mapa final'!$O$55="Leve"),CONCATENATE("R",'Mapa final'!$A$55),"")</f>
        <v/>
      </c>
      <c r="M30" s="453"/>
      <c r="N30" s="453" t="str">
        <f>IF(AND('Mapa final'!$K$58="Alta",'Mapa final'!$O$58="Leve"),CONCATENATE("R",'Mapa final'!$A$58),"")</f>
        <v/>
      </c>
      <c r="O30" s="453"/>
      <c r="P30" s="453" t="str">
        <f>IF(AND('Mapa final'!$K$61="Alta",'Mapa final'!$O$61="Leve"),CONCATENATE("R",'Mapa final'!$A$61),"")</f>
        <v/>
      </c>
      <c r="Q30" s="453"/>
      <c r="R30" s="453" t="str">
        <f>IF(AND('Mapa final'!$K$64="Alta",'Mapa final'!$O$64="Leve"),CONCATENATE("R",'Mapa final'!$A$64),"")</f>
        <v/>
      </c>
      <c r="S30" s="454"/>
      <c r="T30" s="455" t="str">
        <f>IF(AND('Mapa final'!$K$52="Alta",'Mapa final'!$O$52="Menor"),CONCATENATE("R",'Mapa final'!$A$52),"")</f>
        <v/>
      </c>
      <c r="U30" s="453"/>
      <c r="V30" s="453" t="str">
        <f>IF(AND('Mapa final'!$K$55="Alta",'Mapa final'!$O$55="Menor"),CONCATENATE("R",'Mapa final'!$A$55),"")</f>
        <v/>
      </c>
      <c r="W30" s="453"/>
      <c r="X30" s="453" t="str">
        <f>IF(AND('Mapa final'!$K$58="Alta",'Mapa final'!$O$58="Menor"),CONCATENATE("R",'Mapa final'!$A$58),"")</f>
        <v/>
      </c>
      <c r="Y30" s="453"/>
      <c r="Z30" s="453" t="str">
        <f>IF(AND('Mapa final'!$K$61="Alta",'Mapa final'!$O$61="Menor"),CONCATENATE("R",'Mapa final'!$A$61),"")</f>
        <v/>
      </c>
      <c r="AA30" s="453"/>
      <c r="AB30" s="453" t="str">
        <f>IF(AND('Mapa final'!$K$64="Alta",'Mapa final'!$O$64="Menor"),CONCATENATE("R",'Mapa final'!$A$64),"")</f>
        <v/>
      </c>
      <c r="AC30" s="454"/>
      <c r="AD30" s="458" t="str">
        <f>IF(AND('Mapa final'!$K$52="Alta",'Mapa final'!$O$52="Moderado"),CONCATENATE("R",'Mapa final'!$A$52),"")</f>
        <v/>
      </c>
      <c r="AE30" s="459"/>
      <c r="AF30" s="459" t="str">
        <f>IF(AND('Mapa final'!$K$55="Alta",'Mapa final'!$O$55="Moderado"),CONCATENATE("R",'Mapa final'!$A$55),"")</f>
        <v/>
      </c>
      <c r="AG30" s="459"/>
      <c r="AH30" s="459" t="str">
        <f>IF(AND('Mapa final'!$K$58="Alta",'Mapa final'!$O$58="Moderado"),CONCATENATE("R",'Mapa final'!$A$58),"")</f>
        <v/>
      </c>
      <c r="AI30" s="459"/>
      <c r="AJ30" s="459" t="str">
        <f>IF(AND('Mapa final'!$K$61="Alta",'Mapa final'!$O$61="Moderado"),CONCATENATE("R",'Mapa final'!$A$61),"")</f>
        <v/>
      </c>
      <c r="AK30" s="459"/>
      <c r="AL30" s="459" t="str">
        <f>IF(AND('Mapa final'!$K$64="Alta",'Mapa final'!$O$64="Moderado"),CONCATENATE("R",'Mapa final'!$A$64),"")</f>
        <v/>
      </c>
      <c r="AM30" s="464"/>
      <c r="AN30" s="458" t="str">
        <f>IF(AND('Mapa final'!$K$52="Alta",'Mapa final'!$O$52="Mayor"),CONCATENATE("R",'Mapa final'!$A$52),"")</f>
        <v/>
      </c>
      <c r="AO30" s="459"/>
      <c r="AP30" s="459" t="str">
        <f>IF(AND('Mapa final'!$K$55="Alta",'Mapa final'!$O$55="Mayor"),CONCATENATE("R",'Mapa final'!$A$55),"")</f>
        <v/>
      </c>
      <c r="AQ30" s="459"/>
      <c r="AR30" s="459" t="str">
        <f>IF(AND('Mapa final'!$K$58="Alta",'Mapa final'!$O$58="Mayor"),CONCATENATE("R",'Mapa final'!$A$58),"")</f>
        <v/>
      </c>
      <c r="AS30" s="459"/>
      <c r="AT30" s="459" t="str">
        <f>IF(AND('Mapa final'!$K$61="Alta",'Mapa final'!$O$61="Mayor"),CONCATENATE("R",'Mapa final'!$A$61),"")</f>
        <v/>
      </c>
      <c r="AU30" s="459"/>
      <c r="AV30" s="459" t="str">
        <f>IF(AND('Mapa final'!$K$64="Alta",'Mapa final'!$O$64="Mayor"),CONCATENATE("R",'Mapa final'!$A$64),"")</f>
        <v/>
      </c>
      <c r="AW30" s="464"/>
      <c r="AX30" s="452" t="str">
        <f>IF(AND('Mapa final'!$K$52="Alta",'Mapa final'!$O$52="Catastrófico"),CONCATENATE("R",'Mapa final'!$A$52),"")</f>
        <v/>
      </c>
      <c r="AY30" s="450"/>
      <c r="AZ30" s="450" t="str">
        <f>IF(AND('Mapa final'!$K$55="Alta",'Mapa final'!$O$55="Catastrófico"),CONCATENATE("R",'Mapa final'!$A$55),"")</f>
        <v/>
      </c>
      <c r="BA30" s="450"/>
      <c r="BB30" s="450" t="str">
        <f>IF(AND('Mapa final'!$K$58="Alta",'Mapa final'!$O$58="Catastrófico"),CONCATENATE("R",'Mapa final'!$A$58),"")</f>
        <v/>
      </c>
      <c r="BC30" s="450"/>
      <c r="BD30" s="450" t="str">
        <f>IF(AND('Mapa final'!$K$61="Alta",'Mapa final'!$O$61="Catastrófico"),CONCATENATE("R",'Mapa final'!$A$61),"")</f>
        <v/>
      </c>
      <c r="BE30" s="450"/>
      <c r="BF30" s="450" t="str">
        <f>IF(AND('Mapa final'!$K$64="Alta",'Mapa final'!$O$64="Catastrófico"),CONCATENATE("R",'Mapa final'!$A$64),"")</f>
        <v/>
      </c>
      <c r="BG30" s="451"/>
      <c r="BH30" s="38"/>
      <c r="BI30" s="492"/>
      <c r="BJ30" s="493"/>
      <c r="BK30" s="493"/>
      <c r="BL30" s="493"/>
      <c r="BM30" s="493"/>
      <c r="BN30" s="494"/>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c r="CN30" s="38"/>
      <c r="CO30" s="38"/>
      <c r="CP30" s="38"/>
      <c r="CQ30" s="38"/>
      <c r="CR30" s="38"/>
      <c r="CS30" s="38"/>
      <c r="CT30" s="38"/>
      <c r="CU30" s="38"/>
      <c r="CV30" s="38"/>
    </row>
    <row r="31" spans="1:100" ht="15" customHeight="1" thickBot="1" x14ac:dyDescent="0.35">
      <c r="A31" s="38"/>
      <c r="B31" s="306"/>
      <c r="C31" s="307"/>
      <c r="D31" s="308"/>
      <c r="E31" s="527"/>
      <c r="F31" s="528"/>
      <c r="G31" s="528"/>
      <c r="H31" s="528"/>
      <c r="I31" s="528"/>
      <c r="J31" s="455"/>
      <c r="K31" s="453"/>
      <c r="L31" s="453"/>
      <c r="M31" s="453"/>
      <c r="N31" s="453"/>
      <c r="O31" s="453"/>
      <c r="P31" s="453"/>
      <c r="Q31" s="453"/>
      <c r="R31" s="453"/>
      <c r="S31" s="454"/>
      <c r="T31" s="455"/>
      <c r="U31" s="453"/>
      <c r="V31" s="453"/>
      <c r="W31" s="453"/>
      <c r="X31" s="453"/>
      <c r="Y31" s="453"/>
      <c r="Z31" s="453"/>
      <c r="AA31" s="453"/>
      <c r="AB31" s="453"/>
      <c r="AC31" s="454"/>
      <c r="AD31" s="458"/>
      <c r="AE31" s="459"/>
      <c r="AF31" s="459"/>
      <c r="AG31" s="459"/>
      <c r="AH31" s="459"/>
      <c r="AI31" s="459"/>
      <c r="AJ31" s="459"/>
      <c r="AK31" s="459"/>
      <c r="AL31" s="459"/>
      <c r="AM31" s="464"/>
      <c r="AN31" s="458"/>
      <c r="AO31" s="459"/>
      <c r="AP31" s="459"/>
      <c r="AQ31" s="459"/>
      <c r="AR31" s="459"/>
      <c r="AS31" s="459"/>
      <c r="AT31" s="459"/>
      <c r="AU31" s="459"/>
      <c r="AV31" s="459"/>
      <c r="AW31" s="464"/>
      <c r="AX31" s="452"/>
      <c r="AY31" s="450"/>
      <c r="AZ31" s="450"/>
      <c r="BA31" s="450"/>
      <c r="BB31" s="450"/>
      <c r="BC31" s="450"/>
      <c r="BD31" s="450"/>
      <c r="BE31" s="450"/>
      <c r="BF31" s="450"/>
      <c r="BG31" s="451"/>
      <c r="BH31" s="38"/>
      <c r="BI31" s="495"/>
      <c r="BJ31" s="496"/>
      <c r="BK31" s="496"/>
      <c r="BL31" s="496"/>
      <c r="BM31" s="496"/>
      <c r="BN31" s="497"/>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c r="CQ31" s="38"/>
      <c r="CR31" s="38"/>
      <c r="CS31" s="38"/>
      <c r="CT31" s="38"/>
      <c r="CU31" s="38"/>
      <c r="CV31" s="38"/>
    </row>
    <row r="32" spans="1:100" ht="15" customHeight="1" x14ac:dyDescent="0.3">
      <c r="A32" s="38"/>
      <c r="B32" s="306"/>
      <c r="C32" s="307"/>
      <c r="D32" s="308"/>
      <c r="E32" s="527"/>
      <c r="F32" s="528"/>
      <c r="G32" s="528"/>
      <c r="H32" s="528"/>
      <c r="I32" s="528"/>
      <c r="J32" s="455" t="str">
        <f>IF(AND('Mapa final'!$K$67="Alta",'Mapa final'!$O$67="Leve"),CONCATENATE("R",'Mapa final'!$A$67),"")</f>
        <v/>
      </c>
      <c r="K32" s="453"/>
      <c r="L32" s="453" t="str">
        <f>IF(AND('Mapa final'!$K$70="Alta",'Mapa final'!$O$70="Leve"),CONCATENATE("R",'Mapa final'!$A$70),"")</f>
        <v/>
      </c>
      <c r="M32" s="453"/>
      <c r="N32" s="453" t="str">
        <f>IF(AND('Mapa final'!$K$73="Alta",'Mapa final'!$O$73="Leve"),CONCATENATE("R",'Mapa final'!$A$73),"")</f>
        <v/>
      </c>
      <c r="O32" s="453"/>
      <c r="P32" s="453" t="str">
        <f>IF(AND('Mapa final'!$K$76="Alta",'Mapa final'!$O$76="Leve"),CONCATENATE("R",'Mapa final'!$A$76),"")</f>
        <v/>
      </c>
      <c r="Q32" s="453"/>
      <c r="R32" s="453" t="str">
        <f>IF(AND('Mapa final'!$K$79="Alta",'Mapa final'!$O$79="Leve"),CONCATENATE("R",'Mapa final'!$A$79),"")</f>
        <v/>
      </c>
      <c r="S32" s="454"/>
      <c r="T32" s="455" t="str">
        <f>IF(AND('Mapa final'!$K$67="Alta",'Mapa final'!$O$67="Menor"),CONCATENATE("R",'Mapa final'!$A$67),"")</f>
        <v/>
      </c>
      <c r="U32" s="453"/>
      <c r="V32" s="453" t="str">
        <f>IF(AND('Mapa final'!$K$70="Alta",'Mapa final'!$O$70="Menor"),CONCATENATE("R",'Mapa final'!$A$70),"")</f>
        <v/>
      </c>
      <c r="W32" s="453"/>
      <c r="X32" s="453" t="str">
        <f>IF(AND('Mapa final'!$K$73="Alta",'Mapa final'!$O$73="Menor"),CONCATENATE("R",'Mapa final'!$A$73),"")</f>
        <v/>
      </c>
      <c r="Y32" s="453"/>
      <c r="Z32" s="453" t="str">
        <f>IF(AND('Mapa final'!$K$76="Alta",'Mapa final'!$O$76="Menor"),CONCATENATE("R",'Mapa final'!$A$76),"")</f>
        <v/>
      </c>
      <c r="AA32" s="453"/>
      <c r="AB32" s="453" t="str">
        <f>IF(AND('Mapa final'!$K$79="Alta",'Mapa final'!$O$79="Menor"),CONCATENATE("R",'Mapa final'!$A$79),"")</f>
        <v/>
      </c>
      <c r="AC32" s="454"/>
      <c r="AD32" s="458" t="str">
        <f>IF(AND('Mapa final'!$K$67="Alta",'Mapa final'!$O$67="Moderado"),CONCATENATE("R",'Mapa final'!$A$67),"")</f>
        <v>R20</v>
      </c>
      <c r="AE32" s="459"/>
      <c r="AF32" s="459" t="str">
        <f>IF(AND('Mapa final'!$K$70="Alta",'Mapa final'!$O$70="Moderado"),CONCATENATE("R",'Mapa final'!$A$70),"")</f>
        <v/>
      </c>
      <c r="AG32" s="459"/>
      <c r="AH32" s="459" t="str">
        <f>IF(AND('Mapa final'!$K$73="Alta",'Mapa final'!$O$73="Moderado"),CONCATENATE("R",'Mapa final'!$A$73),"")</f>
        <v/>
      </c>
      <c r="AI32" s="459"/>
      <c r="AJ32" s="459" t="str">
        <f>IF(AND('Mapa final'!$K$76="Alta",'Mapa final'!$O$76="Moderado"),CONCATENATE("R",'Mapa final'!$A$76),"")</f>
        <v/>
      </c>
      <c r="AK32" s="459"/>
      <c r="AL32" s="459" t="str">
        <f>IF(AND('Mapa final'!$K$79="Alta",'Mapa final'!$O$79="Moderado"),CONCATENATE("R",'Mapa final'!$A$79),"")</f>
        <v/>
      </c>
      <c r="AM32" s="464"/>
      <c r="AN32" s="458" t="str">
        <f>IF(AND('Mapa final'!$K$67="Alta",'Mapa final'!$O$67="Mayor"),CONCATENATE("R",'Mapa final'!$A$67),"")</f>
        <v/>
      </c>
      <c r="AO32" s="459"/>
      <c r="AP32" s="459" t="str">
        <f>IF(AND('Mapa final'!$K$70="Alta",'Mapa final'!$O$70="Mayor"),CONCATENATE("R",'Mapa final'!$A$70),"")</f>
        <v/>
      </c>
      <c r="AQ32" s="459"/>
      <c r="AR32" s="459" t="str">
        <f>IF(AND('Mapa final'!$K$73="Alta",'Mapa final'!$O$73="Mayor"),CONCATENATE("R",'Mapa final'!$A$73),"")</f>
        <v/>
      </c>
      <c r="AS32" s="459"/>
      <c r="AT32" s="459" t="str">
        <f>IF(AND('Mapa final'!$K$76="Alta",'Mapa final'!$O$76="Mayor"),CONCATENATE("R",'Mapa final'!$A$76),"")</f>
        <v/>
      </c>
      <c r="AU32" s="459"/>
      <c r="AV32" s="459" t="str">
        <f>IF(AND('Mapa final'!$K$79="Alta",'Mapa final'!$O$79="Mayor"),CONCATENATE("R",'Mapa final'!$A$79),"")</f>
        <v/>
      </c>
      <c r="AW32" s="464"/>
      <c r="AX32" s="452" t="str">
        <f>IF(AND('Mapa final'!$K$67="Alta",'Mapa final'!$O$67="Catastrófico"),CONCATENATE("R",'Mapa final'!$A$67),"")</f>
        <v/>
      </c>
      <c r="AY32" s="450"/>
      <c r="AZ32" s="450" t="str">
        <f>IF(AND('Mapa final'!$K$70="Alta",'Mapa final'!$O$70="Catastrófico"),CONCATENATE("R",'Mapa final'!$A$70),"")</f>
        <v/>
      </c>
      <c r="BA32" s="450"/>
      <c r="BB32" s="450" t="str">
        <f>IF(AND('Mapa final'!$K$73="Alta",'Mapa final'!$O$73="Catastrófico"),CONCATENATE("R",'Mapa final'!$A$73),"")</f>
        <v/>
      </c>
      <c r="BC32" s="450"/>
      <c r="BD32" s="450" t="str">
        <f>IF(AND('Mapa final'!$K$76="Alta",'Mapa final'!$O$76="Catastrófico"),CONCATENATE("R",'Mapa final'!$A$76),"")</f>
        <v/>
      </c>
      <c r="BE32" s="450"/>
      <c r="BF32" s="450" t="str">
        <f>IF(AND('Mapa final'!$K$79="Alta",'Mapa final'!$O$79="Catastrófico"),CONCATENATE("R",'Mapa final'!$A$79),"")</f>
        <v/>
      </c>
      <c r="BG32" s="451"/>
      <c r="BH32" s="38"/>
      <c r="BI32" s="498" t="s">
        <v>74</v>
      </c>
      <c r="BJ32" s="499"/>
      <c r="BK32" s="499"/>
      <c r="BL32" s="499"/>
      <c r="BM32" s="499"/>
      <c r="BN32" s="500"/>
      <c r="BO32" s="38"/>
      <c r="BP32" s="38"/>
      <c r="BQ32" s="38"/>
      <c r="BR32" s="38"/>
      <c r="BS32" s="38"/>
      <c r="BT32" s="38"/>
      <c r="BU32" s="38"/>
      <c r="BV32" s="38"/>
      <c r="BW32" s="38"/>
      <c r="BX32" s="38"/>
      <c r="BY32" s="38"/>
      <c r="BZ32" s="38"/>
      <c r="CA32" s="38"/>
      <c r="CB32" s="38"/>
      <c r="CC32" s="38"/>
      <c r="CD32" s="38"/>
      <c r="CE32" s="38"/>
      <c r="CF32" s="38"/>
      <c r="CG32" s="38"/>
      <c r="CH32" s="38"/>
      <c r="CI32" s="38"/>
      <c r="CJ32" s="38"/>
      <c r="CK32" s="38"/>
      <c r="CL32" s="38"/>
      <c r="CM32" s="38"/>
      <c r="CN32" s="38"/>
      <c r="CO32" s="38"/>
      <c r="CP32" s="38"/>
      <c r="CQ32" s="38"/>
      <c r="CR32" s="38"/>
      <c r="CS32" s="38"/>
      <c r="CT32" s="38"/>
      <c r="CU32" s="38"/>
      <c r="CV32" s="38"/>
    </row>
    <row r="33" spans="1:100" ht="15" customHeight="1" x14ac:dyDescent="0.3">
      <c r="A33" s="38"/>
      <c r="B33" s="306"/>
      <c r="C33" s="307"/>
      <c r="D33" s="308"/>
      <c r="E33" s="527"/>
      <c r="F33" s="528"/>
      <c r="G33" s="528"/>
      <c r="H33" s="528"/>
      <c r="I33" s="528"/>
      <c r="J33" s="455"/>
      <c r="K33" s="453"/>
      <c r="L33" s="453"/>
      <c r="M33" s="453"/>
      <c r="N33" s="453"/>
      <c r="O33" s="453"/>
      <c r="P33" s="453"/>
      <c r="Q33" s="453"/>
      <c r="R33" s="453"/>
      <c r="S33" s="454"/>
      <c r="T33" s="455"/>
      <c r="U33" s="453"/>
      <c r="V33" s="453"/>
      <c r="W33" s="453"/>
      <c r="X33" s="453"/>
      <c r="Y33" s="453"/>
      <c r="Z33" s="453"/>
      <c r="AA33" s="453"/>
      <c r="AB33" s="453"/>
      <c r="AC33" s="454"/>
      <c r="AD33" s="458"/>
      <c r="AE33" s="459"/>
      <c r="AF33" s="459"/>
      <c r="AG33" s="459"/>
      <c r="AH33" s="459"/>
      <c r="AI33" s="459"/>
      <c r="AJ33" s="459"/>
      <c r="AK33" s="459"/>
      <c r="AL33" s="459"/>
      <c r="AM33" s="464"/>
      <c r="AN33" s="458"/>
      <c r="AO33" s="459"/>
      <c r="AP33" s="459"/>
      <c r="AQ33" s="459"/>
      <c r="AR33" s="459"/>
      <c r="AS33" s="459"/>
      <c r="AT33" s="459"/>
      <c r="AU33" s="459"/>
      <c r="AV33" s="459"/>
      <c r="AW33" s="464"/>
      <c r="AX33" s="452"/>
      <c r="AY33" s="450"/>
      <c r="AZ33" s="450"/>
      <c r="BA33" s="450"/>
      <c r="BB33" s="450"/>
      <c r="BC33" s="450"/>
      <c r="BD33" s="450"/>
      <c r="BE33" s="450"/>
      <c r="BF33" s="450"/>
      <c r="BG33" s="451"/>
      <c r="BH33" s="38"/>
      <c r="BI33" s="501"/>
      <c r="BJ33" s="502"/>
      <c r="BK33" s="502"/>
      <c r="BL33" s="502"/>
      <c r="BM33" s="502"/>
      <c r="BN33" s="503"/>
      <c r="BO33" s="38"/>
      <c r="BP33" s="38"/>
      <c r="BQ33" s="38"/>
      <c r="BR33" s="38"/>
      <c r="BS33" s="38"/>
      <c r="BT33" s="38"/>
      <c r="BU33" s="38"/>
      <c r="BV33" s="38"/>
      <c r="BW33" s="38"/>
      <c r="BX33" s="38"/>
      <c r="BY33" s="38"/>
      <c r="BZ33" s="38"/>
      <c r="CA33" s="38"/>
      <c r="CB33" s="38"/>
      <c r="CC33" s="38"/>
      <c r="CD33" s="38"/>
      <c r="CE33" s="38"/>
      <c r="CF33" s="38"/>
      <c r="CG33" s="38"/>
      <c r="CH33" s="38"/>
      <c r="CI33" s="38"/>
      <c r="CJ33" s="38"/>
      <c r="CK33" s="38"/>
      <c r="CL33" s="38"/>
      <c r="CM33" s="38"/>
      <c r="CN33" s="38"/>
      <c r="CO33" s="38"/>
      <c r="CP33" s="38"/>
      <c r="CQ33" s="38"/>
      <c r="CR33" s="38"/>
      <c r="CS33" s="38"/>
      <c r="CT33" s="38"/>
      <c r="CU33" s="38"/>
      <c r="CV33" s="38"/>
    </row>
    <row r="34" spans="1:100" ht="15" customHeight="1" x14ac:dyDescent="0.3">
      <c r="A34" s="38"/>
      <c r="B34" s="306"/>
      <c r="C34" s="307"/>
      <c r="D34" s="308"/>
      <c r="E34" s="527"/>
      <c r="F34" s="528"/>
      <c r="G34" s="528"/>
      <c r="H34" s="528"/>
      <c r="I34" s="528"/>
      <c r="J34" s="455" t="str">
        <f>IF(AND('Mapa final'!$K$82="Alta",'Mapa final'!$O$82="Leve"),CONCATENATE("R",'Mapa final'!$A$82),"")</f>
        <v/>
      </c>
      <c r="K34" s="453"/>
      <c r="L34" s="453" t="str">
        <f>IF(AND('Mapa final'!$K$85="Alta",'Mapa final'!$O$85="Leve"),CONCATENATE("R",'Mapa final'!$A$85),"")</f>
        <v/>
      </c>
      <c r="M34" s="453"/>
      <c r="N34" s="453" t="str">
        <f>IF(AND('Mapa final'!$K$88="Alta",'Mapa final'!$O$88="Leve"),CONCATENATE("R",'Mapa final'!$A$88),"")</f>
        <v/>
      </c>
      <c r="O34" s="453"/>
      <c r="P34" s="453" t="str">
        <f>IF(AND('Mapa final'!$K$91="Alta",'Mapa final'!$O$91="Leve"),CONCATENATE("R",'Mapa final'!$A$91),"")</f>
        <v/>
      </c>
      <c r="Q34" s="453"/>
      <c r="R34" s="453" t="str">
        <f>IF(AND('Mapa final'!$K$94="Alta",'Mapa final'!$O$94="Leve"),CONCATENATE("R",'Mapa final'!$A$94),"")</f>
        <v/>
      </c>
      <c r="S34" s="454"/>
      <c r="T34" s="455" t="str">
        <f>IF(AND('Mapa final'!$K$82="Alta",'Mapa final'!$O$82="Menor"),CONCATENATE("R",'Mapa final'!$A$82),"")</f>
        <v/>
      </c>
      <c r="U34" s="453"/>
      <c r="V34" s="453" t="str">
        <f>IF(AND('Mapa final'!$K$85="Alta",'Mapa final'!$O$85="Menor"),CONCATENATE("R",'Mapa final'!$A$85),"")</f>
        <v/>
      </c>
      <c r="W34" s="453"/>
      <c r="X34" s="453" t="str">
        <f>IF(AND('Mapa final'!$K$88="Alta",'Mapa final'!$O$88="Menor"),CONCATENATE("R",'Mapa final'!$A$88),"")</f>
        <v/>
      </c>
      <c r="Y34" s="453"/>
      <c r="Z34" s="453" t="str">
        <f>IF(AND('Mapa final'!$K$91="Alta",'Mapa final'!$O$91="Menor"),CONCATENATE("R",'Mapa final'!$A$91),"")</f>
        <v/>
      </c>
      <c r="AA34" s="453"/>
      <c r="AB34" s="453" t="str">
        <f>IF(AND('Mapa final'!$K$94="Alta",'Mapa final'!$O$94="Menor"),CONCATENATE("R",'Mapa final'!$A$94),"")</f>
        <v/>
      </c>
      <c r="AC34" s="454"/>
      <c r="AD34" s="458" t="str">
        <f>IF(AND('Mapa final'!$K$82="Alta",'Mapa final'!$O$82="Moderado"),CONCATENATE("R",'Mapa final'!$A$82),"")</f>
        <v/>
      </c>
      <c r="AE34" s="459"/>
      <c r="AF34" s="459" t="str">
        <f>IF(AND('Mapa final'!$K$85="Alta",'Mapa final'!$O$85="Moderado"),CONCATENATE("R",'Mapa final'!$A$85),"")</f>
        <v/>
      </c>
      <c r="AG34" s="459"/>
      <c r="AH34" s="459" t="str">
        <f>IF(AND('Mapa final'!$K$88="Alta",'Mapa final'!$O$88="Moderado"),CONCATENATE("R",'Mapa final'!$A$88),"")</f>
        <v/>
      </c>
      <c r="AI34" s="459"/>
      <c r="AJ34" s="459" t="str">
        <f>IF(AND('Mapa final'!$K$91="Alta",'Mapa final'!$O$91="Moderado"),CONCATENATE("R",'Mapa final'!$A$91),"")</f>
        <v/>
      </c>
      <c r="AK34" s="459"/>
      <c r="AL34" s="459" t="str">
        <f>IF(AND('Mapa final'!$K$94="Alta",'Mapa final'!$O$94="Moderado"),CONCATENATE("R",'Mapa final'!$A$94),"")</f>
        <v/>
      </c>
      <c r="AM34" s="464"/>
      <c r="AN34" s="458" t="str">
        <f>IF(AND('Mapa final'!$K$82="Alta",'Mapa final'!$O$82="Mayor"),CONCATENATE("R",'Mapa final'!$A$82),"")</f>
        <v/>
      </c>
      <c r="AO34" s="459"/>
      <c r="AP34" s="459" t="str">
        <f>IF(AND('Mapa final'!$K$85="Alta",'Mapa final'!$O$85="Mayor"),CONCATENATE("R",'Mapa final'!$A$85),"")</f>
        <v>R26</v>
      </c>
      <c r="AQ34" s="459"/>
      <c r="AR34" s="459" t="str">
        <f>IF(AND('Mapa final'!$K$88="Alta",'Mapa final'!$O$88="Mayor"),CONCATENATE("R",'Mapa final'!$A$88),"")</f>
        <v/>
      </c>
      <c r="AS34" s="459"/>
      <c r="AT34" s="459" t="str">
        <f>IF(AND('Mapa final'!$K$91="Alta",'Mapa final'!$O$91="Mayor"),CONCATENATE("R",'Mapa final'!$A$91),"")</f>
        <v/>
      </c>
      <c r="AU34" s="459"/>
      <c r="AV34" s="459" t="str">
        <f>IF(AND('Mapa final'!$K$94="Alta",'Mapa final'!$O$94="Mayor"),CONCATENATE("R",'Mapa final'!$A$94),"")</f>
        <v/>
      </c>
      <c r="AW34" s="464"/>
      <c r="AX34" s="452" t="str">
        <f>IF(AND('Mapa final'!$K$82="Alta",'Mapa final'!$O$82="Catastrófico"),CONCATENATE("R",'Mapa final'!$A$82),"")</f>
        <v/>
      </c>
      <c r="AY34" s="450"/>
      <c r="AZ34" s="450" t="str">
        <f>IF(AND('Mapa final'!$K$85="Alta",'Mapa final'!$O$85="Catastrófico"),CONCATENATE("R",'Mapa final'!$A$85),"")</f>
        <v/>
      </c>
      <c r="BA34" s="450"/>
      <c r="BB34" s="450" t="str">
        <f>IF(AND('Mapa final'!$K$88="Alta",'Mapa final'!$O$88="Catastrófico"),CONCATENATE("R",'Mapa final'!$A$88),"")</f>
        <v/>
      </c>
      <c r="BC34" s="450"/>
      <c r="BD34" s="450" t="str">
        <f>IF(AND('Mapa final'!$K$91="Alta",'Mapa final'!$O$91="Catastrófico"),CONCATENATE("R",'Mapa final'!$A$91),"")</f>
        <v/>
      </c>
      <c r="BE34" s="450"/>
      <c r="BF34" s="450" t="str">
        <f>IF(AND('Mapa final'!$K$94="Alta",'Mapa final'!$O$94="Catastrófico"),CONCATENATE("R",'Mapa final'!$A$94),"")</f>
        <v/>
      </c>
      <c r="BG34" s="451"/>
      <c r="BH34" s="38"/>
      <c r="BI34" s="501"/>
      <c r="BJ34" s="502"/>
      <c r="BK34" s="502"/>
      <c r="BL34" s="502"/>
      <c r="BM34" s="502"/>
      <c r="BN34" s="503"/>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38"/>
      <c r="CM34" s="38"/>
      <c r="CN34" s="38"/>
      <c r="CO34" s="38"/>
      <c r="CP34" s="38"/>
      <c r="CQ34" s="38"/>
      <c r="CR34" s="38"/>
      <c r="CS34" s="38"/>
      <c r="CT34" s="38"/>
      <c r="CU34" s="38"/>
      <c r="CV34" s="38"/>
    </row>
    <row r="35" spans="1:100" ht="15" customHeight="1" x14ac:dyDescent="0.3">
      <c r="A35" s="38"/>
      <c r="B35" s="306"/>
      <c r="C35" s="307"/>
      <c r="D35" s="308"/>
      <c r="E35" s="527"/>
      <c r="F35" s="528"/>
      <c r="G35" s="528"/>
      <c r="H35" s="528"/>
      <c r="I35" s="528"/>
      <c r="J35" s="455"/>
      <c r="K35" s="453"/>
      <c r="L35" s="453"/>
      <c r="M35" s="453"/>
      <c r="N35" s="453"/>
      <c r="O35" s="453"/>
      <c r="P35" s="453"/>
      <c r="Q35" s="453"/>
      <c r="R35" s="453"/>
      <c r="S35" s="454"/>
      <c r="T35" s="455"/>
      <c r="U35" s="453"/>
      <c r="V35" s="453"/>
      <c r="W35" s="453"/>
      <c r="X35" s="453"/>
      <c r="Y35" s="453"/>
      <c r="Z35" s="453"/>
      <c r="AA35" s="453"/>
      <c r="AB35" s="453"/>
      <c r="AC35" s="454"/>
      <c r="AD35" s="458"/>
      <c r="AE35" s="459"/>
      <c r="AF35" s="459"/>
      <c r="AG35" s="459"/>
      <c r="AH35" s="459"/>
      <c r="AI35" s="459"/>
      <c r="AJ35" s="459"/>
      <c r="AK35" s="459"/>
      <c r="AL35" s="459"/>
      <c r="AM35" s="464"/>
      <c r="AN35" s="458"/>
      <c r="AO35" s="459"/>
      <c r="AP35" s="459"/>
      <c r="AQ35" s="459"/>
      <c r="AR35" s="459"/>
      <c r="AS35" s="459"/>
      <c r="AT35" s="459"/>
      <c r="AU35" s="459"/>
      <c r="AV35" s="459"/>
      <c r="AW35" s="464"/>
      <c r="AX35" s="452"/>
      <c r="AY35" s="450"/>
      <c r="AZ35" s="450"/>
      <c r="BA35" s="450"/>
      <c r="BB35" s="450"/>
      <c r="BC35" s="450"/>
      <c r="BD35" s="450"/>
      <c r="BE35" s="450"/>
      <c r="BF35" s="450"/>
      <c r="BG35" s="451"/>
      <c r="BH35" s="38"/>
      <c r="BI35" s="501"/>
      <c r="BJ35" s="502"/>
      <c r="BK35" s="502"/>
      <c r="BL35" s="502"/>
      <c r="BM35" s="502"/>
      <c r="BN35" s="503"/>
      <c r="BO35" s="38"/>
      <c r="BP35" s="38"/>
      <c r="BQ35" s="38"/>
      <c r="BR35" s="38"/>
      <c r="BS35" s="38"/>
      <c r="BT35" s="38"/>
      <c r="BU35" s="38"/>
      <c r="BV35" s="38"/>
      <c r="BW35" s="38"/>
      <c r="BX35" s="38"/>
      <c r="BY35" s="38"/>
      <c r="BZ35" s="38"/>
      <c r="CA35" s="38"/>
      <c r="CB35" s="38"/>
      <c r="CC35" s="38"/>
      <c r="CD35" s="38"/>
      <c r="CE35" s="38"/>
      <c r="CF35" s="38"/>
      <c r="CG35" s="38"/>
      <c r="CH35" s="38"/>
      <c r="CI35" s="38"/>
      <c r="CJ35" s="38"/>
      <c r="CK35" s="38"/>
      <c r="CL35" s="38"/>
      <c r="CM35" s="38"/>
      <c r="CN35" s="38"/>
      <c r="CO35" s="38"/>
      <c r="CP35" s="38"/>
      <c r="CQ35" s="38"/>
      <c r="CR35" s="38"/>
      <c r="CS35" s="38"/>
      <c r="CT35" s="38"/>
      <c r="CU35" s="38"/>
      <c r="CV35" s="38"/>
    </row>
    <row r="36" spans="1:100" ht="15" customHeight="1" x14ac:dyDescent="0.3">
      <c r="A36" s="38"/>
      <c r="B36" s="306"/>
      <c r="C36" s="307"/>
      <c r="D36" s="308"/>
      <c r="E36" s="527"/>
      <c r="F36" s="528"/>
      <c r="G36" s="528"/>
      <c r="H36" s="528"/>
      <c r="I36" s="528"/>
      <c r="J36" s="455" t="str">
        <f>IF(AND('Mapa final'!$K$97="Alta",'Mapa final'!$O$97="Leve"),CONCATENATE("R",'Mapa final'!$A$97),"")</f>
        <v/>
      </c>
      <c r="K36" s="453"/>
      <c r="L36" s="453" t="str">
        <f>IF(AND('Mapa final'!$K$100="Alta",'Mapa final'!$O$100="Leve"),CONCATENATE("R",'Mapa final'!$A$100),"")</f>
        <v/>
      </c>
      <c r="M36" s="453"/>
      <c r="N36" s="453" t="str">
        <f>IF(AND('Mapa final'!$K$103="Alta",'Mapa final'!$O$103="Leve"),CONCATENATE("R",'Mapa final'!$A$103),"")</f>
        <v/>
      </c>
      <c r="O36" s="453"/>
      <c r="P36" s="453" t="str">
        <f>IF(AND('Mapa final'!$K$106="Alta",'Mapa final'!$O$106="Leve"),CONCATENATE("R",'Mapa final'!$A$106),"")</f>
        <v/>
      </c>
      <c r="Q36" s="453"/>
      <c r="R36" s="453" t="str">
        <f>IF(AND('Mapa final'!$K$109="Alta",'Mapa final'!$O$109="Leve"),CONCATENATE("R",'Mapa final'!$A$109),"")</f>
        <v/>
      </c>
      <c r="S36" s="453"/>
      <c r="T36" s="455" t="str">
        <f>IF(AND('Mapa final'!$K$97="Alta",'Mapa final'!$O$97="Menor"),CONCATENATE("R",'Mapa final'!$A$97),"")</f>
        <v/>
      </c>
      <c r="U36" s="453"/>
      <c r="V36" s="453" t="str">
        <f>IF(AND('Mapa final'!$K$100="Alta",'Mapa final'!$O$100="Menor"),CONCATENATE("R",'Mapa final'!$A$100),"")</f>
        <v/>
      </c>
      <c r="W36" s="453"/>
      <c r="X36" s="453" t="str">
        <f>IF(AND('Mapa final'!$K$103="Alta",'Mapa final'!$O$103="Menor"),CONCATENATE("R",'Mapa final'!$A$103),"")</f>
        <v/>
      </c>
      <c r="Y36" s="453"/>
      <c r="Z36" s="453" t="str">
        <f>IF(AND('Mapa final'!$K$106="Alta",'Mapa final'!$O$106="Menor"),CONCATENATE("R",'Mapa final'!$A$106),"")</f>
        <v/>
      </c>
      <c r="AA36" s="453"/>
      <c r="AB36" s="453" t="str">
        <f>IF(AND('Mapa final'!$K$109="Alta",'Mapa final'!$O$109="Menor"),CONCATENATE("R",'Mapa final'!$A$109),"")</f>
        <v/>
      </c>
      <c r="AC36" s="453"/>
      <c r="AD36" s="458" t="str">
        <f>IF(AND('Mapa final'!$K$97="Alta",'Mapa final'!$O$97="Moderado"),CONCATENATE("R",'Mapa final'!$A$97),"")</f>
        <v/>
      </c>
      <c r="AE36" s="459"/>
      <c r="AF36" s="459" t="str">
        <f>IF(AND('Mapa final'!$K$100="Alta",'Mapa final'!$O$100="Moderado"),CONCATENATE("R",'Mapa final'!$A$100),"")</f>
        <v/>
      </c>
      <c r="AG36" s="459"/>
      <c r="AH36" s="459" t="str">
        <f>IF(AND('Mapa final'!$K$103="Alta",'Mapa final'!$O$103="Moderado"),CONCATENATE("R",'Mapa final'!$A$103),"")</f>
        <v/>
      </c>
      <c r="AI36" s="459"/>
      <c r="AJ36" s="459" t="str">
        <f>IF(AND('Mapa final'!$K$106="Alta",'Mapa final'!$O$106="Moderado"),CONCATENATE("R",'Mapa final'!$A$106),"")</f>
        <v/>
      </c>
      <c r="AK36" s="459"/>
      <c r="AL36" s="459" t="str">
        <f>IF(AND('Mapa final'!$K$109="Alta",'Mapa final'!$O$109="Moderado"),CONCATENATE("R",'Mapa final'!$A$109),"")</f>
        <v/>
      </c>
      <c r="AM36" s="459"/>
      <c r="AN36" s="458" t="str">
        <f>IF(AND('Mapa final'!$K$97="Alta",'Mapa final'!$O$97="Mayor"),CONCATENATE("R",'Mapa final'!$A$97),"")</f>
        <v/>
      </c>
      <c r="AO36" s="459"/>
      <c r="AP36" s="459" t="str">
        <f>IF(AND('Mapa final'!$K$100="Alta",'Mapa final'!$O$100="Mayor"),CONCATENATE("R",'Mapa final'!$A$100),"")</f>
        <v/>
      </c>
      <c r="AQ36" s="459"/>
      <c r="AR36" s="459" t="str">
        <f>IF(AND('Mapa final'!$K$103="Alta",'Mapa final'!$O$103="Mayor"),CONCATENATE("R",'Mapa final'!$A$103),"")</f>
        <v/>
      </c>
      <c r="AS36" s="459"/>
      <c r="AT36" s="459" t="str">
        <f>IF(AND('Mapa final'!$K$106="Alta",'Mapa final'!$O$106="Mayor"),CONCATENATE("R",'Mapa final'!$A$106),"")</f>
        <v/>
      </c>
      <c r="AU36" s="459"/>
      <c r="AV36" s="459" t="str">
        <f>IF(AND('Mapa final'!$K$109="Alta",'Mapa final'!$O$109="Mayor"),CONCATENATE("R",'Mapa final'!$A$109),"")</f>
        <v/>
      </c>
      <c r="AW36" s="459"/>
      <c r="AX36" s="452" t="str">
        <f>IF(AND('Mapa final'!$K$97="Alta",'Mapa final'!$O$97="Catastrófico"),CONCATENATE("R",'Mapa final'!$A$97),"")</f>
        <v/>
      </c>
      <c r="AY36" s="450"/>
      <c r="AZ36" s="450" t="str">
        <f>IF(AND('Mapa final'!$K$100="Alta",'Mapa final'!$O$100="Catastrófico"),CONCATENATE("R",'Mapa final'!$A$100),"")</f>
        <v/>
      </c>
      <c r="BA36" s="450"/>
      <c r="BB36" s="450" t="str">
        <f>IF(AND('Mapa final'!$K$103="Alta",'Mapa final'!$O$103="Catastrófico"),CONCATENATE("R",'Mapa final'!$A$103),"")</f>
        <v/>
      </c>
      <c r="BC36" s="450"/>
      <c r="BD36" s="450" t="str">
        <f>IF(AND('Mapa final'!$K$106="Alta",'Mapa final'!$O$106="Catastrófico"),CONCATENATE("R",'Mapa final'!$A$106),"")</f>
        <v/>
      </c>
      <c r="BE36" s="450"/>
      <c r="BF36" s="450" t="str">
        <f>IF(AND('Mapa final'!$K$109="Alta",'Mapa final'!$O$109="Catastrófico"),CONCATENATE("R",'Mapa final'!$A$109),"")</f>
        <v/>
      </c>
      <c r="BG36" s="451"/>
      <c r="BH36" s="38"/>
      <c r="BI36" s="501"/>
      <c r="BJ36" s="502"/>
      <c r="BK36" s="502"/>
      <c r="BL36" s="502"/>
      <c r="BM36" s="502"/>
      <c r="BN36" s="503"/>
      <c r="BO36" s="38"/>
      <c r="BP36" s="38"/>
      <c r="BQ36" s="38"/>
      <c r="BR36" s="38"/>
      <c r="BS36" s="38"/>
      <c r="BT36" s="38"/>
      <c r="BU36" s="38"/>
      <c r="BV36" s="38"/>
      <c r="BW36" s="38"/>
      <c r="BX36" s="38"/>
      <c r="BY36" s="38"/>
      <c r="BZ36" s="38"/>
      <c r="CA36" s="38"/>
      <c r="CB36" s="38"/>
      <c r="CC36" s="38"/>
      <c r="CD36" s="38"/>
      <c r="CE36" s="38"/>
      <c r="CF36" s="38"/>
      <c r="CG36" s="38"/>
      <c r="CH36" s="38"/>
      <c r="CI36" s="38"/>
      <c r="CJ36" s="38"/>
      <c r="CK36" s="38"/>
      <c r="CL36" s="38"/>
      <c r="CM36" s="38"/>
      <c r="CN36" s="38"/>
      <c r="CO36" s="38"/>
      <c r="CP36" s="38"/>
      <c r="CQ36" s="38"/>
      <c r="CR36" s="38"/>
      <c r="CS36" s="38"/>
      <c r="CT36" s="38"/>
      <c r="CU36" s="38"/>
      <c r="CV36" s="38"/>
    </row>
    <row r="37" spans="1:100" ht="15" customHeight="1" x14ac:dyDescent="0.3">
      <c r="A37" s="38"/>
      <c r="B37" s="306"/>
      <c r="C37" s="307"/>
      <c r="D37" s="308"/>
      <c r="E37" s="527"/>
      <c r="F37" s="528"/>
      <c r="G37" s="528"/>
      <c r="H37" s="528"/>
      <c r="I37" s="528"/>
      <c r="J37" s="455"/>
      <c r="K37" s="453"/>
      <c r="L37" s="453"/>
      <c r="M37" s="453"/>
      <c r="N37" s="453"/>
      <c r="O37" s="453"/>
      <c r="P37" s="453"/>
      <c r="Q37" s="453"/>
      <c r="R37" s="453"/>
      <c r="S37" s="453"/>
      <c r="T37" s="455"/>
      <c r="U37" s="453"/>
      <c r="V37" s="453"/>
      <c r="W37" s="453"/>
      <c r="X37" s="453"/>
      <c r="Y37" s="453"/>
      <c r="Z37" s="453"/>
      <c r="AA37" s="453"/>
      <c r="AB37" s="453"/>
      <c r="AC37" s="453"/>
      <c r="AD37" s="458"/>
      <c r="AE37" s="459"/>
      <c r="AF37" s="459"/>
      <c r="AG37" s="459"/>
      <c r="AH37" s="459"/>
      <c r="AI37" s="459"/>
      <c r="AJ37" s="459"/>
      <c r="AK37" s="459"/>
      <c r="AL37" s="459"/>
      <c r="AM37" s="459"/>
      <c r="AN37" s="458"/>
      <c r="AO37" s="459"/>
      <c r="AP37" s="459"/>
      <c r="AQ37" s="459"/>
      <c r="AR37" s="459"/>
      <c r="AS37" s="459"/>
      <c r="AT37" s="459"/>
      <c r="AU37" s="459"/>
      <c r="AV37" s="459"/>
      <c r="AW37" s="459"/>
      <c r="AX37" s="452"/>
      <c r="AY37" s="450"/>
      <c r="AZ37" s="450"/>
      <c r="BA37" s="450"/>
      <c r="BB37" s="450"/>
      <c r="BC37" s="450"/>
      <c r="BD37" s="450"/>
      <c r="BE37" s="450"/>
      <c r="BF37" s="450"/>
      <c r="BG37" s="451"/>
      <c r="BH37" s="38"/>
      <c r="BI37" s="501"/>
      <c r="BJ37" s="502"/>
      <c r="BK37" s="502"/>
      <c r="BL37" s="502"/>
      <c r="BM37" s="502"/>
      <c r="BN37" s="503"/>
      <c r="BO37" s="38"/>
      <c r="BP37" s="38"/>
      <c r="BQ37" s="38"/>
      <c r="BR37" s="38"/>
      <c r="BS37" s="38"/>
      <c r="BT37" s="38"/>
      <c r="BU37" s="38"/>
      <c r="BV37" s="38"/>
      <c r="BW37" s="38"/>
      <c r="BX37" s="38"/>
      <c r="BY37" s="38"/>
      <c r="BZ37" s="38"/>
      <c r="CA37" s="38"/>
      <c r="CB37" s="38"/>
      <c r="CC37" s="38"/>
      <c r="CD37" s="38"/>
      <c r="CE37" s="38"/>
      <c r="CF37" s="38"/>
      <c r="CG37" s="38"/>
      <c r="CH37" s="38"/>
      <c r="CI37" s="38"/>
      <c r="CJ37" s="38"/>
      <c r="CK37" s="38"/>
      <c r="CL37" s="38"/>
      <c r="CM37" s="38"/>
      <c r="CN37" s="38"/>
      <c r="CO37" s="38"/>
      <c r="CP37" s="38"/>
      <c r="CQ37" s="38"/>
      <c r="CR37" s="38"/>
      <c r="CS37" s="38"/>
      <c r="CT37" s="38"/>
      <c r="CU37" s="38"/>
      <c r="CV37" s="38"/>
    </row>
    <row r="38" spans="1:100" ht="15" customHeight="1" x14ac:dyDescent="0.3">
      <c r="A38" s="38"/>
      <c r="B38" s="306"/>
      <c r="C38" s="307"/>
      <c r="D38" s="308"/>
      <c r="E38" s="527"/>
      <c r="F38" s="528"/>
      <c r="G38" s="528"/>
      <c r="H38" s="528"/>
      <c r="I38" s="528"/>
      <c r="J38" s="455" t="str">
        <f>IF(AND('Mapa final'!$K$112="Alta",'Mapa final'!$O$112="Leve"),CONCATENATE("R",'Mapa final'!$A$112),"")</f>
        <v/>
      </c>
      <c r="K38" s="453"/>
      <c r="L38" s="453" t="str">
        <f>IF(AND('Mapa final'!$K$115="Alta",'Mapa final'!$O$115="Leve"),CONCATENATE("R",'Mapa final'!$A$115),"")</f>
        <v/>
      </c>
      <c r="M38" s="453"/>
      <c r="N38" s="453" t="str">
        <f>IF(AND('Mapa final'!$K$118="Alta",'Mapa final'!$O$118="Leve"),CONCATENATE("R",'Mapa final'!$A$118),"")</f>
        <v/>
      </c>
      <c r="O38" s="453"/>
      <c r="P38" s="453" t="str">
        <f>IF(AND('Mapa final'!$K$121="Alta",'Mapa final'!$O$121="Leve"),CONCATENATE("R",'Mapa final'!$A$121),"")</f>
        <v/>
      </c>
      <c r="Q38" s="453"/>
      <c r="R38" s="453" t="str">
        <f>IF(AND('Mapa final'!$K$124="Alta",'Mapa final'!$O$124="Leve"),CONCATENATE("R",'Mapa final'!$A$124),"")</f>
        <v/>
      </c>
      <c r="S38" s="453"/>
      <c r="T38" s="455" t="str">
        <f>IF(AND('Mapa final'!$K$112="Alta",'Mapa final'!$O$112="Menor"),CONCATENATE("R",'Mapa final'!$A$112),"")</f>
        <v/>
      </c>
      <c r="U38" s="453"/>
      <c r="V38" s="453" t="str">
        <f>IF(AND('Mapa final'!$K$115="Alta",'Mapa final'!$O$115="Menor"),CONCATENATE("R",'Mapa final'!$A$115),"")</f>
        <v/>
      </c>
      <c r="W38" s="453"/>
      <c r="X38" s="453" t="str">
        <f>IF(AND('Mapa final'!$K$118="Alta",'Mapa final'!$O$118="Menor"),CONCATENATE("R",'Mapa final'!$A$118),"")</f>
        <v/>
      </c>
      <c r="Y38" s="453"/>
      <c r="Z38" s="453" t="str">
        <f>IF(AND('Mapa final'!$K$121="Alta",'Mapa final'!$O$121="Menor"),CONCATENATE("R",'Mapa final'!$A$121),"")</f>
        <v/>
      </c>
      <c r="AA38" s="453"/>
      <c r="AB38" s="453" t="str">
        <f>IF(AND('Mapa final'!$K$124="Alta",'Mapa final'!$O$124="Menor"),CONCATENATE("R",'Mapa final'!$A$124),"")</f>
        <v/>
      </c>
      <c r="AC38" s="453"/>
      <c r="AD38" s="458" t="str">
        <f>IF(AND('Mapa final'!$K$112="Alta",'Mapa final'!$O$112="Moderado"),CONCATENATE("R",'Mapa final'!$A$112),"")</f>
        <v/>
      </c>
      <c r="AE38" s="459"/>
      <c r="AF38" s="459" t="str">
        <f>IF(AND('Mapa final'!$K$115="Alta",'Mapa final'!$O$115="Moderado"),CONCATENATE("R",'Mapa final'!$A$115),"")</f>
        <v>R36</v>
      </c>
      <c r="AG38" s="459"/>
      <c r="AH38" s="459" t="str">
        <f>IF(AND('Mapa final'!$K$118="Alta",'Mapa final'!$O$118="Moderado"),CONCATENATE("R",'Mapa final'!$A$118),"")</f>
        <v/>
      </c>
      <c r="AI38" s="459"/>
      <c r="AJ38" s="459" t="str">
        <f>IF(AND('Mapa final'!$K$121="Alta",'Mapa final'!$O$121="Moderado"),CONCATENATE("R",'Mapa final'!$A$121),"")</f>
        <v/>
      </c>
      <c r="AK38" s="459"/>
      <c r="AL38" s="459" t="str">
        <f>IF(AND('Mapa final'!$K$124="Alta",'Mapa final'!$O$124="Moderado"),CONCATENATE("R",'Mapa final'!$A$124),"")</f>
        <v/>
      </c>
      <c r="AM38" s="459"/>
      <c r="AN38" s="458" t="str">
        <f>IF(AND('Mapa final'!$K$112="Alta",'Mapa final'!$O$112="Mayor"),CONCATENATE("R",'Mapa final'!$A$112),"")</f>
        <v/>
      </c>
      <c r="AO38" s="459"/>
      <c r="AP38" s="459" t="str">
        <f>IF(AND('Mapa final'!$K$115="Alta",'Mapa final'!$O$115="Mayor"),CONCATENATE("R",'Mapa final'!$A$115),"")</f>
        <v/>
      </c>
      <c r="AQ38" s="459"/>
      <c r="AR38" s="459" t="str">
        <f>IF(AND('Mapa final'!$K$118="Alta",'Mapa final'!$O$118="Mayor"),CONCATENATE("R",'Mapa final'!$A$118),"")</f>
        <v/>
      </c>
      <c r="AS38" s="459"/>
      <c r="AT38" s="459" t="str">
        <f>IF(AND('Mapa final'!$K$121="Alta",'Mapa final'!$O$121="Mayor"),CONCATENATE("R",'Mapa final'!$A$121),"")</f>
        <v/>
      </c>
      <c r="AU38" s="459"/>
      <c r="AV38" s="459" t="str">
        <f>IF(AND('Mapa final'!$K$124="Alta",'Mapa final'!$O$124="Mayor"),CONCATENATE("R",'Mapa final'!$A$124),"")</f>
        <v/>
      </c>
      <c r="AW38" s="459"/>
      <c r="AX38" s="452" t="str">
        <f>IF(AND('Mapa final'!$K$112="Alta",'Mapa final'!$O$112="Catastrófico"),CONCATENATE("R",'Mapa final'!$A$112),"")</f>
        <v/>
      </c>
      <c r="AY38" s="450"/>
      <c r="AZ38" s="450" t="str">
        <f>IF(AND('Mapa final'!$K$115="Alta",'Mapa final'!$O$115="Catastrófico"),CONCATENATE("R",'Mapa final'!$A$115),"")</f>
        <v/>
      </c>
      <c r="BA38" s="450"/>
      <c r="BB38" s="450" t="str">
        <f>IF(AND('Mapa final'!$K$118="Alta",'Mapa final'!$O$118="Catastrófico"),CONCATENATE("R",'Mapa final'!$A$118),"")</f>
        <v/>
      </c>
      <c r="BC38" s="450"/>
      <c r="BD38" s="450" t="str">
        <f>IF(AND('Mapa final'!$K$121="Alta",'Mapa final'!$O$121="Catastrófico"),CONCATENATE("R",'Mapa final'!$A$121),"")</f>
        <v/>
      </c>
      <c r="BE38" s="450"/>
      <c r="BF38" s="450" t="str">
        <f>IF(AND('Mapa final'!$K$124="Alta",'Mapa final'!$O$124="Catastrófico"),CONCATENATE("R",'Mapa final'!$A$124),"")</f>
        <v/>
      </c>
      <c r="BG38" s="451"/>
      <c r="BH38" s="38"/>
      <c r="BI38" s="501"/>
      <c r="BJ38" s="502"/>
      <c r="BK38" s="502"/>
      <c r="BL38" s="502"/>
      <c r="BM38" s="502"/>
      <c r="BN38" s="503"/>
      <c r="BO38" s="38"/>
      <c r="BP38" s="38"/>
      <c r="BQ38" s="38"/>
      <c r="BR38" s="38"/>
      <c r="BS38" s="38"/>
      <c r="BT38" s="38"/>
      <c r="BU38" s="38"/>
      <c r="BV38" s="38"/>
      <c r="BW38" s="38"/>
      <c r="BX38" s="38"/>
      <c r="BY38" s="38"/>
      <c r="BZ38" s="38"/>
      <c r="CA38" s="38"/>
      <c r="CB38" s="38"/>
      <c r="CC38" s="38"/>
      <c r="CD38" s="38"/>
      <c r="CE38" s="38"/>
      <c r="CF38" s="38"/>
      <c r="CG38" s="38"/>
      <c r="CH38" s="38"/>
      <c r="CI38" s="38"/>
      <c r="CJ38" s="38"/>
      <c r="CK38" s="38"/>
      <c r="CL38" s="38"/>
      <c r="CM38" s="38"/>
      <c r="CN38" s="38"/>
      <c r="CO38" s="38"/>
      <c r="CP38" s="38"/>
      <c r="CQ38" s="38"/>
      <c r="CR38" s="38"/>
      <c r="CS38" s="38"/>
      <c r="CT38" s="38"/>
      <c r="CU38" s="38"/>
      <c r="CV38" s="38"/>
    </row>
    <row r="39" spans="1:100" ht="15" customHeight="1" x14ac:dyDescent="0.3">
      <c r="A39" s="38"/>
      <c r="B39" s="306"/>
      <c r="C39" s="307"/>
      <c r="D39" s="308"/>
      <c r="E39" s="527"/>
      <c r="F39" s="528"/>
      <c r="G39" s="528"/>
      <c r="H39" s="528"/>
      <c r="I39" s="528"/>
      <c r="J39" s="455"/>
      <c r="K39" s="453"/>
      <c r="L39" s="453"/>
      <c r="M39" s="453"/>
      <c r="N39" s="453"/>
      <c r="O39" s="453"/>
      <c r="P39" s="453"/>
      <c r="Q39" s="453"/>
      <c r="R39" s="453"/>
      <c r="S39" s="453"/>
      <c r="T39" s="455"/>
      <c r="U39" s="453"/>
      <c r="V39" s="453"/>
      <c r="W39" s="453"/>
      <c r="X39" s="453"/>
      <c r="Y39" s="453"/>
      <c r="Z39" s="453"/>
      <c r="AA39" s="453"/>
      <c r="AB39" s="453"/>
      <c r="AC39" s="453"/>
      <c r="AD39" s="458"/>
      <c r="AE39" s="459"/>
      <c r="AF39" s="459"/>
      <c r="AG39" s="459"/>
      <c r="AH39" s="459"/>
      <c r="AI39" s="459"/>
      <c r="AJ39" s="459"/>
      <c r="AK39" s="459"/>
      <c r="AL39" s="459"/>
      <c r="AM39" s="459"/>
      <c r="AN39" s="458"/>
      <c r="AO39" s="459"/>
      <c r="AP39" s="459"/>
      <c r="AQ39" s="459"/>
      <c r="AR39" s="459"/>
      <c r="AS39" s="459"/>
      <c r="AT39" s="459"/>
      <c r="AU39" s="459"/>
      <c r="AV39" s="459"/>
      <c r="AW39" s="459"/>
      <c r="AX39" s="452"/>
      <c r="AY39" s="450"/>
      <c r="AZ39" s="450"/>
      <c r="BA39" s="450"/>
      <c r="BB39" s="450"/>
      <c r="BC39" s="450"/>
      <c r="BD39" s="450"/>
      <c r="BE39" s="450"/>
      <c r="BF39" s="450"/>
      <c r="BG39" s="451"/>
      <c r="BH39" s="38"/>
      <c r="BI39" s="501"/>
      <c r="BJ39" s="502"/>
      <c r="BK39" s="502"/>
      <c r="BL39" s="502"/>
      <c r="BM39" s="502"/>
      <c r="BN39" s="503"/>
      <c r="BO39" s="38"/>
      <c r="BP39" s="38"/>
      <c r="BQ39" s="38"/>
      <c r="BR39" s="38"/>
      <c r="BS39" s="38"/>
      <c r="BT39" s="38"/>
      <c r="BU39" s="38"/>
      <c r="BV39" s="38"/>
      <c r="BW39" s="38"/>
      <c r="BX39" s="38"/>
      <c r="BY39" s="38"/>
      <c r="BZ39" s="38"/>
      <c r="CA39" s="38"/>
      <c r="CB39" s="38"/>
      <c r="CC39" s="38"/>
      <c r="CD39" s="38"/>
      <c r="CE39" s="38"/>
      <c r="CF39" s="38"/>
      <c r="CG39" s="38"/>
      <c r="CH39" s="38"/>
      <c r="CI39" s="38"/>
      <c r="CJ39" s="38"/>
      <c r="CK39" s="38"/>
      <c r="CL39" s="38"/>
      <c r="CM39" s="38"/>
      <c r="CN39" s="38"/>
      <c r="CO39" s="38"/>
      <c r="CP39" s="38"/>
      <c r="CQ39" s="38"/>
      <c r="CR39" s="38"/>
      <c r="CS39" s="38"/>
      <c r="CT39" s="38"/>
      <c r="CU39" s="38"/>
      <c r="CV39" s="38"/>
    </row>
    <row r="40" spans="1:100" ht="15" customHeight="1" x14ac:dyDescent="0.3">
      <c r="A40" s="38"/>
      <c r="B40" s="306"/>
      <c r="C40" s="307"/>
      <c r="D40" s="308"/>
      <c r="E40" s="527"/>
      <c r="F40" s="528"/>
      <c r="G40" s="528"/>
      <c r="H40" s="528"/>
      <c r="I40" s="528"/>
      <c r="J40" s="455" t="str">
        <f>IF(AND('Mapa final'!$K$130="Alta",'Mapa final'!$O$130="Leve"),CONCATENATE("R",'Mapa final'!$A$130),"")</f>
        <v/>
      </c>
      <c r="K40" s="453"/>
      <c r="L40" s="453" t="str">
        <f>IF(AND('Mapa final'!$K$133="Alta",'Mapa final'!$O$133="Leve"),CONCATENATE("R",'Mapa final'!$A$133),"")</f>
        <v/>
      </c>
      <c r="M40" s="453"/>
      <c r="N40" s="453" t="str">
        <f>IF(AND('Mapa final'!$K$136="Alta",'Mapa final'!$O$136="Leve"),CONCATENATE("R",'Mapa final'!$A$136),"")</f>
        <v/>
      </c>
      <c r="O40" s="453"/>
      <c r="P40" s="453" t="str">
        <f>IF(AND('Mapa final'!$K$139="Alta",'Mapa final'!$O$139="Leve"),CONCATENATE("R",'Mapa final'!$A$139),"")</f>
        <v/>
      </c>
      <c r="Q40" s="453"/>
      <c r="R40" s="453" t="str">
        <f>IF(AND('Mapa final'!$K$142="Alta",'Mapa final'!$O$142="Leve"),CONCATENATE("R",'Mapa final'!$A$142),"")</f>
        <v/>
      </c>
      <c r="S40" s="454"/>
      <c r="T40" s="455" t="str">
        <f>IF(AND('Mapa final'!$K$130="Alta",'Mapa final'!$O$130="Menor"),CONCATENATE("R",'Mapa final'!$A$130),"")</f>
        <v/>
      </c>
      <c r="U40" s="453"/>
      <c r="V40" s="453" t="str">
        <f>IF(AND('Mapa final'!$K$133="Alta",'Mapa final'!$O$133="Menor"),CONCATENATE("R",'Mapa final'!$A$133),"")</f>
        <v/>
      </c>
      <c r="W40" s="453"/>
      <c r="X40" s="453" t="str">
        <f>IF(AND('Mapa final'!$K$136="Alta",'Mapa final'!$O$136="Menor"),CONCATENATE("R",'Mapa final'!$A$136),"")</f>
        <v/>
      </c>
      <c r="Y40" s="453"/>
      <c r="Z40" s="453" t="str">
        <f>IF(AND('Mapa final'!$K$139="Alta",'Mapa final'!$O$139="Menor"),CONCATENATE("R",'Mapa final'!$A$139),"")</f>
        <v/>
      </c>
      <c r="AA40" s="453"/>
      <c r="AB40" s="453" t="str">
        <f>IF(AND('Mapa final'!$K$142="Alta",'Mapa final'!$O$142="Menor"),CONCATENATE("R",'Mapa final'!$A$142),"")</f>
        <v/>
      </c>
      <c r="AC40" s="454"/>
      <c r="AD40" s="458" t="str">
        <f>IF(AND('Mapa final'!$K$130="Alta",'Mapa final'!$O$130="Moderado"),CONCATENATE("R",'Mapa final'!$A$130),"")</f>
        <v/>
      </c>
      <c r="AE40" s="459"/>
      <c r="AF40" s="459" t="str">
        <f>IF(AND('Mapa final'!$K$133="Alta",'Mapa final'!$O$133="Moderado"),CONCATENATE("R",'Mapa final'!$A$133),"")</f>
        <v/>
      </c>
      <c r="AG40" s="459"/>
      <c r="AH40" s="459" t="str">
        <f>IF(AND('Mapa final'!$K$136="Alta",'Mapa final'!$O$136="Moderado"),CONCATENATE("R",'Mapa final'!$A$136),"")</f>
        <v/>
      </c>
      <c r="AI40" s="459"/>
      <c r="AJ40" s="459" t="str">
        <f>IF(AND('Mapa final'!$K$139="Alta",'Mapa final'!$O$139="Moderado"),CONCATENATE("R",'Mapa final'!$A$139),"")</f>
        <v/>
      </c>
      <c r="AK40" s="459"/>
      <c r="AL40" s="459" t="str">
        <f>IF(AND('Mapa final'!$K$142="Alta",'Mapa final'!$O$142="Moderado"),CONCATENATE("R",'Mapa final'!$A$142),"")</f>
        <v/>
      </c>
      <c r="AM40" s="464"/>
      <c r="AN40" s="458" t="str">
        <f>IF(AND('Mapa final'!$K$130="Alta",'Mapa final'!$O$130="Mayor"),CONCATENATE("R",'Mapa final'!$A$130),"")</f>
        <v/>
      </c>
      <c r="AO40" s="459"/>
      <c r="AP40" s="459" t="str">
        <f>IF(AND('Mapa final'!$K$133="Alta",'Mapa final'!$O$133="Mayor"),CONCATENATE("R",'Mapa final'!$A$133),"")</f>
        <v/>
      </c>
      <c r="AQ40" s="459"/>
      <c r="AR40" s="459" t="str">
        <f>IF(AND('Mapa final'!$K$136="Alta",'Mapa final'!$O$136="Mayor"),CONCATENATE("R",'Mapa final'!$A$136),"")</f>
        <v/>
      </c>
      <c r="AS40" s="459"/>
      <c r="AT40" s="459" t="str">
        <f>IF(AND('Mapa final'!$K$139="Alta",'Mapa final'!$O$139="Mayor"),CONCATENATE("R",'Mapa final'!$A$139),"")</f>
        <v/>
      </c>
      <c r="AU40" s="459"/>
      <c r="AV40" s="459" t="str">
        <f>IF(AND('Mapa final'!$K$142="Alta",'Mapa final'!$O$142="Mayor"),CONCATENATE("R",'Mapa final'!$A$142),"")</f>
        <v/>
      </c>
      <c r="AW40" s="464"/>
      <c r="AX40" s="452" t="str">
        <f>IF(AND('Mapa final'!$K$130="Alta",'Mapa final'!$O$130="Catastrófico"),CONCATENATE("R",'Mapa final'!$A$130),"")</f>
        <v/>
      </c>
      <c r="AY40" s="450"/>
      <c r="AZ40" s="450" t="str">
        <f>IF(AND('Mapa final'!$K$133="Alta",'Mapa final'!$O$133="Catastrófico"),CONCATENATE("R",'Mapa final'!$A$133),"")</f>
        <v/>
      </c>
      <c r="BA40" s="450"/>
      <c r="BB40" s="450" t="str">
        <f>IF(AND('Mapa final'!$K$136="Alta",'Mapa final'!$O$136="Catastrófico"),CONCATENATE("R",'Mapa final'!$A$136),"")</f>
        <v/>
      </c>
      <c r="BC40" s="450"/>
      <c r="BD40" s="450" t="str">
        <f>IF(AND('Mapa final'!$K$139="Alta",'Mapa final'!$O$139="Catastrófico"),CONCATENATE("R",'Mapa final'!$A$139),"")</f>
        <v/>
      </c>
      <c r="BE40" s="450"/>
      <c r="BF40" s="450" t="str">
        <f>IF(AND('Mapa final'!$K$142="Alta",'Mapa final'!$O$142="Catastrófico"),CONCATENATE("R",'Mapa final'!$A$142),"")</f>
        <v/>
      </c>
      <c r="BG40" s="451"/>
      <c r="BH40" s="38"/>
      <c r="BI40" s="501"/>
      <c r="BJ40" s="502"/>
      <c r="BK40" s="502"/>
      <c r="BL40" s="502"/>
      <c r="BM40" s="502"/>
      <c r="BN40" s="503"/>
      <c r="BO40" s="38"/>
      <c r="BP40" s="38"/>
      <c r="BQ40" s="38"/>
      <c r="BR40" s="38"/>
      <c r="BS40" s="38"/>
      <c r="BT40" s="38"/>
      <c r="BU40" s="38"/>
      <c r="BV40" s="38"/>
      <c r="BW40" s="38"/>
      <c r="BX40" s="38"/>
      <c r="BY40" s="38"/>
      <c r="BZ40" s="38"/>
      <c r="CA40" s="38"/>
      <c r="CB40" s="38"/>
      <c r="CC40" s="38"/>
      <c r="CD40" s="38"/>
      <c r="CE40" s="38"/>
      <c r="CF40" s="38"/>
      <c r="CG40" s="38"/>
      <c r="CH40" s="38"/>
      <c r="CI40" s="38"/>
      <c r="CJ40" s="38"/>
      <c r="CK40" s="38"/>
      <c r="CL40" s="38"/>
      <c r="CM40" s="38"/>
      <c r="CN40" s="38"/>
      <c r="CO40" s="38"/>
      <c r="CP40" s="38"/>
      <c r="CQ40" s="38"/>
      <c r="CR40" s="38"/>
      <c r="CS40" s="38"/>
      <c r="CT40" s="38"/>
      <c r="CU40" s="38"/>
      <c r="CV40" s="38"/>
    </row>
    <row r="41" spans="1:100" ht="15" customHeight="1" thickBot="1" x14ac:dyDescent="0.35">
      <c r="A41" s="38"/>
      <c r="B41" s="306"/>
      <c r="C41" s="307"/>
      <c r="D41" s="308"/>
      <c r="E41" s="527"/>
      <c r="F41" s="528"/>
      <c r="G41" s="528"/>
      <c r="H41" s="528"/>
      <c r="I41" s="528"/>
      <c r="J41" s="455"/>
      <c r="K41" s="453"/>
      <c r="L41" s="453"/>
      <c r="M41" s="453"/>
      <c r="N41" s="453"/>
      <c r="O41" s="453"/>
      <c r="P41" s="453"/>
      <c r="Q41" s="453"/>
      <c r="R41" s="453"/>
      <c r="S41" s="454"/>
      <c r="T41" s="455"/>
      <c r="U41" s="453"/>
      <c r="V41" s="453"/>
      <c r="W41" s="453"/>
      <c r="X41" s="453"/>
      <c r="Y41" s="453"/>
      <c r="Z41" s="453"/>
      <c r="AA41" s="453"/>
      <c r="AB41" s="453"/>
      <c r="AC41" s="454"/>
      <c r="AD41" s="458"/>
      <c r="AE41" s="459"/>
      <c r="AF41" s="459"/>
      <c r="AG41" s="459"/>
      <c r="AH41" s="459"/>
      <c r="AI41" s="459"/>
      <c r="AJ41" s="459"/>
      <c r="AK41" s="459"/>
      <c r="AL41" s="459"/>
      <c r="AM41" s="464"/>
      <c r="AN41" s="458"/>
      <c r="AO41" s="459"/>
      <c r="AP41" s="459"/>
      <c r="AQ41" s="459"/>
      <c r="AR41" s="459"/>
      <c r="AS41" s="459"/>
      <c r="AT41" s="459"/>
      <c r="AU41" s="459"/>
      <c r="AV41" s="459"/>
      <c r="AW41" s="464"/>
      <c r="AX41" s="484"/>
      <c r="AY41" s="472"/>
      <c r="AZ41" s="472"/>
      <c r="BA41" s="472"/>
      <c r="BB41" s="472"/>
      <c r="BC41" s="472"/>
      <c r="BD41" s="472"/>
      <c r="BE41" s="472"/>
      <c r="BF41" s="472"/>
      <c r="BG41" s="473"/>
      <c r="BH41" s="38"/>
      <c r="BI41" s="501"/>
      <c r="BJ41" s="502"/>
      <c r="BK41" s="502"/>
      <c r="BL41" s="502"/>
      <c r="BM41" s="502"/>
      <c r="BN41" s="503"/>
      <c r="BO41" s="38"/>
      <c r="BP41" s="38"/>
      <c r="BQ41" s="38"/>
      <c r="BR41" s="38"/>
      <c r="BS41" s="38"/>
      <c r="BT41" s="38"/>
      <c r="BU41" s="38"/>
      <c r="BV41" s="38"/>
      <c r="BW41" s="38"/>
      <c r="BX41" s="38"/>
      <c r="BY41" s="38"/>
      <c r="BZ41" s="38"/>
      <c r="CA41" s="38"/>
      <c r="CB41" s="38"/>
      <c r="CC41" s="38"/>
      <c r="CD41" s="38"/>
      <c r="CE41" s="38"/>
      <c r="CF41" s="38"/>
      <c r="CG41" s="38"/>
      <c r="CH41" s="38"/>
      <c r="CI41" s="38"/>
      <c r="CJ41" s="38"/>
      <c r="CK41" s="38"/>
      <c r="CL41" s="38"/>
      <c r="CM41" s="38"/>
      <c r="CN41" s="38"/>
      <c r="CO41" s="38"/>
      <c r="CP41" s="38"/>
      <c r="CQ41" s="38"/>
      <c r="CR41" s="38"/>
      <c r="CS41" s="38"/>
      <c r="CT41" s="38"/>
      <c r="CU41" s="38"/>
      <c r="CV41" s="38"/>
    </row>
    <row r="42" spans="1:100" ht="15" customHeight="1" x14ac:dyDescent="0.3">
      <c r="A42" s="38"/>
      <c r="B42" s="306"/>
      <c r="C42" s="307"/>
      <c r="D42" s="308"/>
      <c r="E42" s="525" t="s">
        <v>108</v>
      </c>
      <c r="F42" s="526"/>
      <c r="G42" s="526"/>
      <c r="H42" s="526"/>
      <c r="I42" s="526"/>
      <c r="J42" s="465" t="str">
        <f>IF(AND('Mapa final'!$K$7="Media",'Mapa final'!$O$7="Leve"),CONCATENATE("R",'Mapa final'!$A$7),"")</f>
        <v/>
      </c>
      <c r="K42" s="466"/>
      <c r="L42" s="466" t="str">
        <f>IF(AND('Mapa final'!$K$10="Media",'Mapa final'!$O$10="Leve"),CONCATENATE("R",'Mapa final'!$A$10),"")</f>
        <v/>
      </c>
      <c r="M42" s="466"/>
      <c r="N42" s="466" t="e">
        <f>IF(AND('Mapa final'!#REF!="Media",'Mapa final'!#REF!="Leve"),CONCATENATE("R",'Mapa final'!#REF!),"")</f>
        <v>#REF!</v>
      </c>
      <c r="O42" s="466"/>
      <c r="P42" s="466" t="str">
        <f>IF(AND('Mapa final'!$K$13="Media",'Mapa final'!$O$13="Leve"),CONCATENATE("R",'Mapa final'!$A$13),"")</f>
        <v/>
      </c>
      <c r="Q42" s="466"/>
      <c r="R42" s="466" t="str">
        <f>IF(AND('Mapa final'!$K$16="Media",'Mapa final'!$O$16="Leve"),CONCATENATE("R",'Mapa final'!$A$16),"")</f>
        <v/>
      </c>
      <c r="S42" s="467"/>
      <c r="T42" s="465" t="str">
        <f>IF(AND('Mapa final'!$K$7="Media",'Mapa final'!$O$7="Menor"),CONCATENATE("R",'Mapa final'!$A$7),"")</f>
        <v/>
      </c>
      <c r="U42" s="466"/>
      <c r="V42" s="466" t="str">
        <f>IF(AND('Mapa final'!$K$10="Media",'Mapa final'!$O$10="Menor"),CONCATENATE("R",'Mapa final'!$A$10),"")</f>
        <v/>
      </c>
      <c r="W42" s="466"/>
      <c r="X42" s="466" t="e">
        <f>IF(AND('Mapa final'!#REF!="Media",'Mapa final'!#REF!="Menor"),CONCATENATE("R",'Mapa final'!#REF!),"")</f>
        <v>#REF!</v>
      </c>
      <c r="Y42" s="466"/>
      <c r="Z42" s="466" t="str">
        <f>IF(AND('Mapa final'!$K$13="Media",'Mapa final'!$O$13="Menor"),CONCATENATE("R",'Mapa final'!$A$13),"")</f>
        <v/>
      </c>
      <c r="AA42" s="466"/>
      <c r="AB42" s="466" t="str">
        <f>IF(AND('Mapa final'!$K$16="Media",'Mapa final'!$O$16="Menor"),CONCATENATE("R",'Mapa final'!$A$16),"")</f>
        <v>R4</v>
      </c>
      <c r="AC42" s="467"/>
      <c r="AD42" s="465" t="str">
        <f>IF(AND('Mapa final'!$K$7="Media",'Mapa final'!$O$7="Moderado"),CONCATENATE("R",'Mapa final'!$A$7),"")</f>
        <v>R1</v>
      </c>
      <c r="AE42" s="466"/>
      <c r="AF42" s="466" t="str">
        <f>IF(AND('Mapa final'!$K$10="Media",'Mapa final'!$O$10="Moderado"),CONCATENATE("R",'Mapa final'!$A$10),"")</f>
        <v>R2</v>
      </c>
      <c r="AG42" s="466"/>
      <c r="AH42" s="466" t="e">
        <f>IF(AND('Mapa final'!#REF!="Media",'Mapa final'!#REF!="Moderado"),CONCATENATE("R",'Mapa final'!#REF!),"")</f>
        <v>#REF!</v>
      </c>
      <c r="AI42" s="466"/>
      <c r="AJ42" s="466" t="str">
        <f>IF(AND('Mapa final'!$K$13="Media",'Mapa final'!$O$13="Moderado"),CONCATENATE("R",'Mapa final'!$A$13),"")</f>
        <v/>
      </c>
      <c r="AK42" s="466"/>
      <c r="AL42" s="466" t="str">
        <f>IF(AND('Mapa final'!$K$16="Media",'Mapa final'!$O$16="Moderado"),CONCATENATE("R",'Mapa final'!$A$16),"")</f>
        <v/>
      </c>
      <c r="AM42" s="467"/>
      <c r="AN42" s="462" t="str">
        <f>IF(AND('Mapa final'!$K$7="Media",'Mapa final'!$O$7="Mayor"),CONCATENATE("R",'Mapa final'!$A$7),"")</f>
        <v/>
      </c>
      <c r="AO42" s="461"/>
      <c r="AP42" s="461" t="str">
        <f>IF(AND('Mapa final'!$K$10="Media",'Mapa final'!$O$10="Mayor"),CONCATENATE("R",'Mapa final'!$A$10),"")</f>
        <v/>
      </c>
      <c r="AQ42" s="461"/>
      <c r="AR42" s="461" t="e">
        <f>IF(AND('Mapa final'!#REF!="Media",'Mapa final'!#REF!="Mayor"),CONCATENATE("R",'Mapa final'!#REF!),"")</f>
        <v>#REF!</v>
      </c>
      <c r="AS42" s="461"/>
      <c r="AT42" s="461" t="str">
        <f>IF(AND('Mapa final'!$K$13="Media",'Mapa final'!$O$13="Mayor"),CONCATENATE("R",'Mapa final'!$A$13),"")</f>
        <v/>
      </c>
      <c r="AU42" s="461"/>
      <c r="AV42" s="461" t="str">
        <f>IF(AND('Mapa final'!$K$16="Media",'Mapa final'!$O$16="Mayor"),CONCATENATE("R",'Mapa final'!$A$16),"")</f>
        <v/>
      </c>
      <c r="AW42" s="463"/>
      <c r="AX42" s="482" t="str">
        <f>IF(AND('Mapa final'!$K$7="Media",'Mapa final'!$O$7="Catastrófico"),CONCATENATE("R",'Mapa final'!$A$7),"")</f>
        <v/>
      </c>
      <c r="AY42" s="471"/>
      <c r="AZ42" s="471" t="str">
        <f>IF(AND('Mapa final'!$K$10="Media",'Mapa final'!$O$10="Catastrófico"),CONCATENATE("R",'Mapa final'!$A$10),"")</f>
        <v/>
      </c>
      <c r="BA42" s="471"/>
      <c r="BB42" s="471" t="e">
        <f>IF(AND('Mapa final'!#REF!="Media",'Mapa final'!#REF!="Catastrófico"),CONCATENATE("R",'Mapa final'!#REF!),"")</f>
        <v>#REF!</v>
      </c>
      <c r="BC42" s="471"/>
      <c r="BD42" s="471" t="str">
        <f>IF(AND('Mapa final'!$K$13="Media",'Mapa final'!$O$13="Catastrófico"),CONCATENATE("R",'Mapa final'!$A$13),"")</f>
        <v/>
      </c>
      <c r="BE42" s="471"/>
      <c r="BF42" s="471" t="str">
        <f>IF(AND('Mapa final'!$K$16="Media",'Mapa final'!$O$16="Catastrófico"),CONCATENATE("R",'Mapa final'!$A$16),"")</f>
        <v/>
      </c>
      <c r="BG42" s="483"/>
      <c r="BH42" s="38"/>
      <c r="BI42" s="501"/>
      <c r="BJ42" s="502"/>
      <c r="BK42" s="502"/>
      <c r="BL42" s="502"/>
      <c r="BM42" s="502"/>
      <c r="BN42" s="503"/>
      <c r="BO42" s="38"/>
      <c r="BP42" s="38"/>
      <c r="BQ42" s="38"/>
      <c r="BR42" s="38"/>
      <c r="BS42" s="38"/>
      <c r="BT42" s="38"/>
      <c r="BU42" s="38"/>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8"/>
      <c r="CU42" s="38"/>
      <c r="CV42" s="38"/>
    </row>
    <row r="43" spans="1:100" ht="15" customHeight="1" x14ac:dyDescent="0.3">
      <c r="A43" s="38"/>
      <c r="B43" s="306"/>
      <c r="C43" s="307"/>
      <c r="D43" s="308"/>
      <c r="E43" s="527"/>
      <c r="F43" s="528"/>
      <c r="G43" s="528"/>
      <c r="H43" s="528"/>
      <c r="I43" s="528"/>
      <c r="J43" s="455"/>
      <c r="K43" s="453"/>
      <c r="L43" s="453"/>
      <c r="M43" s="453"/>
      <c r="N43" s="453"/>
      <c r="O43" s="453"/>
      <c r="P43" s="453"/>
      <c r="Q43" s="453"/>
      <c r="R43" s="453"/>
      <c r="S43" s="454"/>
      <c r="T43" s="455"/>
      <c r="U43" s="453"/>
      <c r="V43" s="453"/>
      <c r="W43" s="453"/>
      <c r="X43" s="453"/>
      <c r="Y43" s="453"/>
      <c r="Z43" s="453"/>
      <c r="AA43" s="453"/>
      <c r="AB43" s="453"/>
      <c r="AC43" s="454"/>
      <c r="AD43" s="455"/>
      <c r="AE43" s="453"/>
      <c r="AF43" s="453"/>
      <c r="AG43" s="453"/>
      <c r="AH43" s="453"/>
      <c r="AI43" s="453"/>
      <c r="AJ43" s="453"/>
      <c r="AK43" s="453"/>
      <c r="AL43" s="453"/>
      <c r="AM43" s="454"/>
      <c r="AN43" s="458"/>
      <c r="AO43" s="459"/>
      <c r="AP43" s="459"/>
      <c r="AQ43" s="459"/>
      <c r="AR43" s="459"/>
      <c r="AS43" s="459"/>
      <c r="AT43" s="459"/>
      <c r="AU43" s="459"/>
      <c r="AV43" s="459"/>
      <c r="AW43" s="464"/>
      <c r="AX43" s="452"/>
      <c r="AY43" s="450"/>
      <c r="AZ43" s="450"/>
      <c r="BA43" s="450"/>
      <c r="BB43" s="450"/>
      <c r="BC43" s="450"/>
      <c r="BD43" s="450"/>
      <c r="BE43" s="450"/>
      <c r="BF43" s="450"/>
      <c r="BG43" s="451"/>
      <c r="BH43" s="38"/>
      <c r="BI43" s="501"/>
      <c r="BJ43" s="502"/>
      <c r="BK43" s="502"/>
      <c r="BL43" s="502"/>
      <c r="BM43" s="502"/>
      <c r="BN43" s="503"/>
      <c r="BO43" s="38"/>
      <c r="BP43" s="38"/>
      <c r="BQ43" s="38"/>
      <c r="BR43" s="38"/>
      <c r="BS43" s="38"/>
      <c r="BT43" s="38"/>
      <c r="BU43" s="38"/>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row>
    <row r="44" spans="1:100" ht="15" customHeight="1" x14ac:dyDescent="0.3">
      <c r="A44" s="38"/>
      <c r="B44" s="306"/>
      <c r="C44" s="307"/>
      <c r="D44" s="308"/>
      <c r="E44" s="527"/>
      <c r="F44" s="528"/>
      <c r="G44" s="528"/>
      <c r="H44" s="528"/>
      <c r="I44" s="528"/>
      <c r="J44" s="455" t="str">
        <f>IF(AND('Mapa final'!$K$19="Media",'Mapa final'!$O$19="Leve"),CONCATENATE("R",'Mapa final'!$A$19),"")</f>
        <v/>
      </c>
      <c r="K44" s="453"/>
      <c r="L44" s="453" t="str">
        <f>IF(AND('Mapa final'!$K$22="Media",'Mapa final'!$O$22="Leve"),CONCATENATE("R",'Mapa final'!$A$22),"")</f>
        <v/>
      </c>
      <c r="M44" s="453"/>
      <c r="N44" s="453" t="str">
        <f>IF(AND('Mapa final'!$K$25="Media",'Mapa final'!$O$25="Leve"),CONCATENATE("R",'Mapa final'!$A$25),"")</f>
        <v/>
      </c>
      <c r="O44" s="453"/>
      <c r="P44" s="453" t="str">
        <f>IF(AND('Mapa final'!$K$28="Media",'Mapa final'!$O$28="Leve"),CONCATENATE("R",'Mapa final'!$A$28),"")</f>
        <v/>
      </c>
      <c r="Q44" s="453"/>
      <c r="R44" s="453" t="str">
        <f>IF(AND('Mapa final'!$K$31="Media",'Mapa final'!$O$31="Leve"),CONCATENATE("R",'Mapa final'!$A$31),"")</f>
        <v/>
      </c>
      <c r="S44" s="454"/>
      <c r="T44" s="455" t="str">
        <f>IF(AND('Mapa final'!$K$19="Media",'Mapa final'!$O$19="Menor"),CONCATENATE("R",'Mapa final'!$A$19),"")</f>
        <v/>
      </c>
      <c r="U44" s="453"/>
      <c r="V44" s="453" t="str">
        <f>IF(AND('Mapa final'!$K$22="Media",'Mapa final'!$O$22="Menor"),CONCATENATE("R",'Mapa final'!$A$22),"")</f>
        <v/>
      </c>
      <c r="W44" s="453"/>
      <c r="X44" s="453" t="str">
        <f>IF(AND('Mapa final'!$K$25="Media",'Mapa final'!$O$25="Menor"),CONCATENATE("R",'Mapa final'!$A$25),"")</f>
        <v/>
      </c>
      <c r="Y44" s="453"/>
      <c r="Z44" s="453" t="str">
        <f>IF(AND('Mapa final'!$K$28="Media",'Mapa final'!$O$28="Menor"),CONCATENATE("R",'Mapa final'!$A$28),"")</f>
        <v/>
      </c>
      <c r="AA44" s="453"/>
      <c r="AB44" s="453" t="str">
        <f>IF(AND('Mapa final'!$K$31="Media",'Mapa final'!$O$31="Menor"),CONCATENATE("R",'Mapa final'!$A$31),"")</f>
        <v/>
      </c>
      <c r="AC44" s="454"/>
      <c r="AD44" s="455" t="str">
        <f>IF(AND('Mapa final'!$K$19="Media",'Mapa final'!$O$19="Moderado"),CONCATENATE("R",'Mapa final'!$A$19),"")</f>
        <v/>
      </c>
      <c r="AE44" s="453"/>
      <c r="AF44" s="453" t="str">
        <f>IF(AND('Mapa final'!$K$22="Media",'Mapa final'!$O$22="Moderado"),CONCATENATE("R",'Mapa final'!$A$22),"")</f>
        <v/>
      </c>
      <c r="AG44" s="453"/>
      <c r="AH44" s="453" t="str">
        <f>IF(AND('Mapa final'!$K$25="Media",'Mapa final'!$O$25="Moderado"),CONCATENATE("R",'Mapa final'!$A$25),"")</f>
        <v/>
      </c>
      <c r="AI44" s="453"/>
      <c r="AJ44" s="453" t="str">
        <f>IF(AND('Mapa final'!$K$28="Media",'Mapa final'!$O$28="Moderado"),CONCATENATE("R",'Mapa final'!$A$28),"")</f>
        <v/>
      </c>
      <c r="AK44" s="453"/>
      <c r="AL44" s="453" t="str">
        <f>IF(AND('Mapa final'!$K$31="Media",'Mapa final'!$O$31="Moderado"),CONCATENATE("R",'Mapa final'!$A$31),"")</f>
        <v/>
      </c>
      <c r="AM44" s="454"/>
      <c r="AN44" s="458" t="str">
        <f>IF(AND('Mapa final'!$K$19="Media",'Mapa final'!$O$19="Mayor"),CONCATENATE("R",'Mapa final'!$A$19),"")</f>
        <v/>
      </c>
      <c r="AO44" s="459"/>
      <c r="AP44" s="459" t="str">
        <f>IF(AND('Mapa final'!$K$22="Media",'Mapa final'!$O$22="Mayor"),CONCATENATE("R",'Mapa final'!$A$22),"")</f>
        <v/>
      </c>
      <c r="AQ44" s="459"/>
      <c r="AR44" s="459" t="str">
        <f>IF(AND('Mapa final'!$K$25="Media",'Mapa final'!$O$25="Mayor"),CONCATENATE("R",'Mapa final'!$A$25),"")</f>
        <v/>
      </c>
      <c r="AS44" s="459"/>
      <c r="AT44" s="459" t="str">
        <f>IF(AND('Mapa final'!$K$28="Media",'Mapa final'!$O$28="Mayor"),CONCATENATE("R",'Mapa final'!$A$28),"")</f>
        <v/>
      </c>
      <c r="AU44" s="459"/>
      <c r="AV44" s="459" t="str">
        <f>IF(AND('Mapa final'!$K$31="Media",'Mapa final'!$O$31="Mayor"),CONCATENATE("R",'Mapa final'!$A$31),"")</f>
        <v/>
      </c>
      <c r="AW44" s="464"/>
      <c r="AX44" s="452" t="str">
        <f>IF(AND('Mapa final'!$K$19="Media",'Mapa final'!$O$19="Catastrófico"),CONCATENATE("R",'Mapa final'!$A$19),"")</f>
        <v/>
      </c>
      <c r="AY44" s="450"/>
      <c r="AZ44" s="450" t="str">
        <f>IF(AND('Mapa final'!$K$22="Media",'Mapa final'!$O$22="Catastrófico"),CONCATENATE("R",'Mapa final'!$A$22),"")</f>
        <v/>
      </c>
      <c r="BA44" s="450"/>
      <c r="BB44" s="450" t="str">
        <f>IF(AND('Mapa final'!$K$25="Media",'Mapa final'!$O$25="Catastrófico"),CONCATENATE("R",'Mapa final'!$A$25),"")</f>
        <v/>
      </c>
      <c r="BC44" s="450"/>
      <c r="BD44" s="450" t="str">
        <f>IF(AND('Mapa final'!$K$28="Media",'Mapa final'!$O$28="Catastrófico"),CONCATENATE("R",'Mapa final'!$A$28),"")</f>
        <v/>
      </c>
      <c r="BE44" s="450"/>
      <c r="BF44" s="450" t="str">
        <f>IF(AND('Mapa final'!$K$31="Media",'Mapa final'!$O$31="Catastrófico"),CONCATENATE("R",'Mapa final'!$A$31),"")</f>
        <v/>
      </c>
      <c r="BG44" s="451"/>
      <c r="BH44" s="38"/>
      <c r="BI44" s="501"/>
      <c r="BJ44" s="502"/>
      <c r="BK44" s="502"/>
      <c r="BL44" s="502"/>
      <c r="BM44" s="502"/>
      <c r="BN44" s="503"/>
      <c r="BO44" s="38"/>
      <c r="BP44" s="38"/>
      <c r="BQ44" s="38"/>
      <c r="BR44" s="38"/>
      <c r="BS44" s="38"/>
      <c r="BT44" s="38"/>
      <c r="BU44" s="38"/>
      <c r="BV44" s="38"/>
      <c r="BW44" s="38"/>
      <c r="BX44" s="38"/>
      <c r="BY44" s="38"/>
      <c r="BZ44" s="38"/>
      <c r="CA44" s="38"/>
      <c r="CB44" s="38"/>
      <c r="CC44" s="38"/>
      <c r="CD44" s="38"/>
      <c r="CE44" s="38"/>
      <c r="CF44" s="38"/>
      <c r="CG44" s="38"/>
      <c r="CH44" s="38"/>
      <c r="CI44" s="38"/>
      <c r="CJ44" s="38"/>
      <c r="CK44" s="38"/>
      <c r="CL44" s="38"/>
      <c r="CM44" s="38"/>
      <c r="CN44" s="38"/>
      <c r="CO44" s="38"/>
      <c r="CP44" s="38"/>
      <c r="CQ44" s="38"/>
      <c r="CR44" s="38"/>
      <c r="CS44" s="38"/>
      <c r="CT44" s="38"/>
      <c r="CU44" s="38"/>
      <c r="CV44" s="38"/>
    </row>
    <row r="45" spans="1:100" ht="15" customHeight="1" x14ac:dyDescent="0.3">
      <c r="A45" s="38"/>
      <c r="B45" s="306"/>
      <c r="C45" s="307"/>
      <c r="D45" s="308"/>
      <c r="E45" s="527"/>
      <c r="F45" s="528"/>
      <c r="G45" s="528"/>
      <c r="H45" s="528"/>
      <c r="I45" s="528"/>
      <c r="J45" s="455"/>
      <c r="K45" s="453"/>
      <c r="L45" s="453"/>
      <c r="M45" s="453"/>
      <c r="N45" s="453"/>
      <c r="O45" s="453"/>
      <c r="P45" s="453"/>
      <c r="Q45" s="453"/>
      <c r="R45" s="453"/>
      <c r="S45" s="454"/>
      <c r="T45" s="455"/>
      <c r="U45" s="453"/>
      <c r="V45" s="453"/>
      <c r="W45" s="453"/>
      <c r="X45" s="453"/>
      <c r="Y45" s="453"/>
      <c r="Z45" s="453"/>
      <c r="AA45" s="453"/>
      <c r="AB45" s="453"/>
      <c r="AC45" s="454"/>
      <c r="AD45" s="455"/>
      <c r="AE45" s="453"/>
      <c r="AF45" s="453"/>
      <c r="AG45" s="453"/>
      <c r="AH45" s="453"/>
      <c r="AI45" s="453"/>
      <c r="AJ45" s="453"/>
      <c r="AK45" s="453"/>
      <c r="AL45" s="453"/>
      <c r="AM45" s="454"/>
      <c r="AN45" s="458"/>
      <c r="AO45" s="459"/>
      <c r="AP45" s="459"/>
      <c r="AQ45" s="459"/>
      <c r="AR45" s="459"/>
      <c r="AS45" s="459"/>
      <c r="AT45" s="459"/>
      <c r="AU45" s="459"/>
      <c r="AV45" s="459"/>
      <c r="AW45" s="464"/>
      <c r="AX45" s="452"/>
      <c r="AY45" s="450"/>
      <c r="AZ45" s="450"/>
      <c r="BA45" s="450"/>
      <c r="BB45" s="450"/>
      <c r="BC45" s="450"/>
      <c r="BD45" s="450"/>
      <c r="BE45" s="450"/>
      <c r="BF45" s="450"/>
      <c r="BG45" s="451"/>
      <c r="BH45" s="38"/>
      <c r="BI45" s="501"/>
      <c r="BJ45" s="502"/>
      <c r="BK45" s="502"/>
      <c r="BL45" s="502"/>
      <c r="BM45" s="502"/>
      <c r="BN45" s="503"/>
      <c r="BO45" s="38"/>
      <c r="BP45" s="38"/>
      <c r="BQ45" s="38"/>
      <c r="BR45" s="38"/>
      <c r="BS45" s="38"/>
      <c r="BT45" s="38"/>
      <c r="BU45" s="38"/>
      <c r="BV45" s="38"/>
      <c r="BW45" s="38"/>
      <c r="BX45" s="38"/>
      <c r="BY45" s="38"/>
      <c r="BZ45" s="38"/>
      <c r="CA45" s="38"/>
      <c r="CB45" s="38"/>
      <c r="CC45" s="38"/>
      <c r="CD45" s="38"/>
      <c r="CE45" s="38"/>
      <c r="CF45" s="38"/>
      <c r="CG45" s="38"/>
      <c r="CH45" s="38"/>
      <c r="CI45" s="38"/>
      <c r="CJ45" s="38"/>
      <c r="CK45" s="38"/>
      <c r="CL45" s="38"/>
      <c r="CM45" s="38"/>
      <c r="CN45" s="38"/>
      <c r="CO45" s="38"/>
      <c r="CP45" s="38"/>
      <c r="CQ45" s="38"/>
      <c r="CR45" s="38"/>
      <c r="CS45" s="38"/>
      <c r="CT45" s="38"/>
      <c r="CU45" s="38"/>
      <c r="CV45" s="38"/>
    </row>
    <row r="46" spans="1:100" ht="15" customHeight="1" x14ac:dyDescent="0.3">
      <c r="A46" s="38"/>
      <c r="B46" s="306"/>
      <c r="C46" s="307"/>
      <c r="D46" s="308"/>
      <c r="E46" s="527"/>
      <c r="F46" s="528"/>
      <c r="G46" s="528"/>
      <c r="H46" s="528"/>
      <c r="I46" s="528"/>
      <c r="J46" s="455" t="str">
        <f>IF(AND('Mapa final'!$K$34="Media",'Mapa final'!$O$34="Leve"),CONCATENATE("R",'Mapa final'!$A$34),"")</f>
        <v/>
      </c>
      <c r="K46" s="453"/>
      <c r="L46" s="453" t="str">
        <f>IF(AND('Mapa final'!$K$37="Media",'Mapa final'!$O$37="Leve"),CONCATENATE("R",'Mapa final'!$A$37),"")</f>
        <v/>
      </c>
      <c r="M46" s="453"/>
      <c r="N46" s="453" t="str">
        <f>IF(AND('Mapa final'!$K$41="Media",'Mapa final'!$O$41="Leve"),CONCATENATE("R",'Mapa final'!$A$41),"")</f>
        <v/>
      </c>
      <c r="O46" s="453"/>
      <c r="P46" s="453" t="str">
        <f>IF(AND('Mapa final'!$K$44="Media",'Mapa final'!$O$44="Leve"),CONCATENATE("R",'Mapa final'!$A$44),"")</f>
        <v/>
      </c>
      <c r="Q46" s="453"/>
      <c r="R46" s="453" t="str">
        <f>IF(AND('Mapa final'!$K$49="Media",'Mapa final'!$O$49="Leve"),CONCATENATE("R",'Mapa final'!$A$49),"")</f>
        <v/>
      </c>
      <c r="S46" s="454"/>
      <c r="T46" s="455" t="str">
        <f>IF(AND('Mapa final'!$K$34="Media",'Mapa final'!$O$34="Menor"),CONCATENATE("R",'Mapa final'!$A$34),"")</f>
        <v/>
      </c>
      <c r="U46" s="453"/>
      <c r="V46" s="453" t="str">
        <f>IF(AND('Mapa final'!$K$37="Media",'Mapa final'!$O$37="Menor"),CONCATENATE("R",'Mapa final'!$A$37),"")</f>
        <v/>
      </c>
      <c r="W46" s="453"/>
      <c r="X46" s="453" t="str">
        <f>IF(AND('Mapa final'!$K$41="Media",'Mapa final'!$O$41="Menor"),CONCATENATE("R",'Mapa final'!$A$41),"")</f>
        <v/>
      </c>
      <c r="Y46" s="453"/>
      <c r="Z46" s="453" t="str">
        <f>IF(AND('Mapa final'!$K$44="Media",'Mapa final'!$O$44="Menor"),CONCATENATE("R",'Mapa final'!$A$44),"")</f>
        <v/>
      </c>
      <c r="AA46" s="453"/>
      <c r="AB46" s="453" t="str">
        <f>IF(AND('Mapa final'!$K$49="Media",'Mapa final'!$O$49="Menor"),CONCATENATE("R",'Mapa final'!$A$49),"")</f>
        <v/>
      </c>
      <c r="AC46" s="454"/>
      <c r="AD46" s="455" t="str">
        <f>IF(AND('Mapa final'!$K$34="Media",'Mapa final'!$O$34="Moderado"),CONCATENATE("R",'Mapa final'!$A$34),"")</f>
        <v>R10</v>
      </c>
      <c r="AE46" s="453"/>
      <c r="AF46" s="453" t="str">
        <f>IF(AND('Mapa final'!$K$37="Media",'Mapa final'!$O$37="Moderado"),CONCATENATE("R",'Mapa final'!$A$37),"")</f>
        <v>R11</v>
      </c>
      <c r="AG46" s="453"/>
      <c r="AH46" s="453" t="str">
        <f>IF(AND('Mapa final'!$K$41="Media",'Mapa final'!$O$41="Moderado"),CONCATENATE("R",'Mapa final'!$A$41),"")</f>
        <v>R12</v>
      </c>
      <c r="AI46" s="453"/>
      <c r="AJ46" s="453" t="str">
        <f>IF(AND('Mapa final'!$K$44="Media",'Mapa final'!$O$44="Moderado"),CONCATENATE("R",'Mapa final'!$A$44),"")</f>
        <v>R13</v>
      </c>
      <c r="AK46" s="453"/>
      <c r="AL46" s="453" t="str">
        <f>IF(AND('Mapa final'!$K$49="Media",'Mapa final'!$O$49="Moderado"),CONCATENATE("R",'Mapa final'!$A$49),"")</f>
        <v/>
      </c>
      <c r="AM46" s="454"/>
      <c r="AN46" s="458" t="str">
        <f>IF(AND('Mapa final'!$K$34="Media",'Mapa final'!$O$34="Mayor"),CONCATENATE("R",'Mapa final'!$A$34),"")</f>
        <v/>
      </c>
      <c r="AO46" s="459"/>
      <c r="AP46" s="459" t="str">
        <f>IF(AND('Mapa final'!$K$37="Media",'Mapa final'!$O$37="Mayor"),CONCATENATE("R",'Mapa final'!$A$37),"")</f>
        <v/>
      </c>
      <c r="AQ46" s="459"/>
      <c r="AR46" s="459" t="str">
        <f>IF(AND('Mapa final'!$K$41="Media",'Mapa final'!$O$41="Mayor"),CONCATENATE("R",'Mapa final'!$A$41),"")</f>
        <v/>
      </c>
      <c r="AS46" s="459"/>
      <c r="AT46" s="459" t="str">
        <f>IF(AND('Mapa final'!$K$44="Media",'Mapa final'!$O$44="Mayor"),CONCATENATE("R",'Mapa final'!$A$44),"")</f>
        <v/>
      </c>
      <c r="AU46" s="459"/>
      <c r="AV46" s="459" t="str">
        <f>IF(AND('Mapa final'!$K$49="Media",'Mapa final'!$O$49="Mayor"),CONCATENATE("R",'Mapa final'!$A$49),"")</f>
        <v/>
      </c>
      <c r="AW46" s="464"/>
      <c r="AX46" s="452" t="str">
        <f>IF(AND('Mapa final'!$K$34="Media",'Mapa final'!$O$34="Catastrófico"),CONCATENATE("R",'Mapa final'!$A$34),"")</f>
        <v/>
      </c>
      <c r="AY46" s="450"/>
      <c r="AZ46" s="450" t="str">
        <f>IF(AND('Mapa final'!$K$37="Media",'Mapa final'!$O$37="Catastrófico"),CONCATENATE("R",'Mapa final'!$A$37),"")</f>
        <v/>
      </c>
      <c r="BA46" s="450"/>
      <c r="BB46" s="450" t="str">
        <f>IF(AND('Mapa final'!$K$41="Media",'Mapa final'!$O$41="Catastrófico"),CONCATENATE("R",'Mapa final'!$A$41),"")</f>
        <v/>
      </c>
      <c r="BC46" s="450"/>
      <c r="BD46" s="450" t="str">
        <f>IF(AND('Mapa final'!$K$44="Media",'Mapa final'!$O$44="Catastrófico"),CONCATENATE("R",'Mapa final'!$A$44),"")</f>
        <v/>
      </c>
      <c r="BE46" s="450"/>
      <c r="BF46" s="450" t="str">
        <f>IF(AND('Mapa final'!$K$49="Media",'Mapa final'!$O$49="Catastrófico"),CONCATENATE("R",'Mapa final'!$A$49),"")</f>
        <v/>
      </c>
      <c r="BG46" s="451"/>
      <c r="BH46" s="38"/>
      <c r="BI46" s="501"/>
      <c r="BJ46" s="502"/>
      <c r="BK46" s="502"/>
      <c r="BL46" s="502"/>
      <c r="BM46" s="502"/>
      <c r="BN46" s="503"/>
      <c r="BO46" s="38"/>
      <c r="BP46" s="38"/>
      <c r="BQ46" s="38"/>
      <c r="BR46" s="38"/>
      <c r="BS46" s="38"/>
      <c r="BT46" s="38"/>
      <c r="BU46" s="38"/>
      <c r="BV46" s="38"/>
      <c r="BW46" s="38"/>
      <c r="BX46" s="38"/>
      <c r="BY46" s="38"/>
      <c r="BZ46" s="38"/>
      <c r="CA46" s="38"/>
      <c r="CB46" s="38"/>
      <c r="CC46" s="38"/>
      <c r="CD46" s="38"/>
      <c r="CE46" s="38"/>
      <c r="CF46" s="38"/>
      <c r="CG46" s="38"/>
      <c r="CH46" s="38"/>
      <c r="CI46" s="38"/>
      <c r="CJ46" s="38"/>
      <c r="CK46" s="38"/>
      <c r="CL46" s="38"/>
      <c r="CM46" s="38"/>
      <c r="CN46" s="38"/>
      <c r="CO46" s="38"/>
      <c r="CP46" s="38"/>
      <c r="CQ46" s="38"/>
      <c r="CR46" s="38"/>
      <c r="CS46" s="38"/>
      <c r="CT46" s="38"/>
      <c r="CU46" s="38"/>
      <c r="CV46" s="38"/>
    </row>
    <row r="47" spans="1:100" ht="15" customHeight="1" x14ac:dyDescent="0.3">
      <c r="A47" s="38"/>
      <c r="B47" s="306"/>
      <c r="C47" s="307"/>
      <c r="D47" s="308"/>
      <c r="E47" s="527"/>
      <c r="F47" s="528"/>
      <c r="G47" s="528"/>
      <c r="H47" s="528"/>
      <c r="I47" s="528"/>
      <c r="J47" s="455"/>
      <c r="K47" s="453"/>
      <c r="L47" s="453"/>
      <c r="M47" s="453"/>
      <c r="N47" s="453"/>
      <c r="O47" s="453"/>
      <c r="P47" s="453"/>
      <c r="Q47" s="453"/>
      <c r="R47" s="453"/>
      <c r="S47" s="454"/>
      <c r="T47" s="455"/>
      <c r="U47" s="453"/>
      <c r="V47" s="453"/>
      <c r="W47" s="453"/>
      <c r="X47" s="453"/>
      <c r="Y47" s="453"/>
      <c r="Z47" s="453"/>
      <c r="AA47" s="453"/>
      <c r="AB47" s="453"/>
      <c r="AC47" s="454"/>
      <c r="AD47" s="455"/>
      <c r="AE47" s="453"/>
      <c r="AF47" s="453"/>
      <c r="AG47" s="453"/>
      <c r="AH47" s="453"/>
      <c r="AI47" s="453"/>
      <c r="AJ47" s="453"/>
      <c r="AK47" s="453"/>
      <c r="AL47" s="453"/>
      <c r="AM47" s="454"/>
      <c r="AN47" s="458"/>
      <c r="AO47" s="459"/>
      <c r="AP47" s="459"/>
      <c r="AQ47" s="459"/>
      <c r="AR47" s="459"/>
      <c r="AS47" s="459"/>
      <c r="AT47" s="459"/>
      <c r="AU47" s="459"/>
      <c r="AV47" s="459"/>
      <c r="AW47" s="464"/>
      <c r="AX47" s="452"/>
      <c r="AY47" s="450"/>
      <c r="AZ47" s="450"/>
      <c r="BA47" s="450"/>
      <c r="BB47" s="450"/>
      <c r="BC47" s="450"/>
      <c r="BD47" s="450"/>
      <c r="BE47" s="450"/>
      <c r="BF47" s="450"/>
      <c r="BG47" s="451"/>
      <c r="BH47" s="38"/>
      <c r="BI47" s="501"/>
      <c r="BJ47" s="502"/>
      <c r="BK47" s="502"/>
      <c r="BL47" s="502"/>
      <c r="BM47" s="502"/>
      <c r="BN47" s="503"/>
      <c r="BO47" s="38"/>
      <c r="BP47" s="38"/>
      <c r="BQ47" s="38"/>
      <c r="BR47" s="38"/>
      <c r="BS47" s="38"/>
      <c r="BT47" s="38"/>
      <c r="BU47" s="38"/>
      <c r="BV47" s="38"/>
      <c r="BW47" s="38"/>
      <c r="BX47" s="38"/>
      <c r="BY47" s="38"/>
      <c r="BZ47" s="38"/>
      <c r="CA47" s="38"/>
      <c r="CB47" s="38"/>
      <c r="CC47" s="38"/>
      <c r="CD47" s="38"/>
      <c r="CE47" s="38"/>
      <c r="CF47" s="38"/>
      <c r="CG47" s="38"/>
      <c r="CH47" s="38"/>
      <c r="CI47" s="38"/>
      <c r="CJ47" s="38"/>
      <c r="CK47" s="38"/>
      <c r="CL47" s="38"/>
      <c r="CM47" s="38"/>
      <c r="CN47" s="38"/>
      <c r="CO47" s="38"/>
      <c r="CP47" s="38"/>
      <c r="CQ47" s="38"/>
      <c r="CR47" s="38"/>
      <c r="CS47" s="38"/>
      <c r="CT47" s="38"/>
      <c r="CU47" s="38"/>
      <c r="CV47" s="38"/>
    </row>
    <row r="48" spans="1:100" ht="15" customHeight="1" x14ac:dyDescent="0.3">
      <c r="A48" s="38"/>
      <c r="B48" s="306"/>
      <c r="C48" s="307"/>
      <c r="D48" s="308"/>
      <c r="E48" s="527"/>
      <c r="F48" s="528"/>
      <c r="G48" s="528"/>
      <c r="H48" s="528"/>
      <c r="I48" s="528"/>
      <c r="J48" s="455" t="str">
        <f>IF(AND('Mapa final'!$K$52="Media",'Mapa final'!$O$52="Leve"),CONCATENATE("R",'Mapa final'!$A$52),"")</f>
        <v/>
      </c>
      <c r="K48" s="453"/>
      <c r="L48" s="453" t="str">
        <f>IF(AND('Mapa final'!$K$55="Media",'Mapa final'!$O$55="Leve"),CONCATENATE("R",'Mapa final'!$A$55),"")</f>
        <v/>
      </c>
      <c r="M48" s="453"/>
      <c r="N48" s="453" t="str">
        <f>IF(AND('Mapa final'!$K$58="Media",'Mapa final'!$O$58="Leve"),CONCATENATE("R",'Mapa final'!$A$58),"")</f>
        <v/>
      </c>
      <c r="O48" s="453"/>
      <c r="P48" s="453" t="str">
        <f>IF(AND('Mapa final'!$K$61="Media",'Mapa final'!$O$61="Leve"),CONCATENATE("R",'Mapa final'!$A$61),"")</f>
        <v/>
      </c>
      <c r="Q48" s="453"/>
      <c r="R48" s="453" t="str">
        <f>IF(AND('Mapa final'!$K$64="Media",'Mapa final'!$O$64="Leve"),CONCATENATE("R",'Mapa final'!$A$64),"")</f>
        <v/>
      </c>
      <c r="S48" s="454"/>
      <c r="T48" s="455" t="str">
        <f>IF(AND('Mapa final'!$K$52="Media",'Mapa final'!$O$52="Menor"),CONCATENATE("R",'Mapa final'!$A$52),"")</f>
        <v/>
      </c>
      <c r="U48" s="453"/>
      <c r="V48" s="453" t="str">
        <f>IF(AND('Mapa final'!$K$55="Media",'Mapa final'!$O$55="Menor"),CONCATENATE("R",'Mapa final'!$A$55),"")</f>
        <v/>
      </c>
      <c r="W48" s="453"/>
      <c r="X48" s="453" t="str">
        <f>IF(AND('Mapa final'!$K$58="Media",'Mapa final'!$O$58="Menor"),CONCATENATE("R",'Mapa final'!$A$58),"")</f>
        <v/>
      </c>
      <c r="Y48" s="453"/>
      <c r="Z48" s="453" t="str">
        <f>IF(AND('Mapa final'!$K$61="Media",'Mapa final'!$O$61="Menor"),CONCATENATE("R",'Mapa final'!$A$61),"")</f>
        <v/>
      </c>
      <c r="AA48" s="453"/>
      <c r="AB48" s="453" t="str">
        <f>IF(AND('Mapa final'!$K$64="Media",'Mapa final'!$O$64="Menor"),CONCATENATE("R",'Mapa final'!$A$64),"")</f>
        <v/>
      </c>
      <c r="AC48" s="454"/>
      <c r="AD48" s="455" t="str">
        <f>IF(AND('Mapa final'!$K$52="Media",'Mapa final'!$O$52="Moderado"),CONCATENATE("R",'Mapa final'!$A$52),"")</f>
        <v/>
      </c>
      <c r="AE48" s="453"/>
      <c r="AF48" s="453" t="str">
        <f>IF(AND('Mapa final'!$K$55="Media",'Mapa final'!$O$55="Moderado"),CONCATENATE("R",'Mapa final'!$A$55),"")</f>
        <v/>
      </c>
      <c r="AG48" s="453"/>
      <c r="AH48" s="453" t="str">
        <f>IF(AND('Mapa final'!$K$58="Media",'Mapa final'!$O$58="Moderado"),CONCATENATE("R",'Mapa final'!$A$58),"")</f>
        <v/>
      </c>
      <c r="AI48" s="453"/>
      <c r="AJ48" s="453" t="str">
        <f>IF(AND('Mapa final'!$K$61="Media",'Mapa final'!$O$61="Moderado"),CONCATENATE("R",'Mapa final'!$A$61),"")</f>
        <v/>
      </c>
      <c r="AK48" s="453"/>
      <c r="AL48" s="453" t="str">
        <f>IF(AND('Mapa final'!$K$64="Media",'Mapa final'!$O$64="Moderado"),CONCATENATE("R",'Mapa final'!$A$64),"")</f>
        <v/>
      </c>
      <c r="AM48" s="454"/>
      <c r="AN48" s="458" t="str">
        <f>IF(AND('Mapa final'!$K$52="Media",'Mapa final'!$O$52="Mayor"),CONCATENATE("R",'Mapa final'!$A$52),"")</f>
        <v/>
      </c>
      <c r="AO48" s="459"/>
      <c r="AP48" s="459" t="str">
        <f>IF(AND('Mapa final'!$K$55="Media",'Mapa final'!$O$55="Mayor"),CONCATENATE("R",'Mapa final'!$A$55),"")</f>
        <v/>
      </c>
      <c r="AQ48" s="459"/>
      <c r="AR48" s="459" t="str">
        <f>IF(AND('Mapa final'!$K$58="Media",'Mapa final'!$O$58="Mayor"),CONCATENATE("R",'Mapa final'!$A$58),"")</f>
        <v/>
      </c>
      <c r="AS48" s="459"/>
      <c r="AT48" s="459" t="str">
        <f>IF(AND('Mapa final'!$K$61="Media",'Mapa final'!$O$61="Mayor"),CONCATENATE("R",'Mapa final'!$A$61),"")</f>
        <v>R18</v>
      </c>
      <c r="AU48" s="459"/>
      <c r="AV48" s="459" t="str">
        <f>IF(AND('Mapa final'!$K$64="Media",'Mapa final'!$O$64="Mayor"),CONCATENATE("R",'Mapa final'!$A$64),"")</f>
        <v>R19</v>
      </c>
      <c r="AW48" s="464"/>
      <c r="AX48" s="452" t="str">
        <f>IF(AND('Mapa final'!$K$52="Media",'Mapa final'!$O$52="Catastrófico"),CONCATENATE("R",'Mapa final'!$A$52),"")</f>
        <v/>
      </c>
      <c r="AY48" s="450"/>
      <c r="AZ48" s="450" t="str">
        <f>IF(AND('Mapa final'!$K$55="Media",'Mapa final'!$O$55="Catastrófico"),CONCATENATE("R",'Mapa final'!$A$55),"")</f>
        <v/>
      </c>
      <c r="BA48" s="450"/>
      <c r="BB48" s="450" t="str">
        <f>IF(AND('Mapa final'!$K$58="Media",'Mapa final'!$O$58="Catastrófico"),CONCATENATE("R",'Mapa final'!$A$58),"")</f>
        <v/>
      </c>
      <c r="BC48" s="450"/>
      <c r="BD48" s="450" t="str">
        <f>IF(AND('Mapa final'!$K$61="Media",'Mapa final'!$O$61="Catastrófico"),CONCATENATE("R",'Mapa final'!$A$61),"")</f>
        <v/>
      </c>
      <c r="BE48" s="450"/>
      <c r="BF48" s="450" t="str">
        <f>IF(AND('Mapa final'!$K$64="Media",'Mapa final'!$O$64="Catastrófico"),CONCATENATE("R",'Mapa final'!$A$64),"")</f>
        <v/>
      </c>
      <c r="BG48" s="451"/>
      <c r="BH48" s="38"/>
      <c r="BI48" s="501"/>
      <c r="BJ48" s="502"/>
      <c r="BK48" s="502"/>
      <c r="BL48" s="502"/>
      <c r="BM48" s="502"/>
      <c r="BN48" s="503"/>
      <c r="BO48" s="38"/>
      <c r="BP48" s="38"/>
      <c r="BQ48" s="38"/>
      <c r="BR48" s="38"/>
      <c r="BS48" s="38"/>
      <c r="BT48" s="38"/>
      <c r="BU48" s="38"/>
      <c r="BV48" s="38"/>
      <c r="BW48" s="38"/>
      <c r="BX48" s="38"/>
      <c r="BY48" s="38"/>
      <c r="BZ48" s="38"/>
      <c r="CA48" s="38"/>
      <c r="CB48" s="38"/>
      <c r="CC48" s="38"/>
      <c r="CD48" s="38"/>
      <c r="CE48" s="38"/>
      <c r="CF48" s="38"/>
      <c r="CG48" s="38"/>
      <c r="CH48" s="38"/>
      <c r="CI48" s="38"/>
      <c r="CJ48" s="38"/>
      <c r="CK48" s="38"/>
      <c r="CL48" s="38"/>
      <c r="CM48" s="38"/>
      <c r="CN48" s="38"/>
      <c r="CO48" s="38"/>
      <c r="CP48" s="38"/>
      <c r="CQ48" s="38"/>
      <c r="CR48" s="38"/>
      <c r="CS48" s="38"/>
      <c r="CT48" s="38"/>
      <c r="CU48" s="38"/>
      <c r="CV48" s="38"/>
    </row>
    <row r="49" spans="1:100" ht="15" customHeight="1" thickBot="1" x14ac:dyDescent="0.35">
      <c r="A49" s="38"/>
      <c r="B49" s="306"/>
      <c r="C49" s="307"/>
      <c r="D49" s="308"/>
      <c r="E49" s="527"/>
      <c r="F49" s="528"/>
      <c r="G49" s="528"/>
      <c r="H49" s="528"/>
      <c r="I49" s="528"/>
      <c r="J49" s="455"/>
      <c r="K49" s="453"/>
      <c r="L49" s="453"/>
      <c r="M49" s="453"/>
      <c r="N49" s="453"/>
      <c r="O49" s="453"/>
      <c r="P49" s="453"/>
      <c r="Q49" s="453"/>
      <c r="R49" s="453"/>
      <c r="S49" s="454"/>
      <c r="T49" s="455"/>
      <c r="U49" s="453"/>
      <c r="V49" s="453"/>
      <c r="W49" s="453"/>
      <c r="X49" s="453"/>
      <c r="Y49" s="453"/>
      <c r="Z49" s="453"/>
      <c r="AA49" s="453"/>
      <c r="AB49" s="453"/>
      <c r="AC49" s="454"/>
      <c r="AD49" s="455"/>
      <c r="AE49" s="453"/>
      <c r="AF49" s="453"/>
      <c r="AG49" s="453"/>
      <c r="AH49" s="453"/>
      <c r="AI49" s="453"/>
      <c r="AJ49" s="453"/>
      <c r="AK49" s="453"/>
      <c r="AL49" s="453"/>
      <c r="AM49" s="454"/>
      <c r="AN49" s="458"/>
      <c r="AO49" s="459"/>
      <c r="AP49" s="459"/>
      <c r="AQ49" s="459"/>
      <c r="AR49" s="459"/>
      <c r="AS49" s="459"/>
      <c r="AT49" s="459"/>
      <c r="AU49" s="459"/>
      <c r="AV49" s="459"/>
      <c r="AW49" s="464"/>
      <c r="AX49" s="452"/>
      <c r="AY49" s="450"/>
      <c r="AZ49" s="450"/>
      <c r="BA49" s="450"/>
      <c r="BB49" s="450"/>
      <c r="BC49" s="450"/>
      <c r="BD49" s="450"/>
      <c r="BE49" s="450"/>
      <c r="BF49" s="450"/>
      <c r="BG49" s="451"/>
      <c r="BH49" s="38"/>
      <c r="BI49" s="504"/>
      <c r="BJ49" s="505"/>
      <c r="BK49" s="505"/>
      <c r="BL49" s="505"/>
      <c r="BM49" s="505"/>
      <c r="BN49" s="506"/>
      <c r="BO49" s="38"/>
      <c r="BP49" s="38"/>
      <c r="BQ49" s="38"/>
      <c r="BR49" s="38"/>
      <c r="BS49" s="38"/>
      <c r="BT49" s="38"/>
      <c r="BU49" s="38"/>
      <c r="BV49" s="38"/>
      <c r="BW49" s="38"/>
      <c r="BX49" s="38"/>
      <c r="BY49" s="38"/>
      <c r="BZ49" s="38"/>
      <c r="CA49" s="38"/>
      <c r="CB49" s="38"/>
      <c r="CC49" s="38"/>
      <c r="CD49" s="38"/>
      <c r="CE49" s="38"/>
      <c r="CF49" s="38"/>
      <c r="CG49" s="38"/>
      <c r="CH49" s="38"/>
      <c r="CI49" s="38"/>
      <c r="CJ49" s="38"/>
      <c r="CK49" s="38"/>
      <c r="CL49" s="38"/>
      <c r="CM49" s="38"/>
      <c r="CN49" s="38"/>
      <c r="CO49" s="38"/>
      <c r="CP49" s="38"/>
      <c r="CQ49" s="38"/>
      <c r="CR49" s="38"/>
      <c r="CS49" s="38"/>
      <c r="CT49" s="38"/>
      <c r="CU49" s="38"/>
      <c r="CV49" s="38"/>
    </row>
    <row r="50" spans="1:100" ht="15" customHeight="1" x14ac:dyDescent="0.3">
      <c r="A50" s="38"/>
      <c r="B50" s="306"/>
      <c r="C50" s="307"/>
      <c r="D50" s="308"/>
      <c r="E50" s="527"/>
      <c r="F50" s="528"/>
      <c r="G50" s="528"/>
      <c r="H50" s="528"/>
      <c r="I50" s="528"/>
      <c r="J50" s="455" t="str">
        <f>IF(AND('Mapa final'!$K$67="Media",'Mapa final'!$O$67="Leve"),CONCATENATE("R",'Mapa final'!$A$67),"")</f>
        <v/>
      </c>
      <c r="K50" s="453"/>
      <c r="L50" s="453" t="str">
        <f>IF(AND('Mapa final'!$K$70="Media",'Mapa final'!$O$70="Leve"),CONCATENATE("R",'Mapa final'!$A$70),"")</f>
        <v/>
      </c>
      <c r="M50" s="453"/>
      <c r="N50" s="453" t="str">
        <f>IF(AND('Mapa final'!$K$73="Media",'Mapa final'!$O$73="Leve"),CONCATENATE("R",'Mapa final'!$A$73),"")</f>
        <v/>
      </c>
      <c r="O50" s="453"/>
      <c r="P50" s="453" t="str">
        <f>IF(AND('Mapa final'!$K$76="Media",'Mapa final'!$O$76="Leve"),CONCATENATE("R",'Mapa final'!$A$76),"")</f>
        <v/>
      </c>
      <c r="Q50" s="453"/>
      <c r="R50" s="453" t="str">
        <f>IF(AND('Mapa final'!$K$79="Media",'Mapa final'!$O$79="Leve"),CONCATENATE("R",'Mapa final'!$A$79),"")</f>
        <v/>
      </c>
      <c r="S50" s="454"/>
      <c r="T50" s="455" t="str">
        <f>IF(AND('Mapa final'!$K$67="Media",'Mapa final'!$O$67="Menor"),CONCATENATE("R",'Mapa final'!$A$67),"")</f>
        <v/>
      </c>
      <c r="U50" s="453"/>
      <c r="V50" s="453" t="str">
        <f>IF(AND('Mapa final'!$K$70="Media",'Mapa final'!$O$70="Menor"),CONCATENATE("R",'Mapa final'!$A$70),"")</f>
        <v>R21</v>
      </c>
      <c r="W50" s="453"/>
      <c r="X50" s="453" t="str">
        <f>IF(AND('Mapa final'!$K$73="Media",'Mapa final'!$O$73="Menor"),CONCATENATE("R",'Mapa final'!$A$73),"")</f>
        <v>R22</v>
      </c>
      <c r="Y50" s="453"/>
      <c r="Z50" s="453" t="str">
        <f>IF(AND('Mapa final'!$K$76="Media",'Mapa final'!$O$76="Menor"),CONCATENATE("R",'Mapa final'!$A$76),"")</f>
        <v>R23</v>
      </c>
      <c r="AA50" s="453"/>
      <c r="AB50" s="453" t="str">
        <f>IF(AND('Mapa final'!$K$79="Media",'Mapa final'!$O$79="Menor"),CONCATENATE("R",'Mapa final'!$A$79),"")</f>
        <v/>
      </c>
      <c r="AC50" s="454"/>
      <c r="AD50" s="455" t="str">
        <f>IF(AND('Mapa final'!$K$67="Media",'Mapa final'!$O$67="Moderado"),CONCATENATE("R",'Mapa final'!$A$67),"")</f>
        <v/>
      </c>
      <c r="AE50" s="453"/>
      <c r="AF50" s="453" t="str">
        <f>IF(AND('Mapa final'!$K$70="Media",'Mapa final'!$O$70="Moderado"),CONCATENATE("R",'Mapa final'!$A$70),"")</f>
        <v/>
      </c>
      <c r="AG50" s="453"/>
      <c r="AH50" s="453" t="str">
        <f>IF(AND('Mapa final'!$K$73="Media",'Mapa final'!$O$73="Moderado"),CONCATENATE("R",'Mapa final'!$A$73),"")</f>
        <v/>
      </c>
      <c r="AI50" s="453"/>
      <c r="AJ50" s="453" t="str">
        <f>IF(AND('Mapa final'!$K$76="Media",'Mapa final'!$O$76="Moderado"),CONCATENATE("R",'Mapa final'!$A$76),"")</f>
        <v/>
      </c>
      <c r="AK50" s="453"/>
      <c r="AL50" s="453" t="str">
        <f>IF(AND('Mapa final'!$K$79="Media",'Mapa final'!$O$79="Moderado"),CONCATENATE("R",'Mapa final'!$A$79),"")</f>
        <v>R24</v>
      </c>
      <c r="AM50" s="454"/>
      <c r="AN50" s="458" t="str">
        <f>IF(AND('Mapa final'!$K$67="Media",'Mapa final'!$O$67="Mayor"),CONCATENATE("R",'Mapa final'!$A$67),"")</f>
        <v/>
      </c>
      <c r="AO50" s="459"/>
      <c r="AP50" s="459" t="str">
        <f>IF(AND('Mapa final'!$K$70="Media",'Mapa final'!$O$70="Mayor"),CONCATENATE("R",'Mapa final'!$A$70),"")</f>
        <v/>
      </c>
      <c r="AQ50" s="459"/>
      <c r="AR50" s="459" t="str">
        <f>IF(AND('Mapa final'!$K$73="Media",'Mapa final'!$O$73="Mayor"),CONCATENATE("R",'Mapa final'!$A$73),"")</f>
        <v/>
      </c>
      <c r="AS50" s="459"/>
      <c r="AT50" s="459" t="str">
        <f>IF(AND('Mapa final'!$K$76="Media",'Mapa final'!$O$76="Mayor"),CONCATENATE("R",'Mapa final'!$A$76),"")</f>
        <v/>
      </c>
      <c r="AU50" s="459"/>
      <c r="AV50" s="459" t="str">
        <f>IF(AND('Mapa final'!$K$79="Media",'Mapa final'!$O$79="Mayor"),CONCATENATE("R",'Mapa final'!$A$79),"")</f>
        <v/>
      </c>
      <c r="AW50" s="464"/>
      <c r="AX50" s="452" t="str">
        <f>IF(AND('Mapa final'!$K$67="Media",'Mapa final'!$O$67="Catastrófico"),CONCATENATE("R",'Mapa final'!$A$67),"")</f>
        <v/>
      </c>
      <c r="AY50" s="450"/>
      <c r="AZ50" s="450" t="str">
        <f>IF(AND('Mapa final'!$K$70="Media",'Mapa final'!$O$70="Catastrófico"),CONCATENATE("R",'Mapa final'!$A$70),"")</f>
        <v/>
      </c>
      <c r="BA50" s="450"/>
      <c r="BB50" s="450" t="str">
        <f>IF(AND('Mapa final'!$K$73="Media",'Mapa final'!$O$73="Catastrófico"),CONCATENATE("R",'Mapa final'!$A$73),"")</f>
        <v/>
      </c>
      <c r="BC50" s="450"/>
      <c r="BD50" s="450" t="str">
        <f>IF(AND('Mapa final'!$K$76="Media",'Mapa final'!$O$76="Catastrófico"),CONCATENATE("R",'Mapa final'!$A$76),"")</f>
        <v/>
      </c>
      <c r="BE50" s="450"/>
      <c r="BF50" s="450" t="str">
        <f>IF(AND('Mapa final'!$K$79="Media",'Mapa final'!$O$79="Catastrófico"),CONCATENATE("R",'Mapa final'!$A$79),"")</f>
        <v/>
      </c>
      <c r="BG50" s="451"/>
      <c r="BH50" s="38"/>
      <c r="BI50" s="507" t="s">
        <v>75</v>
      </c>
      <c r="BJ50" s="508"/>
      <c r="BK50" s="508"/>
      <c r="BL50" s="508"/>
      <c r="BM50" s="508"/>
      <c r="BN50" s="509"/>
      <c r="BO50" s="38"/>
      <c r="BP50" s="38"/>
      <c r="BQ50" s="38"/>
      <c r="BR50" s="38"/>
      <c r="BS50" s="38"/>
      <c r="BT50" s="38"/>
      <c r="BU50" s="38"/>
      <c r="BV50" s="38"/>
      <c r="BW50" s="38"/>
      <c r="BX50" s="38"/>
      <c r="BY50" s="38"/>
      <c r="BZ50" s="38"/>
      <c r="CA50" s="38"/>
      <c r="CB50" s="38"/>
      <c r="CC50" s="38"/>
      <c r="CD50" s="38"/>
      <c r="CE50" s="38"/>
      <c r="CF50" s="38"/>
      <c r="CG50" s="38"/>
      <c r="CH50" s="38"/>
      <c r="CI50" s="38"/>
      <c r="CJ50" s="38"/>
      <c r="CK50" s="38"/>
      <c r="CL50" s="38"/>
      <c r="CM50" s="38"/>
      <c r="CN50" s="38"/>
      <c r="CO50" s="38"/>
      <c r="CP50" s="38"/>
      <c r="CQ50" s="38"/>
      <c r="CR50" s="38"/>
      <c r="CS50" s="38"/>
      <c r="CT50" s="38"/>
      <c r="CU50" s="38"/>
      <c r="CV50" s="38"/>
    </row>
    <row r="51" spans="1:100" ht="15" customHeight="1" x14ac:dyDescent="0.3">
      <c r="A51" s="38"/>
      <c r="B51" s="306"/>
      <c r="C51" s="307"/>
      <c r="D51" s="308"/>
      <c r="E51" s="527"/>
      <c r="F51" s="528"/>
      <c r="G51" s="528"/>
      <c r="H51" s="528"/>
      <c r="I51" s="528"/>
      <c r="J51" s="455"/>
      <c r="K51" s="453"/>
      <c r="L51" s="453"/>
      <c r="M51" s="453"/>
      <c r="N51" s="453"/>
      <c r="O51" s="453"/>
      <c r="P51" s="453"/>
      <c r="Q51" s="453"/>
      <c r="R51" s="453"/>
      <c r="S51" s="454"/>
      <c r="T51" s="455"/>
      <c r="U51" s="453"/>
      <c r="V51" s="453"/>
      <c r="W51" s="453"/>
      <c r="X51" s="453"/>
      <c r="Y51" s="453"/>
      <c r="Z51" s="453"/>
      <c r="AA51" s="453"/>
      <c r="AB51" s="453"/>
      <c r="AC51" s="454"/>
      <c r="AD51" s="455"/>
      <c r="AE51" s="453"/>
      <c r="AF51" s="453"/>
      <c r="AG51" s="453"/>
      <c r="AH51" s="453"/>
      <c r="AI51" s="453"/>
      <c r="AJ51" s="453"/>
      <c r="AK51" s="453"/>
      <c r="AL51" s="453"/>
      <c r="AM51" s="454"/>
      <c r="AN51" s="458"/>
      <c r="AO51" s="459"/>
      <c r="AP51" s="459"/>
      <c r="AQ51" s="459"/>
      <c r="AR51" s="459"/>
      <c r="AS51" s="459"/>
      <c r="AT51" s="459"/>
      <c r="AU51" s="459"/>
      <c r="AV51" s="459"/>
      <c r="AW51" s="464"/>
      <c r="AX51" s="452"/>
      <c r="AY51" s="450"/>
      <c r="AZ51" s="450"/>
      <c r="BA51" s="450"/>
      <c r="BB51" s="450"/>
      <c r="BC51" s="450"/>
      <c r="BD51" s="450"/>
      <c r="BE51" s="450"/>
      <c r="BF51" s="450"/>
      <c r="BG51" s="451"/>
      <c r="BH51" s="38"/>
      <c r="BI51" s="510"/>
      <c r="BJ51" s="511"/>
      <c r="BK51" s="511"/>
      <c r="BL51" s="511"/>
      <c r="BM51" s="511"/>
      <c r="BN51" s="512"/>
      <c r="BO51" s="38"/>
      <c r="BP51" s="38"/>
      <c r="BQ51" s="38"/>
      <c r="BR51" s="38"/>
      <c r="BS51" s="38"/>
      <c r="BT51" s="38"/>
      <c r="BU51" s="38"/>
      <c r="BV51" s="38"/>
      <c r="BW51" s="38"/>
      <c r="BX51" s="38"/>
      <c r="BY51" s="38"/>
      <c r="BZ51" s="38"/>
      <c r="CA51" s="38"/>
      <c r="CB51" s="38"/>
      <c r="CC51" s="38"/>
      <c r="CD51" s="38"/>
      <c r="CE51" s="38"/>
      <c r="CF51" s="38"/>
      <c r="CG51" s="38"/>
      <c r="CH51" s="38"/>
      <c r="CI51" s="38"/>
      <c r="CJ51" s="38"/>
      <c r="CK51" s="38"/>
      <c r="CL51" s="38"/>
      <c r="CM51" s="38"/>
      <c r="CN51" s="38"/>
      <c r="CO51" s="38"/>
      <c r="CP51" s="38"/>
      <c r="CQ51" s="38"/>
      <c r="CR51" s="38"/>
      <c r="CS51" s="38"/>
      <c r="CT51" s="38"/>
      <c r="CU51" s="38"/>
      <c r="CV51" s="38"/>
    </row>
    <row r="52" spans="1:100" ht="15" customHeight="1" x14ac:dyDescent="0.3">
      <c r="A52" s="38"/>
      <c r="B52" s="306"/>
      <c r="C52" s="307"/>
      <c r="D52" s="308"/>
      <c r="E52" s="527"/>
      <c r="F52" s="528"/>
      <c r="G52" s="528"/>
      <c r="H52" s="528"/>
      <c r="I52" s="528"/>
      <c r="J52" s="455" t="str">
        <f>IF(AND('Mapa final'!$K$82="Media",'Mapa final'!$O$82="Leve"),CONCATENATE("R",'Mapa final'!$A$82),"")</f>
        <v/>
      </c>
      <c r="K52" s="453"/>
      <c r="L52" s="453" t="str">
        <f>IF(AND('Mapa final'!$K$85="Media",'Mapa final'!$O$85="Leve"),CONCATENATE("R",'Mapa final'!$A$85),"")</f>
        <v/>
      </c>
      <c r="M52" s="453"/>
      <c r="N52" s="453" t="str">
        <f>IF(AND('Mapa final'!$K$88="Media",'Mapa final'!$O$88="Leve"),CONCATENATE("R",'Mapa final'!$A$88),"")</f>
        <v/>
      </c>
      <c r="O52" s="453"/>
      <c r="P52" s="453" t="str">
        <f>IF(AND('Mapa final'!$K$91="Media",'Mapa final'!$O$91="Leve"),CONCATENATE("R",'Mapa final'!$A$91),"")</f>
        <v/>
      </c>
      <c r="Q52" s="453"/>
      <c r="R52" s="453" t="str">
        <f>IF(AND('Mapa final'!$K$94="Media",'Mapa final'!$O$94="Leve"),CONCATENATE("R",'Mapa final'!$A$94),"")</f>
        <v/>
      </c>
      <c r="S52" s="454"/>
      <c r="T52" s="455" t="str">
        <f>IF(AND('Mapa final'!$K$82="Media",'Mapa final'!$O$82="Menor"),CONCATENATE("R",'Mapa final'!$A$82),"")</f>
        <v/>
      </c>
      <c r="U52" s="453"/>
      <c r="V52" s="453" t="str">
        <f>IF(AND('Mapa final'!$K$85="Media",'Mapa final'!$O$85="Menor"),CONCATENATE("R",'Mapa final'!$A$85),"")</f>
        <v/>
      </c>
      <c r="W52" s="453"/>
      <c r="X52" s="453" t="str">
        <f>IF(AND('Mapa final'!$K$88="Media",'Mapa final'!$O$88="Menor"),CONCATENATE("R",'Mapa final'!$A$88),"")</f>
        <v/>
      </c>
      <c r="Y52" s="453"/>
      <c r="Z52" s="453" t="str">
        <f>IF(AND('Mapa final'!$K$91="Media",'Mapa final'!$O$91="Menor"),CONCATENATE("R",'Mapa final'!$A$91),"")</f>
        <v/>
      </c>
      <c r="AA52" s="453"/>
      <c r="AB52" s="453" t="str">
        <f>IF(AND('Mapa final'!$K$94="Media",'Mapa final'!$O$94="Menor"),CONCATENATE("R",'Mapa final'!$A$94),"")</f>
        <v/>
      </c>
      <c r="AC52" s="454"/>
      <c r="AD52" s="455" t="str">
        <f>IF(AND('Mapa final'!$K$82="Media",'Mapa final'!$O$82="Moderado"),CONCATENATE("R",'Mapa final'!$A$82),"")</f>
        <v/>
      </c>
      <c r="AE52" s="453"/>
      <c r="AF52" s="453" t="str">
        <f>IF(AND('Mapa final'!$K$85="Media",'Mapa final'!$O$85="Moderado"),CONCATENATE("R",'Mapa final'!$A$85),"")</f>
        <v/>
      </c>
      <c r="AG52" s="453"/>
      <c r="AH52" s="453" t="str">
        <f>IF(AND('Mapa final'!$K$88="Media",'Mapa final'!$O$88="Moderado"),CONCATENATE("R",'Mapa final'!$A$88),"")</f>
        <v/>
      </c>
      <c r="AI52" s="453"/>
      <c r="AJ52" s="453" t="str">
        <f>IF(AND('Mapa final'!$K$91="Media",'Mapa final'!$O$91="Moderado"),CONCATENATE("R",'Mapa final'!$A$91),"")</f>
        <v/>
      </c>
      <c r="AK52" s="453"/>
      <c r="AL52" s="453" t="str">
        <f>IF(AND('Mapa final'!$K$94="Media",'Mapa final'!$O$94="Moderado"),CONCATENATE("R",'Mapa final'!$A$94),"")</f>
        <v/>
      </c>
      <c r="AM52" s="454"/>
      <c r="AN52" s="458" t="str">
        <f>IF(AND('Mapa final'!$K$82="Media",'Mapa final'!$O$82="Mayor"),CONCATENATE("R",'Mapa final'!$A$82),"")</f>
        <v/>
      </c>
      <c r="AO52" s="459"/>
      <c r="AP52" s="459" t="str">
        <f>IF(AND('Mapa final'!$K$85="Media",'Mapa final'!$O$85="Mayor"),CONCATENATE("R",'Mapa final'!$A$85),"")</f>
        <v/>
      </c>
      <c r="AQ52" s="459"/>
      <c r="AR52" s="459" t="str">
        <f>IF(AND('Mapa final'!$K$88="Media",'Mapa final'!$O$88="Mayor"),CONCATENATE("R",'Mapa final'!$A$88),"")</f>
        <v/>
      </c>
      <c r="AS52" s="459"/>
      <c r="AT52" s="459" t="str">
        <f>IF(AND('Mapa final'!$K$91="Media",'Mapa final'!$O$91="Mayor"),CONCATENATE("R",'Mapa final'!$A$91),"")</f>
        <v/>
      </c>
      <c r="AU52" s="459"/>
      <c r="AV52" s="459" t="str">
        <f>IF(AND('Mapa final'!$K$94="Media",'Mapa final'!$O$94="Mayor"),CONCATENATE("R",'Mapa final'!$A$94),"")</f>
        <v/>
      </c>
      <c r="AW52" s="464"/>
      <c r="AX52" s="452" t="str">
        <f>IF(AND('Mapa final'!$K$82="Media",'Mapa final'!$O$82="Catastrófico"),CONCATENATE("R",'Mapa final'!$A$82),"")</f>
        <v/>
      </c>
      <c r="AY52" s="450"/>
      <c r="AZ52" s="450" t="str">
        <f>IF(AND('Mapa final'!$K$85="Media",'Mapa final'!$O$85="Catastrófico"),CONCATENATE("R",'Mapa final'!$A$85),"")</f>
        <v/>
      </c>
      <c r="BA52" s="450"/>
      <c r="BB52" s="450" t="str">
        <f>IF(AND('Mapa final'!$K$88="Media",'Mapa final'!$O$88="Catastrófico"),CONCATENATE("R",'Mapa final'!$A$88),"")</f>
        <v/>
      </c>
      <c r="BC52" s="450"/>
      <c r="BD52" s="450" t="str">
        <f>IF(AND('Mapa final'!$K$91="Media",'Mapa final'!$O$91="Catastrófico"),CONCATENATE("R",'Mapa final'!$A$91),"")</f>
        <v/>
      </c>
      <c r="BE52" s="450"/>
      <c r="BF52" s="450" t="str">
        <f>IF(AND('Mapa final'!$K$94="Media",'Mapa final'!$O$94="Catastrófico"),CONCATENATE("R",'Mapa final'!$A$94),"")</f>
        <v/>
      </c>
      <c r="BG52" s="451"/>
      <c r="BH52" s="38"/>
      <c r="BI52" s="510"/>
      <c r="BJ52" s="511"/>
      <c r="BK52" s="511"/>
      <c r="BL52" s="511"/>
      <c r="BM52" s="511"/>
      <c r="BN52" s="512"/>
      <c r="BO52" s="38"/>
      <c r="BP52" s="38"/>
      <c r="BQ52" s="38"/>
      <c r="BR52" s="38"/>
      <c r="BS52" s="38"/>
      <c r="BT52" s="38"/>
      <c r="BU52" s="38"/>
      <c r="BV52" s="38"/>
      <c r="BW52" s="38"/>
      <c r="BX52" s="38"/>
      <c r="BY52" s="38"/>
      <c r="BZ52" s="38"/>
      <c r="CA52" s="38"/>
      <c r="CB52" s="38"/>
      <c r="CC52" s="38"/>
      <c r="CD52" s="38"/>
      <c r="CE52" s="38"/>
      <c r="CF52" s="38"/>
      <c r="CG52" s="38"/>
      <c r="CH52" s="38"/>
      <c r="CI52" s="38"/>
      <c r="CJ52" s="38"/>
      <c r="CK52" s="38"/>
      <c r="CL52" s="38"/>
      <c r="CM52" s="38"/>
      <c r="CN52" s="38"/>
      <c r="CO52" s="38"/>
      <c r="CP52" s="38"/>
      <c r="CQ52" s="38"/>
      <c r="CR52" s="38"/>
      <c r="CS52" s="38"/>
      <c r="CT52" s="38"/>
      <c r="CU52" s="38"/>
      <c r="CV52" s="38"/>
    </row>
    <row r="53" spans="1:100" ht="15" customHeight="1" x14ac:dyDescent="0.3">
      <c r="A53" s="38"/>
      <c r="B53" s="306"/>
      <c r="C53" s="307"/>
      <c r="D53" s="308"/>
      <c r="E53" s="527"/>
      <c r="F53" s="528"/>
      <c r="G53" s="528"/>
      <c r="H53" s="528"/>
      <c r="I53" s="528"/>
      <c r="J53" s="455"/>
      <c r="K53" s="453"/>
      <c r="L53" s="453"/>
      <c r="M53" s="453"/>
      <c r="N53" s="453"/>
      <c r="O53" s="453"/>
      <c r="P53" s="453"/>
      <c r="Q53" s="453"/>
      <c r="R53" s="453"/>
      <c r="S53" s="454"/>
      <c r="T53" s="455"/>
      <c r="U53" s="453"/>
      <c r="V53" s="453"/>
      <c r="W53" s="453"/>
      <c r="X53" s="453"/>
      <c r="Y53" s="453"/>
      <c r="Z53" s="453"/>
      <c r="AA53" s="453"/>
      <c r="AB53" s="453"/>
      <c r="AC53" s="454"/>
      <c r="AD53" s="455"/>
      <c r="AE53" s="453"/>
      <c r="AF53" s="453"/>
      <c r="AG53" s="453"/>
      <c r="AH53" s="453"/>
      <c r="AI53" s="453"/>
      <c r="AJ53" s="453"/>
      <c r="AK53" s="453"/>
      <c r="AL53" s="453"/>
      <c r="AM53" s="454"/>
      <c r="AN53" s="458"/>
      <c r="AO53" s="459"/>
      <c r="AP53" s="459"/>
      <c r="AQ53" s="459"/>
      <c r="AR53" s="459"/>
      <c r="AS53" s="459"/>
      <c r="AT53" s="459"/>
      <c r="AU53" s="459"/>
      <c r="AV53" s="459"/>
      <c r="AW53" s="464"/>
      <c r="AX53" s="452"/>
      <c r="AY53" s="450"/>
      <c r="AZ53" s="450"/>
      <c r="BA53" s="450"/>
      <c r="BB53" s="450"/>
      <c r="BC53" s="450"/>
      <c r="BD53" s="450"/>
      <c r="BE53" s="450"/>
      <c r="BF53" s="450"/>
      <c r="BG53" s="451"/>
      <c r="BH53" s="38"/>
      <c r="BI53" s="510"/>
      <c r="BJ53" s="511"/>
      <c r="BK53" s="511"/>
      <c r="BL53" s="511"/>
      <c r="BM53" s="511"/>
      <c r="BN53" s="512"/>
      <c r="BO53" s="38"/>
      <c r="BP53" s="38"/>
      <c r="BQ53" s="38"/>
      <c r="BR53" s="38"/>
      <c r="BS53" s="38"/>
      <c r="BT53" s="38"/>
      <c r="BU53" s="38"/>
      <c r="BV53" s="38"/>
      <c r="BW53" s="38"/>
      <c r="BX53" s="38"/>
      <c r="BY53" s="38"/>
      <c r="BZ53" s="38"/>
      <c r="CA53" s="38"/>
      <c r="CB53" s="38"/>
      <c r="CC53" s="38"/>
      <c r="CD53" s="38"/>
      <c r="CE53" s="38"/>
      <c r="CF53" s="38"/>
      <c r="CG53" s="38"/>
      <c r="CH53" s="38"/>
      <c r="CI53" s="38"/>
      <c r="CJ53" s="38"/>
      <c r="CK53" s="38"/>
      <c r="CL53" s="38"/>
      <c r="CM53" s="38"/>
      <c r="CN53" s="38"/>
      <c r="CO53" s="38"/>
      <c r="CP53" s="38"/>
      <c r="CQ53" s="38"/>
      <c r="CR53" s="38"/>
      <c r="CS53" s="38"/>
      <c r="CT53" s="38"/>
      <c r="CU53" s="38"/>
      <c r="CV53" s="38"/>
    </row>
    <row r="54" spans="1:100" ht="15" customHeight="1" x14ac:dyDescent="0.3">
      <c r="A54" s="38"/>
      <c r="B54" s="306"/>
      <c r="C54" s="307"/>
      <c r="D54" s="308"/>
      <c r="E54" s="527"/>
      <c r="F54" s="528"/>
      <c r="G54" s="528"/>
      <c r="H54" s="528"/>
      <c r="I54" s="528"/>
      <c r="J54" s="455" t="str">
        <f>IF(AND('Mapa final'!$K$97="Media",'Mapa final'!$O$97="Leve"),CONCATENATE("R",'Mapa final'!$A$97),"")</f>
        <v/>
      </c>
      <c r="K54" s="453"/>
      <c r="L54" s="453" t="str">
        <f>IF(AND('Mapa final'!$K$100="Media",'Mapa final'!$O$100="Leve"),CONCATENATE("R",'Mapa final'!$A$100),"")</f>
        <v/>
      </c>
      <c r="M54" s="453"/>
      <c r="N54" s="453" t="str">
        <f>IF(AND('Mapa final'!$K$103="Media",'Mapa final'!$O$103="Leve"),CONCATENATE("R",'Mapa final'!$A$103),"")</f>
        <v/>
      </c>
      <c r="O54" s="453"/>
      <c r="P54" s="453" t="str">
        <f>IF(AND('Mapa final'!$K$106="Media",'Mapa final'!$O$106="Leve"),CONCATENATE("R",'Mapa final'!$A$106),"")</f>
        <v/>
      </c>
      <c r="Q54" s="453"/>
      <c r="R54" s="453" t="str">
        <f>IF(AND('Mapa final'!$K$109="Media",'Mapa final'!$O$109="Leve"),CONCATENATE("R",'Mapa final'!$A$109),"")</f>
        <v/>
      </c>
      <c r="S54" s="453"/>
      <c r="T54" s="455" t="str">
        <f>IF(AND('Mapa final'!$K$97="Media",'Mapa final'!$O$97="Menor"),CONCATENATE("R",'Mapa final'!$A$97),"")</f>
        <v/>
      </c>
      <c r="U54" s="453"/>
      <c r="V54" s="453" t="str">
        <f>IF(AND('Mapa final'!$K$100="Media",'Mapa final'!$O$100="Menor"),CONCATENATE("R",'Mapa final'!$A$100),"")</f>
        <v/>
      </c>
      <c r="W54" s="453"/>
      <c r="X54" s="453" t="str">
        <f>IF(AND('Mapa final'!$K$103="Media",'Mapa final'!$O$103="Menor"),CONCATENATE("R",'Mapa final'!$A$103),"")</f>
        <v/>
      </c>
      <c r="Y54" s="453"/>
      <c r="Z54" s="453" t="str">
        <f>IF(AND('Mapa final'!$K$106="Media",'Mapa final'!$O$106="Menor"),CONCATENATE("R",'Mapa final'!$A$106),"")</f>
        <v/>
      </c>
      <c r="AA54" s="453"/>
      <c r="AB54" s="453" t="str">
        <f>IF(AND('Mapa final'!$K$109="Media",'Mapa final'!$O$109="Menor"),CONCATENATE("R",'Mapa final'!$A$109),"")</f>
        <v/>
      </c>
      <c r="AC54" s="453"/>
      <c r="AD54" s="455" t="str">
        <f>IF(AND('Mapa final'!$K$97="Media",'Mapa final'!$O$97="Moderado"),CONCATENATE("R",'Mapa final'!$A$97),"")</f>
        <v/>
      </c>
      <c r="AE54" s="453"/>
      <c r="AF54" s="453" t="str">
        <f>IF(AND('Mapa final'!$K$100="Media",'Mapa final'!$O$100="Moderado"),CONCATENATE("R",'Mapa final'!$A$100),"")</f>
        <v/>
      </c>
      <c r="AG54" s="453"/>
      <c r="AH54" s="453" t="str">
        <f>IF(AND('Mapa final'!$K$103="Media",'Mapa final'!$O$103="Moderado"),CONCATENATE("R",'Mapa final'!$A$103),"")</f>
        <v/>
      </c>
      <c r="AI54" s="453"/>
      <c r="AJ54" s="453" t="str">
        <f>IF(AND('Mapa final'!$K$106="Media",'Mapa final'!$O$106="Moderado"),CONCATENATE("R",'Mapa final'!$A$106),"")</f>
        <v>R33</v>
      </c>
      <c r="AK54" s="453"/>
      <c r="AL54" s="453" t="str">
        <f>IF(AND('Mapa final'!$K$109="Media",'Mapa final'!$O$109="Moderado"),CONCATENATE("R",'Mapa final'!$A$109),"")</f>
        <v>R34</v>
      </c>
      <c r="AM54" s="453"/>
      <c r="AN54" s="458" t="str">
        <f>IF(AND('Mapa final'!$K$97="Media",'Mapa final'!$O$97="Mayor"),CONCATENATE("R",'Mapa final'!$A$97),"")</f>
        <v>R30</v>
      </c>
      <c r="AO54" s="459"/>
      <c r="AP54" s="459" t="str">
        <f>IF(AND('Mapa final'!$K$100="Media",'Mapa final'!$O$100="Mayor"),CONCATENATE("R",'Mapa final'!$A$100),"")</f>
        <v/>
      </c>
      <c r="AQ54" s="459"/>
      <c r="AR54" s="459" t="str">
        <f>IF(AND('Mapa final'!$K$103="Media",'Mapa final'!$O$103="Mayor"),CONCATENATE("R",'Mapa final'!$A$103),"")</f>
        <v/>
      </c>
      <c r="AS54" s="459"/>
      <c r="AT54" s="459" t="str">
        <f>IF(AND('Mapa final'!$K$106="Media",'Mapa final'!$O$106="Mayor"),CONCATENATE("R",'Mapa final'!$A$106),"")</f>
        <v/>
      </c>
      <c r="AU54" s="459"/>
      <c r="AV54" s="459" t="str">
        <f>IF(AND('Mapa final'!$K$109="Media",'Mapa final'!$O$109="Mayor"),CONCATENATE("R",'Mapa final'!$A$109),"")</f>
        <v/>
      </c>
      <c r="AW54" s="459"/>
      <c r="AX54" s="452" t="str">
        <f>IF(AND('Mapa final'!$K$97="Media",'Mapa final'!$O$97="Catastrófico"),CONCATENATE("R",'Mapa final'!$A$97),"")</f>
        <v/>
      </c>
      <c r="AY54" s="450"/>
      <c r="AZ54" s="450" t="str">
        <f>IF(AND('Mapa final'!$K$100="Media",'Mapa final'!$O$100="Catastrófico"),CONCATENATE("R",'Mapa final'!$A$100),"")</f>
        <v/>
      </c>
      <c r="BA54" s="450"/>
      <c r="BB54" s="450" t="str">
        <f>IF(AND('Mapa final'!$K$103="Media",'Mapa final'!$O$103="Catastrófico"),CONCATENATE("R",'Mapa final'!$A$103),"")</f>
        <v/>
      </c>
      <c r="BC54" s="450"/>
      <c r="BD54" s="450" t="str">
        <f>IF(AND('Mapa final'!$K$106="Media",'Mapa final'!$O$106="Catastrófico"),CONCATENATE("R",'Mapa final'!$A$106),"")</f>
        <v/>
      </c>
      <c r="BE54" s="450"/>
      <c r="BF54" s="450" t="str">
        <f>IF(AND('Mapa final'!$K$109="Media",'Mapa final'!$O$109="Catastrófico"),CONCATENATE("R",'Mapa final'!$A$109),"")</f>
        <v/>
      </c>
      <c r="BG54" s="451"/>
      <c r="BH54" s="38"/>
      <c r="BI54" s="510"/>
      <c r="BJ54" s="511"/>
      <c r="BK54" s="511"/>
      <c r="BL54" s="511"/>
      <c r="BM54" s="511"/>
      <c r="BN54" s="512"/>
      <c r="BO54" s="38"/>
      <c r="BP54" s="38"/>
      <c r="BQ54" s="38"/>
      <c r="BR54" s="38"/>
      <c r="BS54" s="38"/>
      <c r="BT54" s="38"/>
      <c r="BU54" s="38"/>
      <c r="BV54" s="38"/>
      <c r="BW54" s="38"/>
      <c r="BX54" s="38"/>
      <c r="BY54" s="38"/>
      <c r="BZ54" s="38"/>
      <c r="CA54" s="38"/>
      <c r="CB54" s="38"/>
      <c r="CC54" s="38"/>
      <c r="CD54" s="38"/>
      <c r="CE54" s="38"/>
      <c r="CF54" s="38"/>
      <c r="CG54" s="38"/>
      <c r="CH54" s="38"/>
      <c r="CI54" s="38"/>
      <c r="CJ54" s="38"/>
      <c r="CK54" s="38"/>
      <c r="CL54" s="38"/>
      <c r="CM54" s="38"/>
      <c r="CN54" s="38"/>
      <c r="CO54" s="38"/>
      <c r="CP54" s="38"/>
      <c r="CQ54" s="38"/>
      <c r="CR54" s="38"/>
      <c r="CS54" s="38"/>
      <c r="CT54" s="38"/>
      <c r="CU54" s="38"/>
      <c r="CV54" s="38"/>
    </row>
    <row r="55" spans="1:100" ht="15" customHeight="1" x14ac:dyDescent="0.3">
      <c r="A55" s="38"/>
      <c r="B55" s="306"/>
      <c r="C55" s="307"/>
      <c r="D55" s="308"/>
      <c r="E55" s="527"/>
      <c r="F55" s="528"/>
      <c r="G55" s="528"/>
      <c r="H55" s="528"/>
      <c r="I55" s="528"/>
      <c r="J55" s="455"/>
      <c r="K55" s="453"/>
      <c r="L55" s="453"/>
      <c r="M55" s="453"/>
      <c r="N55" s="453"/>
      <c r="O55" s="453"/>
      <c r="P55" s="453"/>
      <c r="Q55" s="453"/>
      <c r="R55" s="453"/>
      <c r="S55" s="453"/>
      <c r="T55" s="455"/>
      <c r="U55" s="453"/>
      <c r="V55" s="453"/>
      <c r="W55" s="453"/>
      <c r="X55" s="453"/>
      <c r="Y55" s="453"/>
      <c r="Z55" s="453"/>
      <c r="AA55" s="453"/>
      <c r="AB55" s="453"/>
      <c r="AC55" s="453"/>
      <c r="AD55" s="455"/>
      <c r="AE55" s="453"/>
      <c r="AF55" s="453"/>
      <c r="AG55" s="453"/>
      <c r="AH55" s="453"/>
      <c r="AI55" s="453"/>
      <c r="AJ55" s="453"/>
      <c r="AK55" s="453"/>
      <c r="AL55" s="453"/>
      <c r="AM55" s="453"/>
      <c r="AN55" s="458"/>
      <c r="AO55" s="459"/>
      <c r="AP55" s="459"/>
      <c r="AQ55" s="459"/>
      <c r="AR55" s="459"/>
      <c r="AS55" s="459"/>
      <c r="AT55" s="459"/>
      <c r="AU55" s="459"/>
      <c r="AV55" s="459"/>
      <c r="AW55" s="459"/>
      <c r="AX55" s="452"/>
      <c r="AY55" s="450"/>
      <c r="AZ55" s="450"/>
      <c r="BA55" s="450"/>
      <c r="BB55" s="450"/>
      <c r="BC55" s="450"/>
      <c r="BD55" s="450"/>
      <c r="BE55" s="450"/>
      <c r="BF55" s="450"/>
      <c r="BG55" s="451"/>
      <c r="BH55" s="38"/>
      <c r="BI55" s="510"/>
      <c r="BJ55" s="511"/>
      <c r="BK55" s="511"/>
      <c r="BL55" s="511"/>
      <c r="BM55" s="511"/>
      <c r="BN55" s="512"/>
      <c r="BO55" s="38"/>
      <c r="BP55" s="38"/>
      <c r="BQ55" s="38"/>
      <c r="BR55" s="38"/>
      <c r="BS55" s="38"/>
      <c r="BT55" s="38"/>
      <c r="BU55" s="38"/>
      <c r="BV55" s="38"/>
      <c r="BW55" s="38"/>
      <c r="BX55" s="38"/>
      <c r="BY55" s="38"/>
      <c r="BZ55" s="38"/>
      <c r="CA55" s="38"/>
      <c r="CB55" s="38"/>
      <c r="CC55" s="38"/>
      <c r="CD55" s="38"/>
      <c r="CE55" s="38"/>
      <c r="CF55" s="38"/>
      <c r="CG55" s="38"/>
      <c r="CH55" s="38"/>
      <c r="CI55" s="38"/>
      <c r="CJ55" s="38"/>
      <c r="CK55" s="38"/>
      <c r="CL55" s="38"/>
      <c r="CM55" s="38"/>
      <c r="CN55" s="38"/>
      <c r="CO55" s="38"/>
      <c r="CP55" s="38"/>
      <c r="CQ55" s="38"/>
      <c r="CR55" s="38"/>
      <c r="CS55" s="38"/>
      <c r="CT55" s="38"/>
      <c r="CU55" s="38"/>
      <c r="CV55" s="38"/>
    </row>
    <row r="56" spans="1:100" ht="15" customHeight="1" x14ac:dyDescent="0.3">
      <c r="A56" s="38"/>
      <c r="B56" s="306"/>
      <c r="C56" s="307"/>
      <c r="D56" s="308"/>
      <c r="E56" s="527"/>
      <c r="F56" s="528"/>
      <c r="G56" s="528"/>
      <c r="H56" s="528"/>
      <c r="I56" s="528"/>
      <c r="J56" s="455" t="str">
        <f>IF(AND('Mapa final'!$K$112="Media",'Mapa final'!$O$112="Leve"),CONCATENATE("R",'Mapa final'!$A$112),"")</f>
        <v/>
      </c>
      <c r="K56" s="453"/>
      <c r="L56" s="453" t="str">
        <f>IF(AND('Mapa final'!$K$115="Media",'Mapa final'!$O$115="Leve"),CONCATENATE("R",'Mapa final'!$A$115),"")</f>
        <v/>
      </c>
      <c r="M56" s="453"/>
      <c r="N56" s="453" t="str">
        <f>IF(AND('Mapa final'!$K$118="Media",'Mapa final'!$O$118="Leve"),CONCATENATE("R",'Mapa final'!$A$118),"")</f>
        <v/>
      </c>
      <c r="O56" s="453"/>
      <c r="P56" s="453" t="str">
        <f>IF(AND('Mapa final'!$K$121="Media",'Mapa final'!$O$121="Leve"),CONCATENATE("R",'Mapa final'!$A$121),"")</f>
        <v/>
      </c>
      <c r="Q56" s="453"/>
      <c r="R56" s="453" t="str">
        <f>IF(AND('Mapa final'!$K$124="Media",'Mapa final'!$O$124="Leve"),CONCATENATE("R",'Mapa final'!$A$124),"")</f>
        <v/>
      </c>
      <c r="S56" s="453"/>
      <c r="T56" s="455" t="str">
        <f>IF(AND('Mapa final'!$K$112="Media",'Mapa final'!$O$112="Menor"),CONCATENATE("R",'Mapa final'!$A$112),"")</f>
        <v/>
      </c>
      <c r="U56" s="453"/>
      <c r="V56" s="453" t="str">
        <f>IF(AND('Mapa final'!$K$115="Media",'Mapa final'!$O$115="Menor"),CONCATENATE("R",'Mapa final'!$A$115),"")</f>
        <v/>
      </c>
      <c r="W56" s="453"/>
      <c r="X56" s="453" t="str">
        <f>IF(AND('Mapa final'!$K$118="Media",'Mapa final'!$O$118="Menor"),CONCATENATE("R",'Mapa final'!$A$118),"")</f>
        <v/>
      </c>
      <c r="Y56" s="453"/>
      <c r="Z56" s="453" t="str">
        <f>IF(AND('Mapa final'!$K$121="Media",'Mapa final'!$O$121="Menor"),CONCATENATE("R",'Mapa final'!$A$121),"")</f>
        <v/>
      </c>
      <c r="AA56" s="453"/>
      <c r="AB56" s="453" t="str">
        <f>IF(AND('Mapa final'!$K$124="Media",'Mapa final'!$O$124="Menor"),CONCATENATE("R",'Mapa final'!$A$124),"")</f>
        <v/>
      </c>
      <c r="AC56" s="453"/>
      <c r="AD56" s="455" t="str">
        <f>IF(AND('Mapa final'!$K$112="Media",'Mapa final'!$O$112="Moderado"),CONCATENATE("R",'Mapa final'!$A$112),"")</f>
        <v/>
      </c>
      <c r="AE56" s="453"/>
      <c r="AF56" s="453" t="str">
        <f>IF(AND('Mapa final'!$K$115="Media",'Mapa final'!$O$115="Moderado"),CONCATENATE("R",'Mapa final'!$A$115),"")</f>
        <v/>
      </c>
      <c r="AG56" s="453"/>
      <c r="AH56" s="453" t="str">
        <f>IF(AND('Mapa final'!$K$118="Media",'Mapa final'!$O$118="Moderado"),CONCATENATE("R",'Mapa final'!$A$118),"")</f>
        <v>R37</v>
      </c>
      <c r="AI56" s="453"/>
      <c r="AJ56" s="453" t="str">
        <f>IF(AND('Mapa final'!$K$121="Media",'Mapa final'!$O$121="Moderado"),CONCATENATE("R",'Mapa final'!$A$121),"")</f>
        <v/>
      </c>
      <c r="AK56" s="453"/>
      <c r="AL56" s="453" t="str">
        <f>IF(AND('Mapa final'!$K$124="Media",'Mapa final'!$O$124="Moderado"),CONCATENATE("R",'Mapa final'!$A$124),"")</f>
        <v/>
      </c>
      <c r="AM56" s="453"/>
      <c r="AN56" s="458" t="str">
        <f>IF(AND('Mapa final'!$K$112="Media",'Mapa final'!$O$112="Mayor"),CONCATENATE("R",'Mapa final'!$A$112),"")</f>
        <v>R35</v>
      </c>
      <c r="AO56" s="459"/>
      <c r="AP56" s="459" t="str">
        <f>IF(AND('Mapa final'!$K$115="Media",'Mapa final'!$O$115="Mayor"),CONCATENATE("R",'Mapa final'!$A$115),"")</f>
        <v/>
      </c>
      <c r="AQ56" s="459"/>
      <c r="AR56" s="459" t="str">
        <f>IF(AND('Mapa final'!$K$118="Media",'Mapa final'!$O$118="Mayor"),CONCATENATE("R",'Mapa final'!$A$118),"")</f>
        <v/>
      </c>
      <c r="AS56" s="459"/>
      <c r="AT56" s="459" t="str">
        <f>IF(AND('Mapa final'!$K$121="Media",'Mapa final'!$O$121="Mayor"),CONCATENATE("R",'Mapa final'!$A$121),"")</f>
        <v>R38</v>
      </c>
      <c r="AU56" s="459"/>
      <c r="AV56" s="459" t="str">
        <f>IF(AND('Mapa final'!$K$124="Media",'Mapa final'!$O$124="Mayor"),CONCATENATE("R",'Mapa final'!$A$124),"")</f>
        <v>R39</v>
      </c>
      <c r="AW56" s="459"/>
      <c r="AX56" s="452" t="str">
        <f>IF(AND('Mapa final'!$K$112="Media",'Mapa final'!$O$112="Catastrófico"),CONCATENATE("R",'Mapa final'!$A$112),"")</f>
        <v/>
      </c>
      <c r="AY56" s="450"/>
      <c r="AZ56" s="450" t="str">
        <f>IF(AND('Mapa final'!$K$115="Media",'Mapa final'!$O$115="Catastrófico"),CONCATENATE("R",'Mapa final'!$A$115),"")</f>
        <v/>
      </c>
      <c r="BA56" s="450"/>
      <c r="BB56" s="450" t="str">
        <f>IF(AND('Mapa final'!$K$118="Media",'Mapa final'!$O$118="Catastrófico"),CONCATENATE("R",'Mapa final'!$A$118),"")</f>
        <v/>
      </c>
      <c r="BC56" s="450"/>
      <c r="BD56" s="450" t="str">
        <f>IF(AND('Mapa final'!$K$121="Media",'Mapa final'!$O$121="Catastrófico"),CONCATENATE("R",'Mapa final'!$A$121),"")</f>
        <v/>
      </c>
      <c r="BE56" s="450"/>
      <c r="BF56" s="450" t="str">
        <f>IF(AND('Mapa final'!$K$124="Media",'Mapa final'!$O$124="Catastrófico"),CONCATENATE("R",'Mapa final'!$A$124),"")</f>
        <v/>
      </c>
      <c r="BG56" s="451"/>
      <c r="BH56" s="38"/>
      <c r="BI56" s="510"/>
      <c r="BJ56" s="511"/>
      <c r="BK56" s="511"/>
      <c r="BL56" s="511"/>
      <c r="BM56" s="511"/>
      <c r="BN56" s="512"/>
      <c r="BO56" s="38"/>
      <c r="BP56" s="38"/>
      <c r="BQ56" s="38"/>
      <c r="BR56" s="38"/>
      <c r="BS56" s="38"/>
      <c r="BT56" s="38"/>
      <c r="BU56" s="38"/>
      <c r="BV56" s="38"/>
      <c r="BW56" s="38"/>
      <c r="BX56" s="38"/>
      <c r="BY56" s="38"/>
      <c r="BZ56" s="38"/>
      <c r="CA56" s="38"/>
      <c r="CB56" s="38"/>
      <c r="CC56" s="38"/>
      <c r="CD56" s="38"/>
      <c r="CE56" s="38"/>
      <c r="CF56" s="38"/>
      <c r="CG56" s="38"/>
      <c r="CH56" s="38"/>
      <c r="CI56" s="38"/>
      <c r="CJ56" s="38"/>
      <c r="CK56" s="38"/>
      <c r="CL56" s="38"/>
      <c r="CM56" s="38"/>
      <c r="CN56" s="38"/>
      <c r="CO56" s="38"/>
      <c r="CP56" s="38"/>
      <c r="CQ56" s="38"/>
      <c r="CR56" s="38"/>
      <c r="CS56" s="38"/>
      <c r="CT56" s="38"/>
      <c r="CU56" s="38"/>
      <c r="CV56" s="38"/>
    </row>
    <row r="57" spans="1:100" ht="15" customHeight="1" x14ac:dyDescent="0.3">
      <c r="A57" s="38"/>
      <c r="B57" s="306"/>
      <c r="C57" s="307"/>
      <c r="D57" s="308"/>
      <c r="E57" s="527"/>
      <c r="F57" s="528"/>
      <c r="G57" s="528"/>
      <c r="H57" s="528"/>
      <c r="I57" s="528"/>
      <c r="J57" s="455"/>
      <c r="K57" s="453"/>
      <c r="L57" s="453"/>
      <c r="M57" s="453"/>
      <c r="N57" s="453"/>
      <c r="O57" s="453"/>
      <c r="P57" s="453"/>
      <c r="Q57" s="453"/>
      <c r="R57" s="453"/>
      <c r="S57" s="453"/>
      <c r="T57" s="455"/>
      <c r="U57" s="453"/>
      <c r="V57" s="453"/>
      <c r="W57" s="453"/>
      <c r="X57" s="453"/>
      <c r="Y57" s="453"/>
      <c r="Z57" s="453"/>
      <c r="AA57" s="453"/>
      <c r="AB57" s="453"/>
      <c r="AC57" s="453"/>
      <c r="AD57" s="455"/>
      <c r="AE57" s="453"/>
      <c r="AF57" s="453"/>
      <c r="AG57" s="453"/>
      <c r="AH57" s="453"/>
      <c r="AI57" s="453"/>
      <c r="AJ57" s="453"/>
      <c r="AK57" s="453"/>
      <c r="AL57" s="453"/>
      <c r="AM57" s="453"/>
      <c r="AN57" s="458"/>
      <c r="AO57" s="459"/>
      <c r="AP57" s="459"/>
      <c r="AQ57" s="459"/>
      <c r="AR57" s="459"/>
      <c r="AS57" s="459"/>
      <c r="AT57" s="459"/>
      <c r="AU57" s="459"/>
      <c r="AV57" s="459"/>
      <c r="AW57" s="459"/>
      <c r="AX57" s="452"/>
      <c r="AY57" s="450"/>
      <c r="AZ57" s="450"/>
      <c r="BA57" s="450"/>
      <c r="BB57" s="450"/>
      <c r="BC57" s="450"/>
      <c r="BD57" s="450"/>
      <c r="BE57" s="450"/>
      <c r="BF57" s="450"/>
      <c r="BG57" s="451"/>
      <c r="BH57" s="38"/>
      <c r="BI57" s="510"/>
      <c r="BJ57" s="511"/>
      <c r="BK57" s="511"/>
      <c r="BL57" s="511"/>
      <c r="BM57" s="511"/>
      <c r="BN57" s="512"/>
      <c r="BO57" s="38"/>
      <c r="BP57" s="38"/>
      <c r="BQ57" s="38"/>
      <c r="BR57" s="38"/>
      <c r="BS57" s="38"/>
      <c r="BT57" s="38"/>
      <c r="BU57" s="38"/>
      <c r="BV57" s="38"/>
      <c r="BW57" s="38"/>
      <c r="BX57" s="38"/>
      <c r="BY57" s="38"/>
      <c r="BZ57" s="38"/>
      <c r="CA57" s="38"/>
      <c r="CB57" s="38"/>
      <c r="CC57" s="38"/>
      <c r="CD57" s="38"/>
      <c r="CE57" s="38"/>
      <c r="CF57" s="38"/>
      <c r="CG57" s="38"/>
      <c r="CH57" s="38"/>
      <c r="CI57" s="38"/>
      <c r="CJ57" s="38"/>
      <c r="CK57" s="38"/>
      <c r="CL57" s="38"/>
      <c r="CM57" s="38"/>
      <c r="CN57" s="38"/>
      <c r="CO57" s="38"/>
      <c r="CP57" s="38"/>
      <c r="CQ57" s="38"/>
      <c r="CR57" s="38"/>
      <c r="CS57" s="38"/>
      <c r="CT57" s="38"/>
      <c r="CU57" s="38"/>
      <c r="CV57" s="38"/>
    </row>
    <row r="58" spans="1:100" ht="15" customHeight="1" x14ac:dyDescent="0.3">
      <c r="A58" s="38"/>
      <c r="B58" s="306"/>
      <c r="C58" s="307"/>
      <c r="D58" s="308"/>
      <c r="E58" s="527"/>
      <c r="F58" s="528"/>
      <c r="G58" s="528"/>
      <c r="H58" s="528"/>
      <c r="I58" s="528"/>
      <c r="J58" s="455" t="str">
        <f>IF(AND('Mapa final'!$K$130="Media",'Mapa final'!$O$130="Leve"),CONCATENATE("R",'Mapa final'!$A$130),"")</f>
        <v/>
      </c>
      <c r="K58" s="453"/>
      <c r="L58" s="453" t="str">
        <f>IF(AND('Mapa final'!$K$133="Media",'Mapa final'!$O$133="Leve"),CONCATENATE("R",'Mapa final'!$A$133),"")</f>
        <v/>
      </c>
      <c r="M58" s="453"/>
      <c r="N58" s="453" t="str">
        <f>IF(AND('Mapa final'!$K$136="Media",'Mapa final'!$O$136="Leve"),CONCATENATE("R",'Mapa final'!$A$136),"")</f>
        <v/>
      </c>
      <c r="O58" s="453"/>
      <c r="P58" s="453" t="str">
        <f>IF(AND('Mapa final'!$K$139="Media",'Mapa final'!$O$139="Leve"),CONCATENATE("R",'Mapa final'!$A$139),"")</f>
        <v/>
      </c>
      <c r="Q58" s="453"/>
      <c r="R58" s="453" t="str">
        <f>IF(AND('Mapa final'!$K$142="Media",'Mapa final'!$O$142="Leve"),CONCATENATE("R",'Mapa final'!$A$142),"")</f>
        <v/>
      </c>
      <c r="S58" s="454"/>
      <c r="T58" s="455" t="str">
        <f>IF(AND('Mapa final'!$K$130="Media",'Mapa final'!$O$130="Menor"),CONCATENATE("R",'Mapa final'!$A$130),"")</f>
        <v/>
      </c>
      <c r="U58" s="453"/>
      <c r="V58" s="453" t="str">
        <f>IF(AND('Mapa final'!$K$133="Media",'Mapa final'!$O$133="Menor"),CONCATENATE("R",'Mapa final'!$A$133),"")</f>
        <v/>
      </c>
      <c r="W58" s="453"/>
      <c r="X58" s="453" t="str">
        <f>IF(AND('Mapa final'!$K$136="Media",'Mapa final'!$O$136="Menor"),CONCATENATE("R",'Mapa final'!$A$136),"")</f>
        <v/>
      </c>
      <c r="Y58" s="453"/>
      <c r="Z58" s="453" t="str">
        <f>IF(AND('Mapa final'!$K$139="Media",'Mapa final'!$O$139="Menor"),CONCATENATE("R",'Mapa final'!$A$139),"")</f>
        <v/>
      </c>
      <c r="AA58" s="453"/>
      <c r="AB58" s="453" t="str">
        <f>IF(AND('Mapa final'!$K$142="Media",'Mapa final'!$O$142="Menor"),CONCATENATE("R",'Mapa final'!$A$142),"")</f>
        <v/>
      </c>
      <c r="AC58" s="454"/>
      <c r="AD58" s="455" t="str">
        <f>IF(AND('Mapa final'!$K$130="Media",'Mapa final'!$O$130="Moderado"),CONCATENATE("R",'Mapa final'!$A$130),"")</f>
        <v/>
      </c>
      <c r="AE58" s="453"/>
      <c r="AF58" s="453" t="str">
        <f>IF(AND('Mapa final'!$K$133="Media",'Mapa final'!$O$133="Moderado"),CONCATENATE("R",'Mapa final'!$A$133),"")</f>
        <v/>
      </c>
      <c r="AG58" s="453"/>
      <c r="AH58" s="453" t="str">
        <f>IF(AND('Mapa final'!$K$136="Media",'Mapa final'!$O$136="Moderado"),CONCATENATE("R",'Mapa final'!$A$136),"")</f>
        <v/>
      </c>
      <c r="AI58" s="453"/>
      <c r="AJ58" s="453" t="str">
        <f>IF(AND('Mapa final'!$K$139="Media",'Mapa final'!$O$139="Moderado"),CONCATENATE("R",'Mapa final'!$A$139),"")</f>
        <v/>
      </c>
      <c r="AK58" s="453"/>
      <c r="AL58" s="453" t="str">
        <f>IF(AND('Mapa final'!$K$142="Media",'Mapa final'!$O$142="Moderado"),CONCATENATE("R",'Mapa final'!$A$142),"")</f>
        <v/>
      </c>
      <c r="AM58" s="454"/>
      <c r="AN58" s="458" t="str">
        <f>IF(AND('Mapa final'!$K$130="Media",'Mapa final'!$O$130="Mayor"),CONCATENATE("R",'Mapa final'!$A$130),"")</f>
        <v/>
      </c>
      <c r="AO58" s="459"/>
      <c r="AP58" s="459" t="str">
        <f>IF(AND('Mapa final'!$K$133="Media",'Mapa final'!$O$133="Mayor"),CONCATENATE("R",'Mapa final'!$A$133),"")</f>
        <v/>
      </c>
      <c r="AQ58" s="459"/>
      <c r="AR58" s="459" t="str">
        <f>IF(AND('Mapa final'!$K$136="Media",'Mapa final'!$O$136="Mayor"),CONCATENATE("R",'Mapa final'!$A$136),"")</f>
        <v/>
      </c>
      <c r="AS58" s="459"/>
      <c r="AT58" s="459" t="str">
        <f>IF(AND('Mapa final'!$K$139="Media",'Mapa final'!$O$139="Mayor"),CONCATENATE("R",'Mapa final'!$A$139),"")</f>
        <v/>
      </c>
      <c r="AU58" s="459"/>
      <c r="AV58" s="459" t="str">
        <f>IF(AND('Mapa final'!$K$142="Media",'Mapa final'!$O$142="Mayor"),CONCATENATE("R",'Mapa final'!$A$142),"")</f>
        <v/>
      </c>
      <c r="AW58" s="464"/>
      <c r="AX58" s="452" t="str">
        <f>IF(AND('Mapa final'!$K$130="Media",'Mapa final'!$O$130="Catastrófico"),CONCATENATE("R",'Mapa final'!$A$130),"")</f>
        <v/>
      </c>
      <c r="AY58" s="450"/>
      <c r="AZ58" s="450" t="str">
        <f>IF(AND('Mapa final'!$K$133="Media",'Mapa final'!$O$133="Catastrófico"),CONCATENATE("R",'Mapa final'!$A$133),"")</f>
        <v/>
      </c>
      <c r="BA58" s="450"/>
      <c r="BB58" s="450" t="str">
        <f>IF(AND('Mapa final'!$K$136="Media",'Mapa final'!$O$136="Catastrófico"),CONCATENATE("R",'Mapa final'!$A$136),"")</f>
        <v/>
      </c>
      <c r="BC58" s="450"/>
      <c r="BD58" s="450" t="str">
        <f>IF(AND('Mapa final'!$K$139="Media",'Mapa final'!$O$139="Catastrófico"),CONCATENATE("R",'Mapa final'!$A$139),"")</f>
        <v/>
      </c>
      <c r="BE58" s="450"/>
      <c r="BF58" s="450" t="str">
        <f>IF(AND('Mapa final'!$K$142="Media",'Mapa final'!$O$142="Catastrófico"),CONCATENATE("R",'Mapa final'!$A$142),"")</f>
        <v/>
      </c>
      <c r="BG58" s="451"/>
      <c r="BH58" s="38"/>
      <c r="BI58" s="510"/>
      <c r="BJ58" s="511"/>
      <c r="BK58" s="511"/>
      <c r="BL58" s="511"/>
      <c r="BM58" s="511"/>
      <c r="BN58" s="512"/>
      <c r="BO58" s="38"/>
      <c r="BP58" s="38"/>
      <c r="BQ58" s="38"/>
      <c r="BR58" s="38"/>
      <c r="BS58" s="38"/>
      <c r="BT58" s="38"/>
      <c r="BU58" s="38"/>
      <c r="BV58" s="38"/>
      <c r="BW58" s="38"/>
      <c r="BX58" s="38"/>
      <c r="BY58" s="38"/>
      <c r="BZ58" s="38"/>
      <c r="CA58" s="38"/>
      <c r="CB58" s="38"/>
      <c r="CC58" s="38"/>
      <c r="CD58" s="38"/>
      <c r="CE58" s="38"/>
      <c r="CF58" s="38"/>
      <c r="CG58" s="38"/>
      <c r="CH58" s="38"/>
      <c r="CI58" s="38"/>
      <c r="CJ58" s="38"/>
      <c r="CK58" s="38"/>
      <c r="CL58" s="38"/>
      <c r="CM58" s="38"/>
      <c r="CN58" s="38"/>
      <c r="CO58" s="38"/>
      <c r="CP58" s="38"/>
      <c r="CQ58" s="38"/>
      <c r="CR58" s="38"/>
      <c r="CS58" s="38"/>
      <c r="CT58" s="38"/>
      <c r="CU58" s="38"/>
      <c r="CV58" s="38"/>
    </row>
    <row r="59" spans="1:100" ht="15" customHeight="1" thickBot="1" x14ac:dyDescent="0.35">
      <c r="A59" s="38"/>
      <c r="B59" s="306"/>
      <c r="C59" s="307"/>
      <c r="D59" s="308"/>
      <c r="E59" s="527"/>
      <c r="F59" s="528"/>
      <c r="G59" s="528"/>
      <c r="H59" s="528"/>
      <c r="I59" s="528"/>
      <c r="J59" s="455"/>
      <c r="K59" s="453"/>
      <c r="L59" s="453"/>
      <c r="M59" s="453"/>
      <c r="N59" s="453"/>
      <c r="O59" s="453"/>
      <c r="P59" s="453"/>
      <c r="Q59" s="453"/>
      <c r="R59" s="453"/>
      <c r="S59" s="454"/>
      <c r="T59" s="455"/>
      <c r="U59" s="453"/>
      <c r="V59" s="453"/>
      <c r="W59" s="453"/>
      <c r="X59" s="453"/>
      <c r="Y59" s="453"/>
      <c r="Z59" s="453"/>
      <c r="AA59" s="453"/>
      <c r="AB59" s="453"/>
      <c r="AC59" s="454"/>
      <c r="AD59" s="455"/>
      <c r="AE59" s="453"/>
      <c r="AF59" s="453"/>
      <c r="AG59" s="453"/>
      <c r="AH59" s="453"/>
      <c r="AI59" s="453"/>
      <c r="AJ59" s="453"/>
      <c r="AK59" s="453"/>
      <c r="AL59" s="453"/>
      <c r="AM59" s="454"/>
      <c r="AN59" s="458"/>
      <c r="AO59" s="459"/>
      <c r="AP59" s="459"/>
      <c r="AQ59" s="459"/>
      <c r="AR59" s="459"/>
      <c r="AS59" s="459"/>
      <c r="AT59" s="459"/>
      <c r="AU59" s="459"/>
      <c r="AV59" s="459"/>
      <c r="AW59" s="464"/>
      <c r="AX59" s="484"/>
      <c r="AY59" s="472"/>
      <c r="AZ59" s="472"/>
      <c r="BA59" s="472"/>
      <c r="BB59" s="472"/>
      <c r="BC59" s="472"/>
      <c r="BD59" s="472"/>
      <c r="BE59" s="472"/>
      <c r="BF59" s="472"/>
      <c r="BG59" s="473"/>
      <c r="BH59" s="38"/>
      <c r="BI59" s="510"/>
      <c r="BJ59" s="511"/>
      <c r="BK59" s="511"/>
      <c r="BL59" s="511"/>
      <c r="BM59" s="511"/>
      <c r="BN59" s="512"/>
      <c r="BO59" s="38"/>
      <c r="BP59" s="38"/>
      <c r="BQ59" s="38"/>
      <c r="BR59" s="38"/>
      <c r="BS59" s="38"/>
      <c r="BT59" s="38"/>
      <c r="BU59" s="38"/>
      <c r="BV59" s="38"/>
      <c r="BW59" s="38"/>
      <c r="BX59" s="38"/>
      <c r="BY59" s="38"/>
      <c r="BZ59" s="38"/>
      <c r="CA59" s="38"/>
      <c r="CB59" s="38"/>
      <c r="CC59" s="38"/>
      <c r="CD59" s="38"/>
      <c r="CE59" s="38"/>
      <c r="CF59" s="38"/>
      <c r="CG59" s="38"/>
      <c r="CH59" s="38"/>
      <c r="CI59" s="38"/>
      <c r="CJ59" s="38"/>
      <c r="CK59" s="38"/>
      <c r="CL59" s="38"/>
      <c r="CM59" s="38"/>
      <c r="CN59" s="38"/>
      <c r="CO59" s="38"/>
      <c r="CP59" s="38"/>
      <c r="CQ59" s="38"/>
      <c r="CR59" s="38"/>
      <c r="CS59" s="38"/>
      <c r="CT59" s="38"/>
      <c r="CU59" s="38"/>
      <c r="CV59" s="38"/>
    </row>
    <row r="60" spans="1:100" ht="15" customHeight="1" x14ac:dyDescent="0.3">
      <c r="A60" s="38"/>
      <c r="B60" s="306"/>
      <c r="C60" s="307"/>
      <c r="D60" s="308"/>
      <c r="E60" s="525" t="s">
        <v>105</v>
      </c>
      <c r="F60" s="526"/>
      <c r="G60" s="526"/>
      <c r="H60" s="526"/>
      <c r="I60" s="526"/>
      <c r="J60" s="488" t="str">
        <f>IF(AND('Mapa final'!$K$7="Baja",'Mapa final'!$O$7="Leve"),CONCATENATE("R",'Mapa final'!$A$7),"")</f>
        <v/>
      </c>
      <c r="K60" s="486"/>
      <c r="L60" s="486" t="str">
        <f>IF(AND('Mapa final'!$K$10="Baja",'Mapa final'!$O$10="Leve"),CONCATENATE("R",'Mapa final'!$A$10),"")</f>
        <v/>
      </c>
      <c r="M60" s="486"/>
      <c r="N60" s="486" t="e">
        <f>IF(AND('Mapa final'!#REF!="Baja",'Mapa final'!#REF!="Leve"),CONCATENATE("R",'Mapa final'!#REF!),"")</f>
        <v>#REF!</v>
      </c>
      <c r="O60" s="486"/>
      <c r="P60" s="486" t="str">
        <f>IF(AND('Mapa final'!$K$13="Baja",'Mapa final'!$O$13="Leve"),CONCATENATE("R",'Mapa final'!$A$13),"")</f>
        <v/>
      </c>
      <c r="Q60" s="486"/>
      <c r="R60" s="486" t="str">
        <f>IF(AND('Mapa final'!$K$16="Baja",'Mapa final'!$O$16="Leve"),CONCATENATE("R",'Mapa final'!$A$16),"")</f>
        <v/>
      </c>
      <c r="S60" s="487"/>
      <c r="T60" s="465" t="str">
        <f>IF(AND('Mapa final'!$K$7="Baja",'Mapa final'!$O$7="Menor"),CONCATENATE("R",'Mapa final'!$A$7),"")</f>
        <v/>
      </c>
      <c r="U60" s="466"/>
      <c r="V60" s="466" t="str">
        <f>IF(AND('Mapa final'!$K$10="Baja",'Mapa final'!$O$10="Menor"),CONCATENATE("R",'Mapa final'!$A$10),"")</f>
        <v/>
      </c>
      <c r="W60" s="466"/>
      <c r="X60" s="466" t="e">
        <f>IF(AND('Mapa final'!#REF!="Baja",'Mapa final'!#REF!="Menor"),CONCATENATE("R",'Mapa final'!#REF!),"")</f>
        <v>#REF!</v>
      </c>
      <c r="Y60" s="466"/>
      <c r="Z60" s="466" t="str">
        <f>IF(AND('Mapa final'!$K$13="Baja",'Mapa final'!$O$13="Menor"),CONCATENATE("R",'Mapa final'!$A$13),"")</f>
        <v/>
      </c>
      <c r="AA60" s="466"/>
      <c r="AB60" s="466" t="str">
        <f>IF(AND('Mapa final'!$K$16="Baja",'Mapa final'!$O$16="Menor"),CONCATENATE("R",'Mapa final'!$A$16),"")</f>
        <v/>
      </c>
      <c r="AC60" s="467"/>
      <c r="AD60" s="465" t="str">
        <f>IF(AND('Mapa final'!$K$7="Baja",'Mapa final'!$O$7="Moderado"),CONCATENATE("R",'Mapa final'!$A$7),"")</f>
        <v/>
      </c>
      <c r="AE60" s="466"/>
      <c r="AF60" s="466" t="str">
        <f>IF(AND('Mapa final'!$K$10="Baja",'Mapa final'!$O$10="Moderado"),CONCATENATE("R",'Mapa final'!$A$10),"")</f>
        <v/>
      </c>
      <c r="AG60" s="466"/>
      <c r="AH60" s="466" t="e">
        <f>IF(AND('Mapa final'!#REF!="Baja",'Mapa final'!#REF!="Moderado"),CONCATENATE("R",'Mapa final'!#REF!),"")</f>
        <v>#REF!</v>
      </c>
      <c r="AI60" s="466"/>
      <c r="AJ60" s="466" t="str">
        <f>IF(AND('Mapa final'!$K$13="Baja",'Mapa final'!$O$13="Moderado"),CONCATENATE("R",'Mapa final'!$A$13),"")</f>
        <v/>
      </c>
      <c r="AK60" s="466"/>
      <c r="AL60" s="466" t="str">
        <f>IF(AND('Mapa final'!$K$16="Baja",'Mapa final'!$O$16="Moderado"),CONCATENATE("R",'Mapa final'!$A$16),"")</f>
        <v/>
      </c>
      <c r="AM60" s="467"/>
      <c r="AN60" s="462" t="str">
        <f>IF(AND('Mapa final'!$K$7="Baja",'Mapa final'!$O$7="Mayor"),CONCATENATE("R",'Mapa final'!$A$7),"")</f>
        <v/>
      </c>
      <c r="AO60" s="461"/>
      <c r="AP60" s="461" t="str">
        <f>IF(AND('Mapa final'!$K$10="Baja",'Mapa final'!$O$10="Mayor"),CONCATENATE("R",'Mapa final'!$A$10),"")</f>
        <v/>
      </c>
      <c r="AQ60" s="461"/>
      <c r="AR60" s="461" t="e">
        <f>IF(AND('Mapa final'!#REF!="Baja",'Mapa final'!#REF!="Mayor"),CONCATENATE("R",'Mapa final'!#REF!),"")</f>
        <v>#REF!</v>
      </c>
      <c r="AS60" s="461"/>
      <c r="AT60" s="461" t="str">
        <f>IF(AND('Mapa final'!$K$13="Baja",'Mapa final'!$O$13="Mayor"),CONCATENATE("R",'Mapa final'!$A$13),"")</f>
        <v/>
      </c>
      <c r="AU60" s="461"/>
      <c r="AV60" s="461" t="str">
        <f>IF(AND('Mapa final'!$K$16="Baja",'Mapa final'!$O$16="Mayor"),CONCATENATE("R",'Mapa final'!$A$16),"")</f>
        <v/>
      </c>
      <c r="AW60" s="463"/>
      <c r="AX60" s="482" t="str">
        <f>IF(AND('Mapa final'!$K$7="Baja",'Mapa final'!$O$7="Catastrófico"),CONCATENATE("R",'Mapa final'!$A$7),"")</f>
        <v/>
      </c>
      <c r="AY60" s="471"/>
      <c r="AZ60" s="471" t="str">
        <f>IF(AND('Mapa final'!$K$10="Baja",'Mapa final'!$O$10="Catastrófico"),CONCATENATE("R",'Mapa final'!$A$10),"")</f>
        <v/>
      </c>
      <c r="BA60" s="471"/>
      <c r="BB60" s="471" t="e">
        <f>IF(AND('Mapa final'!#REF!="Baja",'Mapa final'!#REF!="Catastrófico"),CONCATENATE("R",'Mapa final'!#REF!),"")</f>
        <v>#REF!</v>
      </c>
      <c r="BC60" s="471"/>
      <c r="BD60" s="471" t="str">
        <f>IF(AND('Mapa final'!$K$13="Baja",'Mapa final'!$O$13="Catastrófico"),CONCATENATE("R",'Mapa final'!$A$13),"")</f>
        <v/>
      </c>
      <c r="BE60" s="471"/>
      <c r="BF60" s="471" t="str">
        <f>IF(AND('Mapa final'!$K$16="Baja",'Mapa final'!$O$16="Catastrófico"),CONCATENATE("R",'Mapa final'!$A$16),"")</f>
        <v/>
      </c>
      <c r="BG60" s="483"/>
      <c r="BH60" s="38"/>
      <c r="BI60" s="510"/>
      <c r="BJ60" s="511"/>
      <c r="BK60" s="511"/>
      <c r="BL60" s="511"/>
      <c r="BM60" s="511"/>
      <c r="BN60" s="512"/>
      <c r="BO60" s="38"/>
      <c r="BP60" s="38"/>
      <c r="BQ60" s="38"/>
      <c r="BR60" s="38"/>
      <c r="BS60" s="38"/>
      <c r="BT60" s="38"/>
      <c r="BU60" s="38"/>
      <c r="BV60" s="38"/>
      <c r="BW60" s="38"/>
      <c r="BX60" s="38"/>
      <c r="BY60" s="38"/>
      <c r="BZ60" s="38"/>
      <c r="CA60" s="38"/>
      <c r="CB60" s="38"/>
      <c r="CC60" s="38"/>
      <c r="CD60" s="38"/>
      <c r="CE60" s="38"/>
      <c r="CF60" s="38"/>
      <c r="CG60" s="38"/>
      <c r="CH60" s="38"/>
      <c r="CI60" s="38"/>
      <c r="CJ60" s="38"/>
      <c r="CK60" s="38"/>
      <c r="CL60" s="38"/>
      <c r="CM60" s="38"/>
      <c r="CN60" s="38"/>
      <c r="CO60" s="38"/>
      <c r="CP60" s="38"/>
      <c r="CQ60" s="38"/>
      <c r="CR60" s="38"/>
      <c r="CS60" s="38"/>
      <c r="CT60" s="38"/>
      <c r="CU60" s="38"/>
      <c r="CV60" s="38"/>
    </row>
    <row r="61" spans="1:100" ht="15" customHeight="1" x14ac:dyDescent="0.3">
      <c r="A61" s="38"/>
      <c r="B61" s="306"/>
      <c r="C61" s="307"/>
      <c r="D61" s="308"/>
      <c r="E61" s="527"/>
      <c r="F61" s="528"/>
      <c r="G61" s="528"/>
      <c r="H61" s="528"/>
      <c r="I61" s="528"/>
      <c r="J61" s="447"/>
      <c r="K61" s="448"/>
      <c r="L61" s="448"/>
      <c r="M61" s="448"/>
      <c r="N61" s="448"/>
      <c r="O61" s="448"/>
      <c r="P61" s="448"/>
      <c r="Q61" s="448"/>
      <c r="R61" s="448"/>
      <c r="S61" s="449"/>
      <c r="T61" s="455"/>
      <c r="U61" s="453"/>
      <c r="V61" s="453"/>
      <c r="W61" s="453"/>
      <c r="X61" s="453"/>
      <c r="Y61" s="453"/>
      <c r="Z61" s="453"/>
      <c r="AA61" s="453"/>
      <c r="AB61" s="453"/>
      <c r="AC61" s="454"/>
      <c r="AD61" s="455"/>
      <c r="AE61" s="453"/>
      <c r="AF61" s="453"/>
      <c r="AG61" s="453"/>
      <c r="AH61" s="453"/>
      <c r="AI61" s="453"/>
      <c r="AJ61" s="453"/>
      <c r="AK61" s="453"/>
      <c r="AL61" s="453"/>
      <c r="AM61" s="454"/>
      <c r="AN61" s="458"/>
      <c r="AO61" s="459"/>
      <c r="AP61" s="459"/>
      <c r="AQ61" s="459"/>
      <c r="AR61" s="459"/>
      <c r="AS61" s="459"/>
      <c r="AT61" s="459"/>
      <c r="AU61" s="459"/>
      <c r="AV61" s="459"/>
      <c r="AW61" s="464"/>
      <c r="AX61" s="452"/>
      <c r="AY61" s="450"/>
      <c r="AZ61" s="450"/>
      <c r="BA61" s="450"/>
      <c r="BB61" s="450"/>
      <c r="BC61" s="450"/>
      <c r="BD61" s="450"/>
      <c r="BE61" s="450"/>
      <c r="BF61" s="450"/>
      <c r="BG61" s="451"/>
      <c r="BH61" s="38"/>
      <c r="BI61" s="510"/>
      <c r="BJ61" s="511"/>
      <c r="BK61" s="511"/>
      <c r="BL61" s="511"/>
      <c r="BM61" s="511"/>
      <c r="BN61" s="512"/>
      <c r="BO61" s="38"/>
      <c r="BP61" s="38"/>
      <c r="BQ61" s="38"/>
      <c r="BR61" s="38"/>
      <c r="BS61" s="38"/>
      <c r="BT61" s="38"/>
      <c r="BU61" s="38"/>
      <c r="BV61" s="38"/>
      <c r="BW61" s="38"/>
      <c r="BX61" s="38"/>
      <c r="BY61" s="38"/>
      <c r="BZ61" s="38"/>
      <c r="CA61" s="38"/>
      <c r="CB61" s="38"/>
      <c r="CC61" s="38"/>
      <c r="CD61" s="38"/>
      <c r="CE61" s="38"/>
      <c r="CF61" s="38"/>
      <c r="CG61" s="38"/>
      <c r="CH61" s="38"/>
      <c r="CI61" s="38"/>
      <c r="CJ61" s="38"/>
      <c r="CK61" s="38"/>
      <c r="CL61" s="38"/>
      <c r="CM61" s="38"/>
      <c r="CN61" s="38"/>
      <c r="CO61" s="38"/>
      <c r="CP61" s="38"/>
      <c r="CQ61" s="38"/>
      <c r="CR61" s="38"/>
      <c r="CS61" s="38"/>
      <c r="CT61" s="38"/>
      <c r="CU61" s="38"/>
      <c r="CV61" s="38"/>
    </row>
    <row r="62" spans="1:100" ht="15" customHeight="1" x14ac:dyDescent="0.3">
      <c r="A62" s="38"/>
      <c r="B62" s="306"/>
      <c r="C62" s="307"/>
      <c r="D62" s="308"/>
      <c r="E62" s="527"/>
      <c r="F62" s="528"/>
      <c r="G62" s="528"/>
      <c r="H62" s="528"/>
      <c r="I62" s="528"/>
      <c r="J62" s="447" t="str">
        <f>IF(AND('Mapa final'!$K$19="Baja",'Mapa final'!$O$19="Leve"),CONCATENATE("R",'Mapa final'!$A$19),"")</f>
        <v/>
      </c>
      <c r="K62" s="448"/>
      <c r="L62" s="448" t="str">
        <f>IF(AND('Mapa final'!$K$22="Baja",'Mapa final'!$O$22="Leve"),CONCATENATE("R",'Mapa final'!$A$22),"")</f>
        <v/>
      </c>
      <c r="M62" s="448"/>
      <c r="N62" s="448" t="str">
        <f>IF(AND('Mapa final'!$K$25="Baja",'Mapa final'!$O$25="Leve"),CONCATENATE("R",'Mapa final'!$A$25),"")</f>
        <v/>
      </c>
      <c r="O62" s="448"/>
      <c r="P62" s="448" t="str">
        <f>IF(AND('Mapa final'!$K$28="Baja",'Mapa final'!$O$28="Leve"),CONCATENATE("R",'Mapa final'!$A$28),"")</f>
        <v/>
      </c>
      <c r="Q62" s="448"/>
      <c r="R62" s="448" t="str">
        <f>IF(AND('Mapa final'!$K$31="Baja",'Mapa final'!$O$31="Leve"),CONCATENATE("R",'Mapa final'!$A$31),"")</f>
        <v/>
      </c>
      <c r="S62" s="449"/>
      <c r="T62" s="455" t="str">
        <f>IF(AND('Mapa final'!$K$19="Baja",'Mapa final'!$O$19="Menor"),CONCATENATE("R",'Mapa final'!$A$19),"")</f>
        <v/>
      </c>
      <c r="U62" s="453"/>
      <c r="V62" s="453" t="str">
        <f>IF(AND('Mapa final'!$K$22="Baja",'Mapa final'!$O$22="Menor"),CONCATENATE("R",'Mapa final'!$A$22),"")</f>
        <v/>
      </c>
      <c r="W62" s="453"/>
      <c r="X62" s="453" t="str">
        <f>IF(AND('Mapa final'!$K$25="Baja",'Mapa final'!$O$25="Menor"),CONCATENATE("R",'Mapa final'!$A$25),"")</f>
        <v/>
      </c>
      <c r="Y62" s="453"/>
      <c r="Z62" s="453" t="str">
        <f>IF(AND('Mapa final'!$K$28="Baja",'Mapa final'!$O$28="Menor"),CONCATENATE("R",'Mapa final'!$A$28),"")</f>
        <v/>
      </c>
      <c r="AA62" s="453"/>
      <c r="AB62" s="453" t="str">
        <f>IF(AND('Mapa final'!$K$31="Baja",'Mapa final'!$O$31="Menor"),CONCATENATE("R",'Mapa final'!$A$31),"")</f>
        <v/>
      </c>
      <c r="AC62" s="454"/>
      <c r="AD62" s="455" t="str">
        <f>IF(AND('Mapa final'!$K$19="Baja",'Mapa final'!$O$19="Moderado"),CONCATENATE("R",'Mapa final'!$A$19),"")</f>
        <v/>
      </c>
      <c r="AE62" s="453"/>
      <c r="AF62" s="453" t="str">
        <f>IF(AND('Mapa final'!$K$22="Baja",'Mapa final'!$O$22="Moderado"),CONCATENATE("R",'Mapa final'!$A$22),"")</f>
        <v/>
      </c>
      <c r="AG62" s="453"/>
      <c r="AH62" s="453" t="str">
        <f>IF(AND('Mapa final'!$K$25="Baja",'Mapa final'!$O$25="Moderado"),CONCATENATE("R",'Mapa final'!$A$25),"")</f>
        <v/>
      </c>
      <c r="AI62" s="453"/>
      <c r="AJ62" s="453" t="str">
        <f>IF(AND('Mapa final'!$K$28="Baja",'Mapa final'!$O$28="Moderado"),CONCATENATE("R",'Mapa final'!$A$28),"")</f>
        <v>R8</v>
      </c>
      <c r="AK62" s="453"/>
      <c r="AL62" s="453" t="str">
        <f>IF(AND('Mapa final'!$K$31="Baja",'Mapa final'!$O$31="Moderado"),CONCATENATE("R",'Mapa final'!$A$31),"")</f>
        <v>R9</v>
      </c>
      <c r="AM62" s="454"/>
      <c r="AN62" s="458" t="str">
        <f>IF(AND('Mapa final'!$K$19="Baja",'Mapa final'!$O$19="Mayor"),CONCATENATE("R",'Mapa final'!$A$19),"")</f>
        <v/>
      </c>
      <c r="AO62" s="459"/>
      <c r="AP62" s="459" t="str">
        <f>IF(AND('Mapa final'!$K$22="Baja",'Mapa final'!$O$22="Mayor"),CONCATENATE("R",'Mapa final'!$A$22),"")</f>
        <v/>
      </c>
      <c r="AQ62" s="459"/>
      <c r="AR62" s="459" t="str">
        <f>IF(AND('Mapa final'!$K$25="Baja",'Mapa final'!$O$25="Mayor"),CONCATENATE("R",'Mapa final'!$A$25),"")</f>
        <v>R7</v>
      </c>
      <c r="AS62" s="459"/>
      <c r="AT62" s="459" t="str">
        <f>IF(AND('Mapa final'!$K$28="Baja",'Mapa final'!$O$28="Mayor"),CONCATENATE("R",'Mapa final'!$A$28),"")</f>
        <v/>
      </c>
      <c r="AU62" s="459"/>
      <c r="AV62" s="459" t="str">
        <f>IF(AND('Mapa final'!$K$31="Baja",'Mapa final'!$O$31="Mayor"),CONCATENATE("R",'Mapa final'!$A$31),"")</f>
        <v/>
      </c>
      <c r="AW62" s="464"/>
      <c r="AX62" s="452" t="str">
        <f>IF(AND('Mapa final'!$K$19="Baja",'Mapa final'!$O$19="Catastrófico"),CONCATENATE("R",'Mapa final'!$A$19),"")</f>
        <v/>
      </c>
      <c r="AY62" s="450"/>
      <c r="AZ62" s="450" t="str">
        <f>IF(AND('Mapa final'!$K$22="Baja",'Mapa final'!$O$22="Catastrófico"),CONCATENATE("R",'Mapa final'!$A$22),"")</f>
        <v/>
      </c>
      <c r="BA62" s="450"/>
      <c r="BB62" s="450" t="str">
        <f>IF(AND('Mapa final'!$K$25="Baja",'Mapa final'!$O$25="Catastrófico"),CONCATENATE("R",'Mapa final'!$A$25),"")</f>
        <v/>
      </c>
      <c r="BC62" s="450"/>
      <c r="BD62" s="450" t="str">
        <f>IF(AND('Mapa final'!$K$28="Baja",'Mapa final'!$O$28="Catastrófico"),CONCATENATE("R",'Mapa final'!$A$28),"")</f>
        <v/>
      </c>
      <c r="BE62" s="450"/>
      <c r="BF62" s="450" t="str">
        <f>IF(AND('Mapa final'!$K$31="Baja",'Mapa final'!$O$31="Catastrófico"),CONCATENATE("R",'Mapa final'!$A$31),"")</f>
        <v/>
      </c>
      <c r="BG62" s="451"/>
      <c r="BH62" s="38"/>
      <c r="BI62" s="510"/>
      <c r="BJ62" s="511"/>
      <c r="BK62" s="511"/>
      <c r="BL62" s="511"/>
      <c r="BM62" s="511"/>
      <c r="BN62" s="512"/>
      <c r="BO62" s="38"/>
      <c r="BP62" s="38"/>
      <c r="BQ62" s="38"/>
      <c r="BR62" s="38"/>
      <c r="BS62" s="38"/>
      <c r="BT62" s="38"/>
      <c r="BU62" s="38"/>
      <c r="BV62" s="38"/>
      <c r="BW62" s="38"/>
      <c r="BX62" s="38"/>
      <c r="BY62" s="38"/>
      <c r="BZ62" s="38"/>
      <c r="CA62" s="38"/>
      <c r="CB62" s="38"/>
      <c r="CC62" s="38"/>
      <c r="CD62" s="38"/>
      <c r="CE62" s="38"/>
      <c r="CF62" s="38"/>
      <c r="CG62" s="38"/>
      <c r="CH62" s="38"/>
      <c r="CI62" s="38"/>
      <c r="CJ62" s="38"/>
      <c r="CK62" s="38"/>
      <c r="CL62" s="38"/>
      <c r="CM62" s="38"/>
      <c r="CN62" s="38"/>
      <c r="CO62" s="38"/>
      <c r="CP62" s="38"/>
      <c r="CQ62" s="38"/>
      <c r="CR62" s="38"/>
      <c r="CS62" s="38"/>
      <c r="CT62" s="38"/>
      <c r="CU62" s="38"/>
      <c r="CV62" s="38"/>
    </row>
    <row r="63" spans="1:100" ht="15" customHeight="1" x14ac:dyDescent="0.3">
      <c r="A63" s="38"/>
      <c r="B63" s="306"/>
      <c r="C63" s="307"/>
      <c r="D63" s="308"/>
      <c r="E63" s="527"/>
      <c r="F63" s="528"/>
      <c r="G63" s="528"/>
      <c r="H63" s="528"/>
      <c r="I63" s="528"/>
      <c r="J63" s="447"/>
      <c r="K63" s="448"/>
      <c r="L63" s="448"/>
      <c r="M63" s="448"/>
      <c r="N63" s="448"/>
      <c r="O63" s="448"/>
      <c r="P63" s="448"/>
      <c r="Q63" s="448"/>
      <c r="R63" s="448"/>
      <c r="S63" s="449"/>
      <c r="T63" s="455"/>
      <c r="U63" s="453"/>
      <c r="V63" s="453"/>
      <c r="W63" s="453"/>
      <c r="X63" s="453"/>
      <c r="Y63" s="453"/>
      <c r="Z63" s="453"/>
      <c r="AA63" s="453"/>
      <c r="AB63" s="453"/>
      <c r="AC63" s="454"/>
      <c r="AD63" s="455"/>
      <c r="AE63" s="453"/>
      <c r="AF63" s="453"/>
      <c r="AG63" s="453"/>
      <c r="AH63" s="453"/>
      <c r="AI63" s="453"/>
      <c r="AJ63" s="453"/>
      <c r="AK63" s="453"/>
      <c r="AL63" s="453"/>
      <c r="AM63" s="454"/>
      <c r="AN63" s="458"/>
      <c r="AO63" s="459"/>
      <c r="AP63" s="459"/>
      <c r="AQ63" s="459"/>
      <c r="AR63" s="459"/>
      <c r="AS63" s="459"/>
      <c r="AT63" s="459"/>
      <c r="AU63" s="459"/>
      <c r="AV63" s="459"/>
      <c r="AW63" s="464"/>
      <c r="AX63" s="452"/>
      <c r="AY63" s="450"/>
      <c r="AZ63" s="450"/>
      <c r="BA63" s="450"/>
      <c r="BB63" s="450"/>
      <c r="BC63" s="450"/>
      <c r="BD63" s="450"/>
      <c r="BE63" s="450"/>
      <c r="BF63" s="450"/>
      <c r="BG63" s="451"/>
      <c r="BH63" s="38"/>
      <c r="BI63" s="510"/>
      <c r="BJ63" s="511"/>
      <c r="BK63" s="511"/>
      <c r="BL63" s="511"/>
      <c r="BM63" s="511"/>
      <c r="BN63" s="512"/>
      <c r="BO63" s="38"/>
      <c r="BP63" s="38"/>
      <c r="BQ63" s="38"/>
      <c r="BR63" s="38"/>
      <c r="BS63" s="38"/>
      <c r="BT63" s="38"/>
      <c r="BU63" s="38"/>
      <c r="BV63" s="38"/>
      <c r="BW63" s="38"/>
      <c r="BX63" s="38"/>
      <c r="BY63" s="38"/>
      <c r="BZ63" s="38"/>
      <c r="CA63" s="38"/>
      <c r="CB63" s="38"/>
      <c r="CC63" s="38"/>
      <c r="CD63" s="38"/>
      <c r="CE63" s="38"/>
      <c r="CF63" s="38"/>
      <c r="CG63" s="38"/>
      <c r="CH63" s="38"/>
      <c r="CI63" s="38"/>
      <c r="CJ63" s="38"/>
      <c r="CK63" s="38"/>
      <c r="CL63" s="38"/>
      <c r="CM63" s="38"/>
      <c r="CN63" s="38"/>
      <c r="CO63" s="38"/>
      <c r="CP63" s="38"/>
      <c r="CQ63" s="38"/>
      <c r="CR63" s="38"/>
      <c r="CS63" s="38"/>
      <c r="CT63" s="38"/>
      <c r="CU63" s="38"/>
      <c r="CV63" s="38"/>
    </row>
    <row r="64" spans="1:100" ht="15" customHeight="1" x14ac:dyDescent="0.3">
      <c r="A64" s="38"/>
      <c r="B64" s="306"/>
      <c r="C64" s="307"/>
      <c r="D64" s="308"/>
      <c r="E64" s="527"/>
      <c r="F64" s="528"/>
      <c r="G64" s="528"/>
      <c r="H64" s="528"/>
      <c r="I64" s="528"/>
      <c r="J64" s="447" t="str">
        <f>IF(AND('Mapa final'!$K$34="Baja",'Mapa final'!$O$34="Leve"),CONCATENATE("R",'Mapa final'!$A$34),"")</f>
        <v/>
      </c>
      <c r="K64" s="448"/>
      <c r="L64" s="448" t="str">
        <f>IF(AND('Mapa final'!$K$37="Baja",'Mapa final'!$O$37="Leve"),CONCATENATE("R",'Mapa final'!$A$37),"")</f>
        <v/>
      </c>
      <c r="M64" s="448"/>
      <c r="N64" s="448" t="str">
        <f>IF(AND('Mapa final'!$K$41="Baja",'Mapa final'!$O$41="Leve"),CONCATENATE("R",'Mapa final'!$A$41),"")</f>
        <v/>
      </c>
      <c r="O64" s="448"/>
      <c r="P64" s="448" t="str">
        <f>IF(AND('Mapa final'!$K$44="Baja",'Mapa final'!$O$44="Leve"),CONCATENATE("R",'Mapa final'!$A$44),"")</f>
        <v/>
      </c>
      <c r="Q64" s="448"/>
      <c r="R64" s="448" t="str">
        <f>IF(AND('Mapa final'!$K$49="Baja",'Mapa final'!$O$49="Leve"),CONCATENATE("R",'Mapa final'!$A$49),"")</f>
        <v/>
      </c>
      <c r="S64" s="449"/>
      <c r="T64" s="455" t="str">
        <f>IF(AND('Mapa final'!$K$34="Baja",'Mapa final'!$O$34="Menor"),CONCATENATE("R",'Mapa final'!$A$34),"")</f>
        <v/>
      </c>
      <c r="U64" s="453"/>
      <c r="V64" s="453" t="str">
        <f>IF(AND('Mapa final'!$K$37="Baja",'Mapa final'!$O$37="Menor"),CONCATENATE("R",'Mapa final'!$A$37),"")</f>
        <v/>
      </c>
      <c r="W64" s="453"/>
      <c r="X64" s="453" t="str">
        <f>IF(AND('Mapa final'!$K$41="Baja",'Mapa final'!$O$41="Menor"),CONCATENATE("R",'Mapa final'!$A$41),"")</f>
        <v/>
      </c>
      <c r="Y64" s="453"/>
      <c r="Z64" s="453" t="str">
        <f>IF(AND('Mapa final'!$K$44="Baja",'Mapa final'!$O$44="Menor"),CONCATENATE("R",'Mapa final'!$A$44),"")</f>
        <v/>
      </c>
      <c r="AA64" s="453"/>
      <c r="AB64" s="453" t="str">
        <f>IF(AND('Mapa final'!$K$49="Baja",'Mapa final'!$O$49="Menor"),CONCATENATE("R",'Mapa final'!$A$49),"")</f>
        <v/>
      </c>
      <c r="AC64" s="454"/>
      <c r="AD64" s="455" t="str">
        <f>IF(AND('Mapa final'!$K$34="Baja",'Mapa final'!$O$34="Moderado"),CONCATENATE("R",'Mapa final'!$A$34),"")</f>
        <v/>
      </c>
      <c r="AE64" s="453"/>
      <c r="AF64" s="453" t="str">
        <f>IF(AND('Mapa final'!$K$37="Baja",'Mapa final'!$O$37="Moderado"),CONCATENATE("R",'Mapa final'!$A$37),"")</f>
        <v/>
      </c>
      <c r="AG64" s="453"/>
      <c r="AH64" s="453" t="str">
        <f>IF(AND('Mapa final'!$K$41="Baja",'Mapa final'!$O$41="Moderado"),CONCATENATE("R",'Mapa final'!$A$41),"")</f>
        <v/>
      </c>
      <c r="AI64" s="453"/>
      <c r="AJ64" s="453" t="str">
        <f>IF(AND('Mapa final'!$K$44="Baja",'Mapa final'!$O$44="Moderado"),CONCATENATE("R",'Mapa final'!$A$44),"")</f>
        <v/>
      </c>
      <c r="AK64" s="453"/>
      <c r="AL64" s="453" t="str">
        <f>IF(AND('Mapa final'!$K$49="Baja",'Mapa final'!$O$49="Moderado"),CONCATENATE("R",'Mapa final'!$A$49),"")</f>
        <v/>
      </c>
      <c r="AM64" s="454"/>
      <c r="AN64" s="458" t="str">
        <f>IF(AND('Mapa final'!$K$34="Baja",'Mapa final'!$O$34="Mayor"),CONCATENATE("R",'Mapa final'!$A$34),"")</f>
        <v/>
      </c>
      <c r="AO64" s="459"/>
      <c r="AP64" s="459" t="str">
        <f>IF(AND('Mapa final'!$K$37="Baja",'Mapa final'!$O$37="Mayor"),CONCATENATE("R",'Mapa final'!$A$37),"")</f>
        <v/>
      </c>
      <c r="AQ64" s="459"/>
      <c r="AR64" s="459" t="str">
        <f>IF(AND('Mapa final'!$K$41="Baja",'Mapa final'!$O$41="Mayor"),CONCATENATE("R",'Mapa final'!$A$41),"")</f>
        <v/>
      </c>
      <c r="AS64" s="459"/>
      <c r="AT64" s="459" t="str">
        <f>IF(AND('Mapa final'!$K$44="Baja",'Mapa final'!$O$44="Mayor"),CONCATENATE("R",'Mapa final'!$A$44),"")</f>
        <v/>
      </c>
      <c r="AU64" s="459"/>
      <c r="AV64" s="459" t="str">
        <f>IF(AND('Mapa final'!$K$49="Baja",'Mapa final'!$O$49="Mayor"),CONCATENATE("R",'Mapa final'!$A$49),"")</f>
        <v/>
      </c>
      <c r="AW64" s="464"/>
      <c r="AX64" s="452" t="str">
        <f>IF(AND('Mapa final'!$K$34="Baja",'Mapa final'!$O$34="Catastrófico"),CONCATENATE("R",'Mapa final'!$A$34),"")</f>
        <v/>
      </c>
      <c r="AY64" s="450"/>
      <c r="AZ64" s="450" t="str">
        <f>IF(AND('Mapa final'!$K$37="Baja",'Mapa final'!$O$37="Catastrófico"),CONCATENATE("R",'Mapa final'!$A$37),"")</f>
        <v/>
      </c>
      <c r="BA64" s="450"/>
      <c r="BB64" s="450" t="str">
        <f>IF(AND('Mapa final'!$K$41="Baja",'Mapa final'!$O$41="Catastrófico"),CONCATENATE("R",'Mapa final'!$A$41),"")</f>
        <v/>
      </c>
      <c r="BC64" s="450"/>
      <c r="BD64" s="450" t="str">
        <f>IF(AND('Mapa final'!$K$44="Baja",'Mapa final'!$O$44="Catastrófico"),CONCATENATE("R",'Mapa final'!$A$44),"")</f>
        <v/>
      </c>
      <c r="BE64" s="450"/>
      <c r="BF64" s="450" t="str">
        <f>IF(AND('Mapa final'!$K$49="Baja",'Mapa final'!$O$49="Catastrófico"),CONCATENATE("R",'Mapa final'!$A$49),"")</f>
        <v/>
      </c>
      <c r="BG64" s="451"/>
      <c r="BH64" s="38"/>
      <c r="BI64" s="510"/>
      <c r="BJ64" s="511"/>
      <c r="BK64" s="511"/>
      <c r="BL64" s="511"/>
      <c r="BM64" s="511"/>
      <c r="BN64" s="512"/>
      <c r="BO64" s="38"/>
      <c r="BP64" s="38"/>
      <c r="BQ64" s="38"/>
      <c r="BR64" s="38"/>
      <c r="BS64" s="38"/>
      <c r="BT64" s="38"/>
      <c r="BU64" s="38"/>
      <c r="BV64" s="38"/>
      <c r="BW64" s="38"/>
      <c r="BX64" s="38"/>
      <c r="BY64" s="38"/>
      <c r="BZ64" s="38"/>
      <c r="CA64" s="38"/>
      <c r="CB64" s="38"/>
      <c r="CC64" s="38"/>
      <c r="CD64" s="38"/>
      <c r="CE64" s="38"/>
      <c r="CF64" s="38"/>
      <c r="CG64" s="38"/>
      <c r="CH64" s="38"/>
      <c r="CI64" s="38"/>
      <c r="CJ64" s="38"/>
      <c r="CK64" s="38"/>
      <c r="CL64" s="38"/>
      <c r="CM64" s="38"/>
      <c r="CN64" s="38"/>
      <c r="CO64" s="38"/>
      <c r="CP64" s="38"/>
      <c r="CQ64" s="38"/>
      <c r="CR64" s="38"/>
      <c r="CS64" s="38"/>
      <c r="CT64" s="38"/>
      <c r="CU64" s="38"/>
      <c r="CV64" s="38"/>
    </row>
    <row r="65" spans="1:100" ht="15" customHeight="1" x14ac:dyDescent="0.3">
      <c r="A65" s="38"/>
      <c r="B65" s="306"/>
      <c r="C65" s="307"/>
      <c r="D65" s="308"/>
      <c r="E65" s="527"/>
      <c r="F65" s="528"/>
      <c r="G65" s="528"/>
      <c r="H65" s="528"/>
      <c r="I65" s="528"/>
      <c r="J65" s="447"/>
      <c r="K65" s="448"/>
      <c r="L65" s="448"/>
      <c r="M65" s="448"/>
      <c r="N65" s="448"/>
      <c r="O65" s="448"/>
      <c r="P65" s="448"/>
      <c r="Q65" s="448"/>
      <c r="R65" s="448"/>
      <c r="S65" s="449"/>
      <c r="T65" s="455"/>
      <c r="U65" s="453"/>
      <c r="V65" s="453"/>
      <c r="W65" s="453"/>
      <c r="X65" s="453"/>
      <c r="Y65" s="453"/>
      <c r="Z65" s="453"/>
      <c r="AA65" s="453"/>
      <c r="AB65" s="453"/>
      <c r="AC65" s="454"/>
      <c r="AD65" s="455"/>
      <c r="AE65" s="453"/>
      <c r="AF65" s="453"/>
      <c r="AG65" s="453"/>
      <c r="AH65" s="453"/>
      <c r="AI65" s="453"/>
      <c r="AJ65" s="453"/>
      <c r="AK65" s="453"/>
      <c r="AL65" s="453"/>
      <c r="AM65" s="454"/>
      <c r="AN65" s="458"/>
      <c r="AO65" s="459"/>
      <c r="AP65" s="459"/>
      <c r="AQ65" s="459"/>
      <c r="AR65" s="459"/>
      <c r="AS65" s="459"/>
      <c r="AT65" s="459"/>
      <c r="AU65" s="459"/>
      <c r="AV65" s="459"/>
      <c r="AW65" s="464"/>
      <c r="AX65" s="452"/>
      <c r="AY65" s="450"/>
      <c r="AZ65" s="450"/>
      <c r="BA65" s="450"/>
      <c r="BB65" s="450"/>
      <c r="BC65" s="450"/>
      <c r="BD65" s="450"/>
      <c r="BE65" s="450"/>
      <c r="BF65" s="450"/>
      <c r="BG65" s="451"/>
      <c r="BH65" s="38"/>
      <c r="BI65" s="510"/>
      <c r="BJ65" s="511"/>
      <c r="BK65" s="511"/>
      <c r="BL65" s="511"/>
      <c r="BM65" s="511"/>
      <c r="BN65" s="512"/>
      <c r="BO65" s="38"/>
      <c r="BP65" s="38"/>
      <c r="BQ65" s="38"/>
      <c r="BR65" s="38"/>
      <c r="BS65" s="38"/>
      <c r="BT65" s="38"/>
      <c r="BU65" s="38"/>
      <c r="BV65" s="38"/>
      <c r="BW65" s="38"/>
      <c r="BX65" s="38"/>
      <c r="BY65" s="38"/>
      <c r="BZ65" s="38"/>
      <c r="CA65" s="38"/>
      <c r="CB65" s="38"/>
      <c r="CC65" s="38"/>
      <c r="CD65" s="38"/>
      <c r="CE65" s="38"/>
      <c r="CF65" s="38"/>
      <c r="CG65" s="38"/>
      <c r="CH65" s="38"/>
      <c r="CI65" s="38"/>
      <c r="CJ65" s="38"/>
      <c r="CK65" s="38"/>
      <c r="CL65" s="38"/>
      <c r="CM65" s="38"/>
      <c r="CN65" s="38"/>
      <c r="CO65" s="38"/>
      <c r="CP65" s="38"/>
      <c r="CQ65" s="38"/>
      <c r="CR65" s="38"/>
      <c r="CS65" s="38"/>
      <c r="CT65" s="38"/>
      <c r="CU65" s="38"/>
      <c r="CV65" s="38"/>
    </row>
    <row r="66" spans="1:100" ht="15" customHeight="1" x14ac:dyDescent="0.3">
      <c r="A66" s="38"/>
      <c r="B66" s="306"/>
      <c r="C66" s="307"/>
      <c r="D66" s="308"/>
      <c r="E66" s="527"/>
      <c r="F66" s="528"/>
      <c r="G66" s="528"/>
      <c r="H66" s="528"/>
      <c r="I66" s="528"/>
      <c r="J66" s="447" t="str">
        <f>IF(AND('Mapa final'!$K$52="Baja",'Mapa final'!$O$52="Leve"),CONCATENATE("R",'Mapa final'!$A$52),"")</f>
        <v/>
      </c>
      <c r="K66" s="448"/>
      <c r="L66" s="448" t="str">
        <f>IF(AND('Mapa final'!$K$55="Baja",'Mapa final'!$O$55="Leve"),CONCATENATE("R",'Mapa final'!$A$55),"")</f>
        <v/>
      </c>
      <c r="M66" s="448"/>
      <c r="N66" s="448" t="str">
        <f>IF(AND('Mapa final'!$K$58="Baja",'Mapa final'!$O$58="Leve"),CONCATENATE("R",'Mapa final'!$A$58),"")</f>
        <v/>
      </c>
      <c r="O66" s="448"/>
      <c r="P66" s="448" t="str">
        <f>IF(AND('Mapa final'!$K$61="Baja",'Mapa final'!$O$61="Leve"),CONCATENATE("R",'Mapa final'!$A$61),"")</f>
        <v/>
      </c>
      <c r="Q66" s="448"/>
      <c r="R66" s="448" t="str">
        <f>IF(AND('Mapa final'!$K$64="Baja",'Mapa final'!$O$64="Leve"),CONCATENATE("R",'Mapa final'!$A$64),"")</f>
        <v/>
      </c>
      <c r="S66" s="449"/>
      <c r="T66" s="455" t="str">
        <f>IF(AND('Mapa final'!$K$52="Baja",'Mapa final'!$O$52="Menor"),CONCATENATE("R",'Mapa final'!$A$52),"")</f>
        <v/>
      </c>
      <c r="U66" s="453"/>
      <c r="V66" s="453" t="str">
        <f>IF(AND('Mapa final'!$K$55="Baja",'Mapa final'!$O$55="Menor"),CONCATENATE("R",'Mapa final'!$A$55),"")</f>
        <v/>
      </c>
      <c r="W66" s="453"/>
      <c r="X66" s="453" t="str">
        <f>IF(AND('Mapa final'!$K$58="Baja",'Mapa final'!$O$58="Menor"),CONCATENATE("R",'Mapa final'!$A$58),"")</f>
        <v/>
      </c>
      <c r="Y66" s="453"/>
      <c r="Z66" s="453" t="str">
        <f>IF(AND('Mapa final'!$K$61="Baja",'Mapa final'!$O$61="Menor"),CONCATENATE("R",'Mapa final'!$A$61),"")</f>
        <v/>
      </c>
      <c r="AA66" s="453"/>
      <c r="AB66" s="453" t="str">
        <f>IF(AND('Mapa final'!$K$64="Baja",'Mapa final'!$O$64="Menor"),CONCATENATE("R",'Mapa final'!$A$64),"")</f>
        <v/>
      </c>
      <c r="AC66" s="454"/>
      <c r="AD66" s="455" t="str">
        <f>IF(AND('Mapa final'!$K$52="Baja",'Mapa final'!$O$52="Moderado"),CONCATENATE("R",'Mapa final'!$A$52),"")</f>
        <v>R15</v>
      </c>
      <c r="AE66" s="453"/>
      <c r="AF66" s="453" t="str">
        <f>IF(AND('Mapa final'!$K$55="Baja",'Mapa final'!$O$55="Moderado"),CONCATENATE("R",'Mapa final'!$A$55),"")</f>
        <v/>
      </c>
      <c r="AG66" s="453"/>
      <c r="AH66" s="453" t="str">
        <f>IF(AND('Mapa final'!$K$58="Baja",'Mapa final'!$O$58="Moderado"),CONCATENATE("R",'Mapa final'!$A$58),"")</f>
        <v>R17</v>
      </c>
      <c r="AI66" s="453"/>
      <c r="AJ66" s="453" t="str">
        <f>IF(AND('Mapa final'!$K$61="Baja",'Mapa final'!$O$61="Moderado"),CONCATENATE("R",'Mapa final'!$A$61),"")</f>
        <v/>
      </c>
      <c r="AK66" s="453"/>
      <c r="AL66" s="453" t="str">
        <f>IF(AND('Mapa final'!$K$64="Baja",'Mapa final'!$O$64="Moderado"),CONCATENATE("R",'Mapa final'!$A$64),"")</f>
        <v/>
      </c>
      <c r="AM66" s="454"/>
      <c r="AN66" s="458" t="str">
        <f>IF(AND('Mapa final'!$K$52="Baja",'Mapa final'!$O$52="Mayor"),CONCATENATE("R",'Mapa final'!$A$52),"")</f>
        <v/>
      </c>
      <c r="AO66" s="459"/>
      <c r="AP66" s="459" t="str">
        <f>IF(AND('Mapa final'!$K$55="Baja",'Mapa final'!$O$55="Mayor"),CONCATENATE("R",'Mapa final'!$A$55),"")</f>
        <v/>
      </c>
      <c r="AQ66" s="459"/>
      <c r="AR66" s="459" t="str">
        <f>IF(AND('Mapa final'!$K$58="Baja",'Mapa final'!$O$58="Mayor"),CONCATENATE("R",'Mapa final'!$A$58),"")</f>
        <v/>
      </c>
      <c r="AS66" s="459"/>
      <c r="AT66" s="459" t="str">
        <f>IF(AND('Mapa final'!$K$61="Baja",'Mapa final'!$O$61="Mayor"),CONCATENATE("R",'Mapa final'!$A$61),"")</f>
        <v/>
      </c>
      <c r="AU66" s="459"/>
      <c r="AV66" s="459" t="str">
        <f>IF(AND('Mapa final'!$K$64="Baja",'Mapa final'!$O$64="Mayor"),CONCATENATE("R",'Mapa final'!$A$64),"")</f>
        <v/>
      </c>
      <c r="AW66" s="464"/>
      <c r="AX66" s="452" t="str">
        <f>IF(AND('Mapa final'!$K$52="Baja",'Mapa final'!$O$52="Catastrófico"),CONCATENATE("R",'Mapa final'!$A$52),"")</f>
        <v/>
      </c>
      <c r="AY66" s="450"/>
      <c r="AZ66" s="450" t="str">
        <f>IF(AND('Mapa final'!$K$55="Baja",'Mapa final'!$O$55="Catastrófico"),CONCATENATE("R",'Mapa final'!$A$55),"")</f>
        <v/>
      </c>
      <c r="BA66" s="450"/>
      <c r="BB66" s="450" t="str">
        <f>IF(AND('Mapa final'!$K$58="Baja",'Mapa final'!$O$58="Catastrófico"),CONCATENATE("R",'Mapa final'!$A$58),"")</f>
        <v/>
      </c>
      <c r="BC66" s="450"/>
      <c r="BD66" s="450" t="str">
        <f>IF(AND('Mapa final'!$K$61="Baja",'Mapa final'!$O$61="Catastrófico"),CONCATENATE("R",'Mapa final'!$A$61),"")</f>
        <v/>
      </c>
      <c r="BE66" s="450"/>
      <c r="BF66" s="450" t="str">
        <f>IF(AND('Mapa final'!$K$64="Baja",'Mapa final'!$O$64="Catastrófico"),CONCATENATE("R",'Mapa final'!$A$64),"")</f>
        <v/>
      </c>
      <c r="BG66" s="451"/>
      <c r="BH66" s="38"/>
      <c r="BI66" s="510"/>
      <c r="BJ66" s="511"/>
      <c r="BK66" s="511"/>
      <c r="BL66" s="511"/>
      <c r="BM66" s="511"/>
      <c r="BN66" s="512"/>
      <c r="BO66" s="38"/>
      <c r="BP66" s="38"/>
      <c r="BQ66" s="38"/>
      <c r="BR66" s="38"/>
      <c r="BS66" s="38"/>
      <c r="BT66" s="38"/>
      <c r="BU66" s="38"/>
      <c r="BV66" s="38"/>
      <c r="BW66" s="38"/>
      <c r="BX66" s="38"/>
      <c r="BY66" s="38"/>
      <c r="BZ66" s="38"/>
      <c r="CA66" s="38"/>
      <c r="CB66" s="38"/>
      <c r="CC66" s="38"/>
      <c r="CD66" s="38"/>
      <c r="CE66" s="38"/>
      <c r="CF66" s="38"/>
      <c r="CG66" s="38"/>
      <c r="CH66" s="38"/>
      <c r="CI66" s="38"/>
      <c r="CJ66" s="38"/>
      <c r="CK66" s="38"/>
      <c r="CL66" s="38"/>
      <c r="CM66" s="38"/>
      <c r="CN66" s="38"/>
      <c r="CO66" s="38"/>
      <c r="CP66" s="38"/>
      <c r="CQ66" s="38"/>
      <c r="CR66" s="38"/>
      <c r="CS66" s="38"/>
      <c r="CT66" s="38"/>
      <c r="CU66" s="38"/>
      <c r="CV66" s="38"/>
    </row>
    <row r="67" spans="1:100" ht="15" customHeight="1" thickBot="1" x14ac:dyDescent="0.35">
      <c r="A67" s="38"/>
      <c r="B67" s="306"/>
      <c r="C67" s="307"/>
      <c r="D67" s="308"/>
      <c r="E67" s="527"/>
      <c r="F67" s="528"/>
      <c r="G67" s="528"/>
      <c r="H67" s="528"/>
      <c r="I67" s="528"/>
      <c r="J67" s="447"/>
      <c r="K67" s="448"/>
      <c r="L67" s="448"/>
      <c r="M67" s="448"/>
      <c r="N67" s="448"/>
      <c r="O67" s="448"/>
      <c r="P67" s="448"/>
      <c r="Q67" s="448"/>
      <c r="R67" s="448"/>
      <c r="S67" s="449"/>
      <c r="T67" s="455"/>
      <c r="U67" s="453"/>
      <c r="V67" s="453"/>
      <c r="W67" s="453"/>
      <c r="X67" s="453"/>
      <c r="Y67" s="453"/>
      <c r="Z67" s="453"/>
      <c r="AA67" s="453"/>
      <c r="AB67" s="453"/>
      <c r="AC67" s="454"/>
      <c r="AD67" s="455"/>
      <c r="AE67" s="453"/>
      <c r="AF67" s="453"/>
      <c r="AG67" s="453"/>
      <c r="AH67" s="453"/>
      <c r="AI67" s="453"/>
      <c r="AJ67" s="453"/>
      <c r="AK67" s="453"/>
      <c r="AL67" s="453"/>
      <c r="AM67" s="454"/>
      <c r="AN67" s="458"/>
      <c r="AO67" s="459"/>
      <c r="AP67" s="459"/>
      <c r="AQ67" s="459"/>
      <c r="AR67" s="459"/>
      <c r="AS67" s="459"/>
      <c r="AT67" s="459"/>
      <c r="AU67" s="459"/>
      <c r="AV67" s="459"/>
      <c r="AW67" s="464"/>
      <c r="AX67" s="452"/>
      <c r="AY67" s="450"/>
      <c r="AZ67" s="450"/>
      <c r="BA67" s="450"/>
      <c r="BB67" s="450"/>
      <c r="BC67" s="450"/>
      <c r="BD67" s="450"/>
      <c r="BE67" s="450"/>
      <c r="BF67" s="450"/>
      <c r="BG67" s="451"/>
      <c r="BH67" s="38"/>
      <c r="BI67" s="513"/>
      <c r="BJ67" s="514"/>
      <c r="BK67" s="514"/>
      <c r="BL67" s="514"/>
      <c r="BM67" s="514"/>
      <c r="BN67" s="515"/>
      <c r="BO67" s="38"/>
      <c r="BP67" s="38"/>
      <c r="BQ67" s="38"/>
      <c r="BR67" s="38"/>
      <c r="BS67" s="38"/>
      <c r="BT67" s="38"/>
      <c r="BU67" s="38"/>
      <c r="BV67" s="38"/>
      <c r="BW67" s="38"/>
      <c r="BX67" s="38"/>
      <c r="BY67" s="38"/>
      <c r="BZ67" s="38"/>
      <c r="CA67" s="38"/>
      <c r="CB67" s="38"/>
      <c r="CC67" s="38"/>
      <c r="CD67" s="38"/>
      <c r="CE67" s="38"/>
      <c r="CF67" s="38"/>
      <c r="CG67" s="38"/>
      <c r="CH67" s="38"/>
      <c r="CI67" s="38"/>
      <c r="CJ67" s="38"/>
      <c r="CK67" s="38"/>
      <c r="CL67" s="38"/>
      <c r="CM67" s="38"/>
      <c r="CN67" s="38"/>
      <c r="CO67" s="38"/>
      <c r="CP67" s="38"/>
      <c r="CQ67" s="38"/>
      <c r="CR67" s="38"/>
      <c r="CS67" s="38"/>
      <c r="CT67" s="38"/>
      <c r="CU67" s="38"/>
      <c r="CV67" s="38"/>
    </row>
    <row r="68" spans="1:100" ht="15" customHeight="1" x14ac:dyDescent="0.3">
      <c r="A68" s="38"/>
      <c r="B68" s="306"/>
      <c r="C68" s="307"/>
      <c r="D68" s="308"/>
      <c r="E68" s="527"/>
      <c r="F68" s="528"/>
      <c r="G68" s="528"/>
      <c r="H68" s="528"/>
      <c r="I68" s="528"/>
      <c r="J68" s="447" t="str">
        <f>IF(AND('Mapa final'!$K$67="Baja",'Mapa final'!$O$67="Leve"),CONCATENATE("R",'Mapa final'!$A$67),"")</f>
        <v/>
      </c>
      <c r="K68" s="448"/>
      <c r="L68" s="448" t="str">
        <f>IF(AND('Mapa final'!$K$70="Baja",'Mapa final'!$O$70="Leve"),CONCATENATE("R",'Mapa final'!$A$70),"")</f>
        <v/>
      </c>
      <c r="M68" s="448"/>
      <c r="N68" s="448" t="str">
        <f>IF(AND('Mapa final'!$K$73="Baja",'Mapa final'!$O$73="Leve"),CONCATENATE("R",'Mapa final'!$A$73),"")</f>
        <v/>
      </c>
      <c r="O68" s="448"/>
      <c r="P68" s="448" t="str">
        <f>IF(AND('Mapa final'!$K$76="Baja",'Mapa final'!$O$76="Leve"),CONCATENATE("R",'Mapa final'!$A$76),"")</f>
        <v/>
      </c>
      <c r="Q68" s="448"/>
      <c r="R68" s="448" t="str">
        <f>IF(AND('Mapa final'!$K$79="Baja",'Mapa final'!$O$79="Leve"),CONCATENATE("R",'Mapa final'!$A$79),"")</f>
        <v/>
      </c>
      <c r="S68" s="449"/>
      <c r="T68" s="455" t="str">
        <f>IF(AND('Mapa final'!$K$67="Baja",'Mapa final'!$O$67="Menor"),CONCATENATE("R",'Mapa final'!$A$67),"")</f>
        <v/>
      </c>
      <c r="U68" s="453"/>
      <c r="V68" s="453" t="str">
        <f>IF(AND('Mapa final'!$K$70="Baja",'Mapa final'!$O$70="Menor"),CONCATENATE("R",'Mapa final'!$A$70),"")</f>
        <v/>
      </c>
      <c r="W68" s="453"/>
      <c r="X68" s="453" t="str">
        <f>IF(AND('Mapa final'!$K$73="Baja",'Mapa final'!$O$73="Menor"),CONCATENATE("R",'Mapa final'!$A$73),"")</f>
        <v/>
      </c>
      <c r="Y68" s="453"/>
      <c r="Z68" s="453" t="str">
        <f>IF(AND('Mapa final'!$K$76="Baja",'Mapa final'!$O$76="Menor"),CONCATENATE("R",'Mapa final'!$A$76),"")</f>
        <v/>
      </c>
      <c r="AA68" s="453"/>
      <c r="AB68" s="453" t="str">
        <f>IF(AND('Mapa final'!$K$79="Baja",'Mapa final'!$O$79="Menor"),CONCATENATE("R",'Mapa final'!$A$79),"")</f>
        <v/>
      </c>
      <c r="AC68" s="454"/>
      <c r="AD68" s="455" t="str">
        <f>IF(AND('Mapa final'!$K$67="Baja",'Mapa final'!$O$67="Moderado"),CONCATENATE("R",'Mapa final'!$A$67),"")</f>
        <v/>
      </c>
      <c r="AE68" s="453"/>
      <c r="AF68" s="453" t="str">
        <f>IF(AND('Mapa final'!$K$70="Baja",'Mapa final'!$O$70="Moderado"),CONCATENATE("R",'Mapa final'!$A$70),"")</f>
        <v/>
      </c>
      <c r="AG68" s="453"/>
      <c r="AH68" s="453" t="str">
        <f>IF(AND('Mapa final'!$K$73="Baja",'Mapa final'!$O$73="Moderado"),CONCATENATE("R",'Mapa final'!$A$73),"")</f>
        <v/>
      </c>
      <c r="AI68" s="453"/>
      <c r="AJ68" s="453" t="str">
        <f>IF(AND('Mapa final'!$K$76="Baja",'Mapa final'!$O$76="Moderado"),CONCATENATE("R",'Mapa final'!$A$76),"")</f>
        <v/>
      </c>
      <c r="AK68" s="453"/>
      <c r="AL68" s="453" t="str">
        <f>IF(AND('Mapa final'!$K$79="Baja",'Mapa final'!$O$79="Moderado"),CONCATENATE("R",'Mapa final'!$A$79),"")</f>
        <v/>
      </c>
      <c r="AM68" s="454"/>
      <c r="AN68" s="458" t="str">
        <f>IF(AND('Mapa final'!$K$67="Baja",'Mapa final'!$O$67="Mayor"),CONCATENATE("R",'Mapa final'!$A$67),"")</f>
        <v/>
      </c>
      <c r="AO68" s="459"/>
      <c r="AP68" s="459" t="str">
        <f>IF(AND('Mapa final'!$K$70="Baja",'Mapa final'!$O$70="Mayor"),CONCATENATE("R",'Mapa final'!$A$70),"")</f>
        <v/>
      </c>
      <c r="AQ68" s="459"/>
      <c r="AR68" s="459" t="str">
        <f>IF(AND('Mapa final'!$K$73="Baja",'Mapa final'!$O$73="Mayor"),CONCATENATE("R",'Mapa final'!$A$73),"")</f>
        <v/>
      </c>
      <c r="AS68" s="459"/>
      <c r="AT68" s="459" t="str">
        <f>IF(AND('Mapa final'!$K$76="Baja",'Mapa final'!$O$76="Mayor"),CONCATENATE("R",'Mapa final'!$A$76),"")</f>
        <v/>
      </c>
      <c r="AU68" s="459"/>
      <c r="AV68" s="459" t="str">
        <f>IF(AND('Mapa final'!$K$79="Baja",'Mapa final'!$O$79="Mayor"),CONCATENATE("R",'Mapa final'!$A$79),"")</f>
        <v/>
      </c>
      <c r="AW68" s="464"/>
      <c r="AX68" s="452" t="str">
        <f>IF(AND('Mapa final'!$K$67="Baja",'Mapa final'!$O$67="Catastrófico"),CONCATENATE("R",'Mapa final'!$A$67),"")</f>
        <v/>
      </c>
      <c r="AY68" s="450"/>
      <c r="AZ68" s="450" t="str">
        <f>IF(AND('Mapa final'!$K$70="Baja",'Mapa final'!$O$70="Catastrófico"),CONCATENATE("R",'Mapa final'!$A$70),"")</f>
        <v/>
      </c>
      <c r="BA68" s="450"/>
      <c r="BB68" s="450" t="str">
        <f>IF(AND('Mapa final'!$K$73="Baja",'Mapa final'!$O$73="Catastrófico"),CONCATENATE("R",'Mapa final'!$A$73),"")</f>
        <v/>
      </c>
      <c r="BC68" s="450"/>
      <c r="BD68" s="450" t="str">
        <f>IF(AND('Mapa final'!$K$76="Baja",'Mapa final'!$O$76="Catastrófico"),CONCATENATE("R",'Mapa final'!$A$76),"")</f>
        <v/>
      </c>
      <c r="BE68" s="450"/>
      <c r="BF68" s="450" t="str">
        <f>IF(AND('Mapa final'!$K$79="Baja",'Mapa final'!$O$79="Catastrófico"),CONCATENATE("R",'Mapa final'!$A$79),"")</f>
        <v/>
      </c>
      <c r="BG68" s="451"/>
      <c r="BH68" s="38"/>
      <c r="BI68" s="516" t="s">
        <v>76</v>
      </c>
      <c r="BJ68" s="517"/>
      <c r="BK68" s="517"/>
      <c r="BL68" s="517"/>
      <c r="BM68" s="517"/>
      <c r="BN68" s="518"/>
      <c r="BO68" s="38"/>
      <c r="BP68" s="38"/>
      <c r="BQ68" s="38"/>
      <c r="BR68" s="38"/>
      <c r="BS68" s="38"/>
      <c r="BT68" s="38"/>
      <c r="BU68" s="38"/>
      <c r="BV68" s="38"/>
      <c r="BW68" s="38"/>
      <c r="BX68" s="38"/>
      <c r="BY68" s="38"/>
      <c r="BZ68" s="38"/>
      <c r="CA68" s="38"/>
      <c r="CB68" s="38"/>
      <c r="CC68" s="38"/>
      <c r="CD68" s="38"/>
      <c r="CE68" s="38"/>
      <c r="CF68" s="38"/>
      <c r="CG68" s="38"/>
      <c r="CH68" s="38"/>
      <c r="CI68" s="38"/>
      <c r="CJ68" s="38"/>
      <c r="CK68" s="38"/>
      <c r="CL68" s="38"/>
      <c r="CM68" s="38"/>
      <c r="CN68" s="38"/>
      <c r="CO68" s="38"/>
      <c r="CP68" s="38"/>
      <c r="CQ68" s="38"/>
      <c r="CR68" s="38"/>
      <c r="CS68" s="38"/>
      <c r="CT68" s="38"/>
      <c r="CU68" s="38"/>
      <c r="CV68" s="38"/>
    </row>
    <row r="69" spans="1:100" ht="15" customHeight="1" x14ac:dyDescent="0.3">
      <c r="A69" s="38"/>
      <c r="B69" s="306"/>
      <c r="C69" s="307"/>
      <c r="D69" s="308"/>
      <c r="E69" s="527"/>
      <c r="F69" s="528"/>
      <c r="G69" s="528"/>
      <c r="H69" s="528"/>
      <c r="I69" s="528"/>
      <c r="J69" s="447"/>
      <c r="K69" s="448"/>
      <c r="L69" s="448"/>
      <c r="M69" s="448"/>
      <c r="N69" s="448"/>
      <c r="O69" s="448"/>
      <c r="P69" s="448"/>
      <c r="Q69" s="448"/>
      <c r="R69" s="448"/>
      <c r="S69" s="449"/>
      <c r="T69" s="455"/>
      <c r="U69" s="453"/>
      <c r="V69" s="453"/>
      <c r="W69" s="453"/>
      <c r="X69" s="453"/>
      <c r="Y69" s="453"/>
      <c r="Z69" s="453"/>
      <c r="AA69" s="453"/>
      <c r="AB69" s="453"/>
      <c r="AC69" s="454"/>
      <c r="AD69" s="455"/>
      <c r="AE69" s="453"/>
      <c r="AF69" s="453"/>
      <c r="AG69" s="453"/>
      <c r="AH69" s="453"/>
      <c r="AI69" s="453"/>
      <c r="AJ69" s="453"/>
      <c r="AK69" s="453"/>
      <c r="AL69" s="453"/>
      <c r="AM69" s="454"/>
      <c r="AN69" s="458"/>
      <c r="AO69" s="459"/>
      <c r="AP69" s="459"/>
      <c r="AQ69" s="459"/>
      <c r="AR69" s="459"/>
      <c r="AS69" s="459"/>
      <c r="AT69" s="459"/>
      <c r="AU69" s="459"/>
      <c r="AV69" s="459"/>
      <c r="AW69" s="464"/>
      <c r="AX69" s="452"/>
      <c r="AY69" s="450"/>
      <c r="AZ69" s="450"/>
      <c r="BA69" s="450"/>
      <c r="BB69" s="450"/>
      <c r="BC69" s="450"/>
      <c r="BD69" s="450"/>
      <c r="BE69" s="450"/>
      <c r="BF69" s="450"/>
      <c r="BG69" s="451"/>
      <c r="BH69" s="38"/>
      <c r="BI69" s="519"/>
      <c r="BJ69" s="520"/>
      <c r="BK69" s="520"/>
      <c r="BL69" s="520"/>
      <c r="BM69" s="520"/>
      <c r="BN69" s="521"/>
      <c r="BO69" s="38"/>
      <c r="BP69" s="38"/>
      <c r="BQ69" s="38"/>
      <c r="BR69" s="38"/>
      <c r="BS69" s="38"/>
      <c r="BT69" s="38"/>
      <c r="BU69" s="38"/>
      <c r="BV69" s="38"/>
      <c r="BW69" s="38"/>
      <c r="BX69" s="38"/>
      <c r="BY69" s="38"/>
      <c r="BZ69" s="38"/>
      <c r="CA69" s="38"/>
      <c r="CB69" s="38"/>
      <c r="CC69" s="38"/>
      <c r="CD69" s="38"/>
      <c r="CE69" s="38"/>
      <c r="CF69" s="38"/>
      <c r="CG69" s="38"/>
      <c r="CH69" s="38"/>
      <c r="CI69" s="38"/>
      <c r="CJ69" s="38"/>
      <c r="CK69" s="38"/>
      <c r="CL69" s="38"/>
      <c r="CM69" s="38"/>
      <c r="CN69" s="38"/>
      <c r="CO69" s="38"/>
      <c r="CP69" s="38"/>
      <c r="CQ69" s="38"/>
      <c r="CR69" s="38"/>
      <c r="CS69" s="38"/>
      <c r="CT69" s="38"/>
      <c r="CU69" s="38"/>
      <c r="CV69" s="38"/>
    </row>
    <row r="70" spans="1:100" ht="15" customHeight="1" x14ac:dyDescent="0.3">
      <c r="A70" s="38"/>
      <c r="B70" s="306"/>
      <c r="C70" s="307"/>
      <c r="D70" s="308"/>
      <c r="E70" s="527"/>
      <c r="F70" s="528"/>
      <c r="G70" s="528"/>
      <c r="H70" s="528"/>
      <c r="I70" s="528"/>
      <c r="J70" s="447" t="str">
        <f>IF(AND('Mapa final'!$K$82="Baja",'Mapa final'!$O$82="Leve"),CONCATENATE("R",'Mapa final'!$A$82),"")</f>
        <v/>
      </c>
      <c r="K70" s="448"/>
      <c r="L70" s="448" t="str">
        <f>IF(AND('Mapa final'!$K$85="Baja",'Mapa final'!$O$85="Leve"),CONCATENATE("R",'Mapa final'!$A$85),"")</f>
        <v/>
      </c>
      <c r="M70" s="448"/>
      <c r="N70" s="448" t="str">
        <f>IF(AND('Mapa final'!$K$88="Baja",'Mapa final'!$O$88="Leve"),CONCATENATE("R",'Mapa final'!$A$88),"")</f>
        <v>R27</v>
      </c>
      <c r="O70" s="448"/>
      <c r="P70" s="448" t="str">
        <f>IF(AND('Mapa final'!$K$91="Baja",'Mapa final'!$O$91="Leve"),CONCATENATE("R",'Mapa final'!$A$91),"")</f>
        <v/>
      </c>
      <c r="Q70" s="448"/>
      <c r="R70" s="448" t="str">
        <f>IF(AND('Mapa final'!$K$94="Baja",'Mapa final'!$O$94="Leve"),CONCATENATE("R",'Mapa final'!$A$94),"")</f>
        <v/>
      </c>
      <c r="S70" s="449"/>
      <c r="T70" s="455" t="str">
        <f>IF(AND('Mapa final'!$K$82="Baja",'Mapa final'!$O$82="Menor"),CONCATENATE("R",'Mapa final'!$A$82),"")</f>
        <v/>
      </c>
      <c r="U70" s="453"/>
      <c r="V70" s="453" t="str">
        <f>IF(AND('Mapa final'!$K$85="Baja",'Mapa final'!$O$85="Menor"),CONCATENATE("R",'Mapa final'!$A$85),"")</f>
        <v/>
      </c>
      <c r="W70" s="453"/>
      <c r="X70" s="453" t="str">
        <f>IF(AND('Mapa final'!$K$88="Baja",'Mapa final'!$O$88="Menor"),CONCATENATE("R",'Mapa final'!$A$88),"")</f>
        <v/>
      </c>
      <c r="Y70" s="453"/>
      <c r="Z70" s="453" t="str">
        <f>IF(AND('Mapa final'!$K$91="Baja",'Mapa final'!$O$91="Menor"),CONCATENATE("R",'Mapa final'!$A$91),"")</f>
        <v>R28</v>
      </c>
      <c r="AA70" s="453"/>
      <c r="AB70" s="453" t="str">
        <f>IF(AND('Mapa final'!$K$94="Baja",'Mapa final'!$O$94="Menor"),CONCATENATE("R",'Mapa final'!$A$94),"")</f>
        <v/>
      </c>
      <c r="AC70" s="454"/>
      <c r="AD70" s="455" t="str">
        <f>IF(AND('Mapa final'!$K$82="Baja",'Mapa final'!$O$82="Moderado"),CONCATENATE("R",'Mapa final'!$A$82),"")</f>
        <v/>
      </c>
      <c r="AE70" s="453"/>
      <c r="AF70" s="453" t="str">
        <f>IF(AND('Mapa final'!$K$85="Baja",'Mapa final'!$O$85="Moderado"),CONCATENATE("R",'Mapa final'!$A$85),"")</f>
        <v/>
      </c>
      <c r="AG70" s="453"/>
      <c r="AH70" s="453" t="str">
        <f>IF(AND('Mapa final'!$K$88="Baja",'Mapa final'!$O$88="Moderado"),CONCATENATE("R",'Mapa final'!$A$88),"")</f>
        <v/>
      </c>
      <c r="AI70" s="453"/>
      <c r="AJ70" s="453" t="str">
        <f>IF(AND('Mapa final'!$K$91="Baja",'Mapa final'!$O$91="Moderado"),CONCATENATE("R",'Mapa final'!$A$91),"")</f>
        <v/>
      </c>
      <c r="AK70" s="453"/>
      <c r="AL70" s="453" t="str">
        <f>IF(AND('Mapa final'!$K$94="Baja",'Mapa final'!$O$94="Moderado"),CONCATENATE("R",'Mapa final'!$A$94),"")</f>
        <v>R29</v>
      </c>
      <c r="AM70" s="454"/>
      <c r="AN70" s="458" t="str">
        <f>IF(AND('Mapa final'!$K$82="Baja",'Mapa final'!$O$82="Mayor"),CONCATENATE("R",'Mapa final'!$A$82),"")</f>
        <v/>
      </c>
      <c r="AO70" s="459"/>
      <c r="AP70" s="459" t="str">
        <f>IF(AND('Mapa final'!$K$85="Baja",'Mapa final'!$O$85="Mayor"),CONCATENATE("R",'Mapa final'!$A$85),"")</f>
        <v/>
      </c>
      <c r="AQ70" s="459"/>
      <c r="AR70" s="459" t="str">
        <f>IF(AND('Mapa final'!$K$88="Baja",'Mapa final'!$O$88="Mayor"),CONCATENATE("R",'Mapa final'!$A$88),"")</f>
        <v/>
      </c>
      <c r="AS70" s="459"/>
      <c r="AT70" s="459" t="str">
        <f>IF(AND('Mapa final'!$K$91="Baja",'Mapa final'!$O$91="Mayor"),CONCATENATE("R",'Mapa final'!$A$91),"")</f>
        <v/>
      </c>
      <c r="AU70" s="459"/>
      <c r="AV70" s="459" t="str">
        <f>IF(AND('Mapa final'!$K$94="Baja",'Mapa final'!$O$94="Mayor"),CONCATENATE("R",'Mapa final'!$A$94),"")</f>
        <v/>
      </c>
      <c r="AW70" s="464"/>
      <c r="AX70" s="452" t="str">
        <f>IF(AND('Mapa final'!$K$82="Baja",'Mapa final'!$O$82="Catastrófico"),CONCATENATE("R",'Mapa final'!$A$82),"")</f>
        <v/>
      </c>
      <c r="AY70" s="450"/>
      <c r="AZ70" s="450" t="str">
        <f>IF(AND('Mapa final'!$K$85="Baja",'Mapa final'!$O$85="Catastrófico"),CONCATENATE("R",'Mapa final'!$A$85),"")</f>
        <v/>
      </c>
      <c r="BA70" s="450"/>
      <c r="BB70" s="450" t="str">
        <f>IF(AND('Mapa final'!$K$88="Baja",'Mapa final'!$O$88="Catastrófico"),CONCATENATE("R",'Mapa final'!$A$88),"")</f>
        <v/>
      </c>
      <c r="BC70" s="450"/>
      <c r="BD70" s="450" t="str">
        <f>IF(AND('Mapa final'!$K$91="Baja",'Mapa final'!$O$91="Catastrófico"),CONCATENATE("R",'Mapa final'!$A$91),"")</f>
        <v/>
      </c>
      <c r="BE70" s="450"/>
      <c r="BF70" s="450" t="str">
        <f>IF(AND('Mapa final'!$K$94="Baja",'Mapa final'!$O$94="Catastrófico"),CONCATENATE("R",'Mapa final'!$A$94),"")</f>
        <v/>
      </c>
      <c r="BG70" s="451"/>
      <c r="BH70" s="38"/>
      <c r="BI70" s="519"/>
      <c r="BJ70" s="520"/>
      <c r="BK70" s="520"/>
      <c r="BL70" s="520"/>
      <c r="BM70" s="520"/>
      <c r="BN70" s="521"/>
      <c r="BO70" s="38"/>
      <c r="BP70" s="38"/>
      <c r="BQ70" s="38"/>
      <c r="BR70" s="38"/>
      <c r="BS70" s="38"/>
      <c r="BT70" s="38"/>
      <c r="BU70" s="38"/>
      <c r="BV70" s="38"/>
      <c r="BW70" s="38"/>
      <c r="BX70" s="38"/>
      <c r="BY70" s="38"/>
      <c r="BZ70" s="38"/>
      <c r="CA70" s="38"/>
      <c r="CB70" s="38"/>
      <c r="CC70" s="38"/>
      <c r="CD70" s="38"/>
      <c r="CE70" s="38"/>
      <c r="CF70" s="38"/>
      <c r="CG70" s="38"/>
      <c r="CH70" s="38"/>
      <c r="CI70" s="38"/>
      <c r="CJ70" s="38"/>
      <c r="CK70" s="38"/>
      <c r="CL70" s="38"/>
      <c r="CM70" s="38"/>
      <c r="CN70" s="38"/>
      <c r="CO70" s="38"/>
      <c r="CP70" s="38"/>
      <c r="CQ70" s="38"/>
      <c r="CR70" s="38"/>
      <c r="CS70" s="38"/>
      <c r="CT70" s="38"/>
      <c r="CU70" s="38"/>
      <c r="CV70" s="38"/>
    </row>
    <row r="71" spans="1:100" ht="15" customHeight="1" x14ac:dyDescent="0.3">
      <c r="A71" s="38"/>
      <c r="B71" s="306"/>
      <c r="C71" s="307"/>
      <c r="D71" s="308"/>
      <c r="E71" s="527"/>
      <c r="F71" s="528"/>
      <c r="G71" s="528"/>
      <c r="H71" s="528"/>
      <c r="I71" s="528"/>
      <c r="J71" s="447"/>
      <c r="K71" s="448"/>
      <c r="L71" s="448"/>
      <c r="M71" s="448"/>
      <c r="N71" s="448"/>
      <c r="O71" s="448"/>
      <c r="P71" s="448"/>
      <c r="Q71" s="448"/>
      <c r="R71" s="448"/>
      <c r="S71" s="449"/>
      <c r="T71" s="455"/>
      <c r="U71" s="453"/>
      <c r="V71" s="453"/>
      <c r="W71" s="453"/>
      <c r="X71" s="453"/>
      <c r="Y71" s="453"/>
      <c r="Z71" s="453"/>
      <c r="AA71" s="453"/>
      <c r="AB71" s="453"/>
      <c r="AC71" s="454"/>
      <c r="AD71" s="455"/>
      <c r="AE71" s="453"/>
      <c r="AF71" s="453"/>
      <c r="AG71" s="453"/>
      <c r="AH71" s="453"/>
      <c r="AI71" s="453"/>
      <c r="AJ71" s="453"/>
      <c r="AK71" s="453"/>
      <c r="AL71" s="453"/>
      <c r="AM71" s="454"/>
      <c r="AN71" s="458"/>
      <c r="AO71" s="459"/>
      <c r="AP71" s="459"/>
      <c r="AQ71" s="459"/>
      <c r="AR71" s="459"/>
      <c r="AS71" s="459"/>
      <c r="AT71" s="459"/>
      <c r="AU71" s="459"/>
      <c r="AV71" s="459"/>
      <c r="AW71" s="464"/>
      <c r="AX71" s="452"/>
      <c r="AY71" s="450"/>
      <c r="AZ71" s="450"/>
      <c r="BA71" s="450"/>
      <c r="BB71" s="450"/>
      <c r="BC71" s="450"/>
      <c r="BD71" s="450"/>
      <c r="BE71" s="450"/>
      <c r="BF71" s="450"/>
      <c r="BG71" s="451"/>
      <c r="BH71" s="38"/>
      <c r="BI71" s="519"/>
      <c r="BJ71" s="520"/>
      <c r="BK71" s="520"/>
      <c r="BL71" s="520"/>
      <c r="BM71" s="520"/>
      <c r="BN71" s="521"/>
      <c r="BO71" s="38"/>
      <c r="BP71" s="38"/>
      <c r="BQ71" s="38"/>
      <c r="BR71" s="38"/>
      <c r="BS71" s="38"/>
      <c r="BT71" s="38"/>
      <c r="BU71" s="38"/>
      <c r="BV71" s="38"/>
      <c r="BW71" s="38"/>
      <c r="BX71" s="38"/>
      <c r="BY71" s="38"/>
      <c r="BZ71" s="38"/>
      <c r="CA71" s="38"/>
      <c r="CB71" s="38"/>
      <c r="CC71" s="38"/>
      <c r="CD71" s="38"/>
      <c r="CE71" s="38"/>
      <c r="CF71" s="38"/>
      <c r="CG71" s="38"/>
      <c r="CH71" s="38"/>
      <c r="CI71" s="38"/>
      <c r="CJ71" s="38"/>
      <c r="CK71" s="38"/>
      <c r="CL71" s="38"/>
      <c r="CM71" s="38"/>
      <c r="CN71" s="38"/>
      <c r="CO71" s="38"/>
      <c r="CP71" s="38"/>
      <c r="CQ71" s="38"/>
      <c r="CR71" s="38"/>
      <c r="CS71" s="38"/>
      <c r="CT71" s="38"/>
      <c r="CU71" s="38"/>
      <c r="CV71" s="38"/>
    </row>
    <row r="72" spans="1:100" ht="15" customHeight="1" x14ac:dyDescent="0.3">
      <c r="A72" s="38"/>
      <c r="B72" s="306"/>
      <c r="C72" s="307"/>
      <c r="D72" s="308"/>
      <c r="E72" s="527"/>
      <c r="F72" s="528"/>
      <c r="G72" s="528"/>
      <c r="H72" s="528"/>
      <c r="I72" s="528"/>
      <c r="J72" s="447" t="str">
        <f>IF(AND('Mapa final'!$K$97="Baja",'Mapa final'!$O$97="Leve"),CONCATENATE("R",'Mapa final'!$A$97),"")</f>
        <v/>
      </c>
      <c r="K72" s="448"/>
      <c r="L72" s="448" t="str">
        <f>IF(AND('Mapa final'!$K$100="Baja",'Mapa final'!$O$100="Leve"),CONCATENATE("R",'Mapa final'!$A$100),"")</f>
        <v/>
      </c>
      <c r="M72" s="448"/>
      <c r="N72" s="448" t="str">
        <f>IF(AND('Mapa final'!$K$103="Baja",'Mapa final'!$O$103="Leve"),CONCATENATE("R",'Mapa final'!$A$103),"")</f>
        <v/>
      </c>
      <c r="O72" s="448"/>
      <c r="P72" s="448" t="str">
        <f>IF(AND('Mapa final'!$K$106="Baja",'Mapa final'!$O$106="Leve"),CONCATENATE("R",'Mapa final'!$A$106),"")</f>
        <v/>
      </c>
      <c r="Q72" s="448"/>
      <c r="R72" s="448" t="str">
        <f>IF(AND('Mapa final'!$K$109="Baja",'Mapa final'!$O$109="Leve"),CONCATENATE("R",'Mapa final'!$A$109),"")</f>
        <v/>
      </c>
      <c r="S72" s="448"/>
      <c r="T72" s="455" t="str">
        <f>IF(AND('Mapa final'!$K$97="Baja",'Mapa final'!$O$97="Menor"),CONCATENATE("R",'Mapa final'!$A$97),"")</f>
        <v/>
      </c>
      <c r="U72" s="453"/>
      <c r="V72" s="453" t="str">
        <f>IF(AND('Mapa final'!$K$100="Baja",'Mapa final'!$O$100="Menor"),CONCATENATE("R",'Mapa final'!$A$100),"")</f>
        <v/>
      </c>
      <c r="W72" s="453"/>
      <c r="X72" s="453" t="str">
        <f>IF(AND('Mapa final'!$K$103="Baja",'Mapa final'!$O$103="Menor"),CONCATENATE("R",'Mapa final'!$A$103),"")</f>
        <v/>
      </c>
      <c r="Y72" s="453"/>
      <c r="Z72" s="453" t="str">
        <f>IF(AND('Mapa final'!$K$106="Baja",'Mapa final'!$O$106="Menor"),CONCATENATE("R",'Mapa final'!$A$106),"")</f>
        <v/>
      </c>
      <c r="AA72" s="453"/>
      <c r="AB72" s="453" t="str">
        <f>IF(AND('Mapa final'!$K$109="Baja",'Mapa final'!$O$109="Menor"),CONCATENATE("R",'Mapa final'!$A$109),"")</f>
        <v/>
      </c>
      <c r="AC72" s="453"/>
      <c r="AD72" s="455" t="str">
        <f>IF(AND('Mapa final'!$K$97="Baja",'Mapa final'!$O$97="Moderado"),CONCATENATE("R",'Mapa final'!$A$97),"")</f>
        <v/>
      </c>
      <c r="AE72" s="453"/>
      <c r="AF72" s="453" t="str">
        <f>IF(AND('Mapa final'!$K$100="Baja",'Mapa final'!$O$100="Moderado"),CONCATENATE("R",'Mapa final'!$A$100),"")</f>
        <v>R31</v>
      </c>
      <c r="AG72" s="453"/>
      <c r="AH72" s="453" t="str">
        <f>IF(AND('Mapa final'!$K$103="Baja",'Mapa final'!$O$103="Moderado"),CONCATENATE("R",'Mapa final'!$A$103),"")</f>
        <v>R32</v>
      </c>
      <c r="AI72" s="453"/>
      <c r="AJ72" s="453" t="str">
        <f>IF(AND('Mapa final'!$K$106="Baja",'Mapa final'!$O$106="Moderado"),CONCATENATE("R",'Mapa final'!$A$106),"")</f>
        <v/>
      </c>
      <c r="AK72" s="453"/>
      <c r="AL72" s="453" t="str">
        <f>IF(AND('Mapa final'!$K$109="Baja",'Mapa final'!$O$109="Moderado"),CONCATENATE("R",'Mapa final'!$A$109),"")</f>
        <v/>
      </c>
      <c r="AM72" s="453"/>
      <c r="AN72" s="458" t="str">
        <f>IF(AND('Mapa final'!$K$97="Baja",'Mapa final'!$O$97="Mayor"),CONCATENATE("R",'Mapa final'!$A$97),"")</f>
        <v/>
      </c>
      <c r="AO72" s="459"/>
      <c r="AP72" s="459" t="str">
        <f>IF(AND('Mapa final'!$K$100="Baja",'Mapa final'!$O$100="Mayor"),CONCATENATE("R",'Mapa final'!$A$100),"")</f>
        <v/>
      </c>
      <c r="AQ72" s="459"/>
      <c r="AR72" s="459" t="str">
        <f>IF(AND('Mapa final'!$K$103="Baja",'Mapa final'!$O$103="Mayor"),CONCATENATE("R",'Mapa final'!$A$103),"")</f>
        <v/>
      </c>
      <c r="AS72" s="459"/>
      <c r="AT72" s="459" t="str">
        <f>IF(AND('Mapa final'!$K$106="Baja",'Mapa final'!$O$106="Mayor"),CONCATENATE("R",'Mapa final'!$A$106),"")</f>
        <v/>
      </c>
      <c r="AU72" s="459"/>
      <c r="AV72" s="459" t="str">
        <f>IF(AND('Mapa final'!$K$109="Baja",'Mapa final'!$O$109="Mayor"),CONCATENATE("R",'Mapa final'!$A$109),"")</f>
        <v/>
      </c>
      <c r="AW72" s="459"/>
      <c r="AX72" s="452" t="str">
        <f>IF(AND('Mapa final'!$K$97="Baja",'Mapa final'!$O$97="Catastrófico"),CONCATENATE("R",'Mapa final'!$A$97),"")</f>
        <v/>
      </c>
      <c r="AY72" s="450"/>
      <c r="AZ72" s="450" t="str">
        <f>IF(AND('Mapa final'!$K$100="Baja",'Mapa final'!$O$100="Catastrófico"),CONCATENATE("R",'Mapa final'!$A$100),"")</f>
        <v/>
      </c>
      <c r="BA72" s="450"/>
      <c r="BB72" s="450" t="str">
        <f>IF(AND('Mapa final'!$K$103="Baja",'Mapa final'!$O$103="Catastrófico"),CONCATENATE("R",'Mapa final'!$A$103),"")</f>
        <v/>
      </c>
      <c r="BC72" s="450"/>
      <c r="BD72" s="450" t="str">
        <f>IF(AND('Mapa final'!$K$106="Baja",'Mapa final'!$O$106="Catastrófico"),CONCATENATE("R",'Mapa final'!$A$106),"")</f>
        <v/>
      </c>
      <c r="BE72" s="450"/>
      <c r="BF72" s="450" t="str">
        <f>IF(AND('Mapa final'!$K$109="Baja",'Mapa final'!$O$109="Catastrófico"),CONCATENATE("R",'Mapa final'!$A$109),"")</f>
        <v/>
      </c>
      <c r="BG72" s="450"/>
      <c r="BH72" s="38"/>
      <c r="BI72" s="519"/>
      <c r="BJ72" s="520"/>
      <c r="BK72" s="520"/>
      <c r="BL72" s="520"/>
      <c r="BM72" s="520"/>
      <c r="BN72" s="521"/>
      <c r="BO72" s="38"/>
      <c r="BP72" s="38"/>
      <c r="BQ72" s="38"/>
      <c r="BR72" s="38"/>
      <c r="BS72" s="38"/>
      <c r="BT72" s="38"/>
      <c r="BU72" s="38"/>
      <c r="BV72" s="38"/>
      <c r="BW72" s="38"/>
      <c r="BX72" s="38"/>
      <c r="BY72" s="38"/>
      <c r="BZ72" s="38"/>
      <c r="CA72" s="38"/>
      <c r="CB72" s="38"/>
      <c r="CC72" s="38"/>
      <c r="CD72" s="38"/>
      <c r="CE72" s="38"/>
      <c r="CF72" s="38"/>
      <c r="CG72" s="38"/>
      <c r="CH72" s="38"/>
      <c r="CI72" s="38"/>
      <c r="CJ72" s="38"/>
      <c r="CK72" s="38"/>
      <c r="CL72" s="38"/>
      <c r="CM72" s="38"/>
      <c r="CN72" s="38"/>
      <c r="CO72" s="38"/>
      <c r="CP72" s="38"/>
      <c r="CQ72" s="38"/>
      <c r="CR72" s="38"/>
      <c r="CS72" s="38"/>
      <c r="CT72" s="38"/>
      <c r="CU72" s="38"/>
      <c r="CV72" s="38"/>
    </row>
    <row r="73" spans="1:100" ht="15" customHeight="1" x14ac:dyDescent="0.3">
      <c r="A73" s="38"/>
      <c r="B73" s="306"/>
      <c r="C73" s="307"/>
      <c r="D73" s="308"/>
      <c r="E73" s="527"/>
      <c r="F73" s="528"/>
      <c r="G73" s="528"/>
      <c r="H73" s="528"/>
      <c r="I73" s="528"/>
      <c r="J73" s="447"/>
      <c r="K73" s="448"/>
      <c r="L73" s="448"/>
      <c r="M73" s="448"/>
      <c r="N73" s="448"/>
      <c r="O73" s="448"/>
      <c r="P73" s="448"/>
      <c r="Q73" s="448"/>
      <c r="R73" s="448"/>
      <c r="S73" s="448"/>
      <c r="T73" s="455"/>
      <c r="U73" s="453"/>
      <c r="V73" s="453"/>
      <c r="W73" s="453"/>
      <c r="X73" s="453"/>
      <c r="Y73" s="453"/>
      <c r="Z73" s="453"/>
      <c r="AA73" s="453"/>
      <c r="AB73" s="453"/>
      <c r="AC73" s="453"/>
      <c r="AD73" s="455"/>
      <c r="AE73" s="453"/>
      <c r="AF73" s="453"/>
      <c r="AG73" s="453"/>
      <c r="AH73" s="453"/>
      <c r="AI73" s="453"/>
      <c r="AJ73" s="453"/>
      <c r="AK73" s="453"/>
      <c r="AL73" s="453"/>
      <c r="AM73" s="453"/>
      <c r="AN73" s="458"/>
      <c r="AO73" s="459"/>
      <c r="AP73" s="459"/>
      <c r="AQ73" s="459"/>
      <c r="AR73" s="459"/>
      <c r="AS73" s="459"/>
      <c r="AT73" s="459"/>
      <c r="AU73" s="459"/>
      <c r="AV73" s="459"/>
      <c r="AW73" s="459"/>
      <c r="AX73" s="452"/>
      <c r="AY73" s="450"/>
      <c r="AZ73" s="450"/>
      <c r="BA73" s="450"/>
      <c r="BB73" s="450"/>
      <c r="BC73" s="450"/>
      <c r="BD73" s="450"/>
      <c r="BE73" s="450"/>
      <c r="BF73" s="450"/>
      <c r="BG73" s="450"/>
      <c r="BH73" s="38"/>
      <c r="BI73" s="519"/>
      <c r="BJ73" s="520"/>
      <c r="BK73" s="520"/>
      <c r="BL73" s="520"/>
      <c r="BM73" s="520"/>
      <c r="BN73" s="521"/>
      <c r="BO73" s="38"/>
      <c r="BP73" s="38"/>
      <c r="BQ73" s="38"/>
      <c r="BR73" s="38"/>
      <c r="BS73" s="38"/>
      <c r="BT73" s="38"/>
      <c r="BU73" s="38"/>
      <c r="BV73" s="38"/>
      <c r="BW73" s="38"/>
      <c r="BX73" s="38"/>
      <c r="BY73" s="38"/>
      <c r="BZ73" s="38"/>
      <c r="CA73" s="38"/>
      <c r="CB73" s="38"/>
      <c r="CC73" s="38"/>
      <c r="CD73" s="38"/>
      <c r="CE73" s="38"/>
      <c r="CF73" s="38"/>
      <c r="CG73" s="38"/>
      <c r="CH73" s="38"/>
      <c r="CI73" s="38"/>
      <c r="CJ73" s="38"/>
      <c r="CK73" s="38"/>
      <c r="CL73" s="38"/>
      <c r="CM73" s="38"/>
      <c r="CN73" s="38"/>
      <c r="CO73" s="38"/>
      <c r="CP73" s="38"/>
      <c r="CQ73" s="38"/>
      <c r="CR73" s="38"/>
      <c r="CS73" s="38"/>
      <c r="CT73" s="38"/>
      <c r="CU73" s="38"/>
      <c r="CV73" s="38"/>
    </row>
    <row r="74" spans="1:100" ht="15" customHeight="1" x14ac:dyDescent="0.3">
      <c r="A74" s="38"/>
      <c r="B74" s="306"/>
      <c r="C74" s="307"/>
      <c r="D74" s="308"/>
      <c r="E74" s="527"/>
      <c r="F74" s="528"/>
      <c r="G74" s="528"/>
      <c r="H74" s="528"/>
      <c r="I74" s="528"/>
      <c r="J74" s="447" t="str">
        <f>IF(AND('Mapa final'!$K$112="Baja",'Mapa final'!$O$112="Leve"),CONCATENATE("R",'Mapa final'!$A$112),"")</f>
        <v/>
      </c>
      <c r="K74" s="448"/>
      <c r="L74" s="448" t="str">
        <f>IF(AND('Mapa final'!$K$115="Baja",'Mapa final'!$O$115="Leve"),CONCATENATE("R",'Mapa final'!$A$115),"")</f>
        <v/>
      </c>
      <c r="M74" s="448"/>
      <c r="N74" s="448" t="str">
        <f>IF(AND('Mapa final'!$K$118="Baja",'Mapa final'!$O$118="Leve"),CONCATENATE("R",'Mapa final'!$A$118),"")</f>
        <v/>
      </c>
      <c r="O74" s="448"/>
      <c r="P74" s="448" t="str">
        <f>IF(AND('Mapa final'!$K$121="Baja",'Mapa final'!$O$121="Leve"),CONCATENATE("R",'Mapa final'!$A$121),"")</f>
        <v/>
      </c>
      <c r="Q74" s="448"/>
      <c r="R74" s="448" t="str">
        <f>IF(AND('Mapa final'!$K$124="Baja",'Mapa final'!$O$124="Leve"),CONCATENATE("R",'Mapa final'!$A$124),"")</f>
        <v/>
      </c>
      <c r="S74" s="448"/>
      <c r="T74" s="455" t="str">
        <f>IF(AND('Mapa final'!$K$112="Baja",'Mapa final'!$O$112="Menor"),CONCATENATE("R",'Mapa final'!$A$112),"")</f>
        <v/>
      </c>
      <c r="U74" s="453"/>
      <c r="V74" s="453" t="str">
        <f>IF(AND('Mapa final'!$K$115="Baja",'Mapa final'!$O$115="Menor"),CONCATENATE("R",'Mapa final'!$A$115),"")</f>
        <v/>
      </c>
      <c r="W74" s="453"/>
      <c r="X74" s="453" t="str">
        <f>IF(AND('Mapa final'!$K$118="Baja",'Mapa final'!$O$118="Menor"),CONCATENATE("R",'Mapa final'!$A$118),"")</f>
        <v/>
      </c>
      <c r="Y74" s="453"/>
      <c r="Z74" s="453" t="str">
        <f>IF(AND('Mapa final'!$K$121="Baja",'Mapa final'!$O$121="Menor"),CONCATENATE("R",'Mapa final'!$A$121),"")</f>
        <v/>
      </c>
      <c r="AA74" s="453"/>
      <c r="AB74" s="453" t="str">
        <f>IF(AND('Mapa final'!$K$124="Baja",'Mapa final'!$O$124="Menor"),CONCATENATE("R",'Mapa final'!$A$124),"")</f>
        <v/>
      </c>
      <c r="AC74" s="453"/>
      <c r="AD74" s="455" t="str">
        <f>IF(AND('Mapa final'!$K$112="Baja",'Mapa final'!$O$112="Moderado"),CONCATENATE("R",'Mapa final'!$A$112),"")</f>
        <v/>
      </c>
      <c r="AE74" s="453"/>
      <c r="AF74" s="453" t="str">
        <f>IF(AND('Mapa final'!$K$115="Baja",'Mapa final'!$O$115="Moderado"),CONCATENATE("R",'Mapa final'!$A$115),"")</f>
        <v/>
      </c>
      <c r="AG74" s="453"/>
      <c r="AH74" s="453" t="str">
        <f>IF(AND('Mapa final'!$K$118="Baja",'Mapa final'!$O$118="Moderado"),CONCATENATE("R",'Mapa final'!$A$118),"")</f>
        <v/>
      </c>
      <c r="AI74" s="453"/>
      <c r="AJ74" s="453" t="str">
        <f>IF(AND('Mapa final'!$K$121="Baja",'Mapa final'!$O$121="Moderado"),CONCATENATE("R",'Mapa final'!$A$121),"")</f>
        <v/>
      </c>
      <c r="AK74" s="453"/>
      <c r="AL74" s="453" t="str">
        <f>IF(AND('Mapa final'!$K$124="Baja",'Mapa final'!$O$124="Moderado"),CONCATENATE("R",'Mapa final'!$A$124),"")</f>
        <v/>
      </c>
      <c r="AM74" s="453"/>
      <c r="AN74" s="458" t="str">
        <f>IF(AND('Mapa final'!$K$112="Baja",'Mapa final'!$O$112="Mayor"),CONCATENATE("R",'Mapa final'!$A$112),"")</f>
        <v/>
      </c>
      <c r="AO74" s="459"/>
      <c r="AP74" s="459" t="str">
        <f>IF(AND('Mapa final'!$K$115="Baja",'Mapa final'!$O$115="Mayor"),CONCATENATE("R",'Mapa final'!$A$115),"")</f>
        <v/>
      </c>
      <c r="AQ74" s="459"/>
      <c r="AR74" s="459" t="str">
        <f>IF(AND('Mapa final'!$K$118="Baja",'Mapa final'!$O$118="Mayor"),CONCATENATE("R",'Mapa final'!$A$118),"")</f>
        <v/>
      </c>
      <c r="AS74" s="459"/>
      <c r="AT74" s="459" t="str">
        <f>IF(AND('Mapa final'!$K$121="Baja",'Mapa final'!$O$121="Mayor"),CONCATENATE("R",'Mapa final'!$A$121),"")</f>
        <v/>
      </c>
      <c r="AU74" s="459"/>
      <c r="AV74" s="459" t="str">
        <f>IF(AND('Mapa final'!$K$124="Baja",'Mapa final'!$O$124="Mayor"),CONCATENATE("R",'Mapa final'!$A$124),"")</f>
        <v/>
      </c>
      <c r="AW74" s="459"/>
      <c r="AX74" s="452" t="str">
        <f>IF(AND('Mapa final'!$K$112="Baja",'Mapa final'!$O$112="Catastrófico"),CONCATENATE("R",'Mapa final'!$A$112),"")</f>
        <v/>
      </c>
      <c r="AY74" s="450"/>
      <c r="AZ74" s="450" t="str">
        <f>IF(AND('Mapa final'!$K$115="Baja",'Mapa final'!$O$115="Catastrófico"),CONCATENATE("R",'Mapa final'!$A$115),"")</f>
        <v/>
      </c>
      <c r="BA74" s="450"/>
      <c r="BB74" s="450" t="str">
        <f>IF(AND('Mapa final'!$K$118="Baja",'Mapa final'!$O$118="Catastrófico"),CONCATENATE("R",'Mapa final'!$A$118),"")</f>
        <v/>
      </c>
      <c r="BC74" s="450"/>
      <c r="BD74" s="450" t="str">
        <f>IF(AND('Mapa final'!$K$121="Baja",'Mapa final'!$O$121="Catastrófico"),CONCATENATE("R",'Mapa final'!$A$121),"")</f>
        <v/>
      </c>
      <c r="BE74" s="450"/>
      <c r="BF74" s="450" t="str">
        <f>IF(AND('Mapa final'!$K$124="Baja",'Mapa final'!$O$124="Catastrófico"),CONCATENATE("R",'Mapa final'!$A$124),"")</f>
        <v/>
      </c>
      <c r="BG74" s="450"/>
      <c r="BH74" s="38"/>
      <c r="BI74" s="519"/>
      <c r="BJ74" s="520"/>
      <c r="BK74" s="520"/>
      <c r="BL74" s="520"/>
      <c r="BM74" s="520"/>
      <c r="BN74" s="521"/>
      <c r="BO74" s="38"/>
      <c r="BP74" s="38"/>
      <c r="BQ74" s="38"/>
      <c r="BR74" s="38"/>
      <c r="BS74" s="38"/>
      <c r="BT74" s="38"/>
      <c r="BU74" s="38"/>
      <c r="BV74" s="38"/>
      <c r="BW74" s="38"/>
      <c r="BX74" s="38"/>
      <c r="BY74" s="38"/>
      <c r="BZ74" s="38"/>
      <c r="CA74" s="38"/>
      <c r="CB74" s="38"/>
      <c r="CC74" s="38"/>
      <c r="CD74" s="38"/>
      <c r="CE74" s="38"/>
      <c r="CF74" s="38"/>
      <c r="CG74" s="38"/>
      <c r="CH74" s="38"/>
      <c r="CI74" s="38"/>
      <c r="CJ74" s="38"/>
      <c r="CK74" s="38"/>
      <c r="CL74" s="38"/>
      <c r="CM74" s="38"/>
      <c r="CN74" s="38"/>
      <c r="CO74" s="38"/>
      <c r="CP74" s="38"/>
      <c r="CQ74" s="38"/>
      <c r="CR74" s="38"/>
      <c r="CS74" s="38"/>
      <c r="CT74" s="38"/>
      <c r="CU74" s="38"/>
      <c r="CV74" s="38"/>
    </row>
    <row r="75" spans="1:100" ht="15" customHeight="1" x14ac:dyDescent="0.3">
      <c r="A75" s="38"/>
      <c r="B75" s="306"/>
      <c r="C75" s="307"/>
      <c r="D75" s="308"/>
      <c r="E75" s="527"/>
      <c r="F75" s="528"/>
      <c r="G75" s="528"/>
      <c r="H75" s="528"/>
      <c r="I75" s="528"/>
      <c r="J75" s="447"/>
      <c r="K75" s="448"/>
      <c r="L75" s="448"/>
      <c r="M75" s="448"/>
      <c r="N75" s="448"/>
      <c r="O75" s="448"/>
      <c r="P75" s="448"/>
      <c r="Q75" s="448"/>
      <c r="R75" s="448"/>
      <c r="S75" s="448"/>
      <c r="T75" s="455"/>
      <c r="U75" s="453"/>
      <c r="V75" s="453"/>
      <c r="W75" s="453"/>
      <c r="X75" s="453"/>
      <c r="Y75" s="453"/>
      <c r="Z75" s="453"/>
      <c r="AA75" s="453"/>
      <c r="AB75" s="453"/>
      <c r="AC75" s="453"/>
      <c r="AD75" s="455"/>
      <c r="AE75" s="453"/>
      <c r="AF75" s="453"/>
      <c r="AG75" s="453"/>
      <c r="AH75" s="453"/>
      <c r="AI75" s="453"/>
      <c r="AJ75" s="453"/>
      <c r="AK75" s="453"/>
      <c r="AL75" s="453"/>
      <c r="AM75" s="453"/>
      <c r="AN75" s="458"/>
      <c r="AO75" s="459"/>
      <c r="AP75" s="459"/>
      <c r="AQ75" s="459"/>
      <c r="AR75" s="459"/>
      <c r="AS75" s="459"/>
      <c r="AT75" s="459"/>
      <c r="AU75" s="459"/>
      <c r="AV75" s="459"/>
      <c r="AW75" s="459"/>
      <c r="AX75" s="452"/>
      <c r="AY75" s="450"/>
      <c r="AZ75" s="450"/>
      <c r="BA75" s="450"/>
      <c r="BB75" s="450"/>
      <c r="BC75" s="450"/>
      <c r="BD75" s="450"/>
      <c r="BE75" s="450"/>
      <c r="BF75" s="450"/>
      <c r="BG75" s="450"/>
      <c r="BH75" s="38"/>
      <c r="BI75" s="519"/>
      <c r="BJ75" s="520"/>
      <c r="BK75" s="520"/>
      <c r="BL75" s="520"/>
      <c r="BM75" s="520"/>
      <c r="BN75" s="521"/>
      <c r="BO75" s="38"/>
      <c r="BP75" s="38"/>
      <c r="BQ75" s="38"/>
      <c r="BR75" s="38"/>
      <c r="BS75" s="38"/>
      <c r="BT75" s="38"/>
      <c r="BU75" s="38"/>
      <c r="BV75" s="38"/>
      <c r="BW75" s="38"/>
      <c r="BX75" s="38"/>
      <c r="BY75" s="38"/>
      <c r="BZ75" s="38"/>
      <c r="CA75" s="38"/>
      <c r="CB75" s="38"/>
      <c r="CC75" s="38"/>
      <c r="CD75" s="38"/>
      <c r="CE75" s="38"/>
      <c r="CF75" s="38"/>
      <c r="CG75" s="38"/>
      <c r="CH75" s="38"/>
      <c r="CI75" s="38"/>
      <c r="CJ75" s="38"/>
      <c r="CK75" s="38"/>
      <c r="CL75" s="38"/>
      <c r="CM75" s="38"/>
      <c r="CN75" s="38"/>
      <c r="CO75" s="38"/>
      <c r="CP75" s="38"/>
      <c r="CQ75" s="38"/>
      <c r="CR75" s="38"/>
      <c r="CS75" s="38"/>
      <c r="CT75" s="38"/>
      <c r="CU75" s="38"/>
      <c r="CV75" s="38"/>
    </row>
    <row r="76" spans="1:100" ht="15" customHeight="1" x14ac:dyDescent="0.3">
      <c r="A76" s="38"/>
      <c r="B76" s="306"/>
      <c r="C76" s="307"/>
      <c r="D76" s="308"/>
      <c r="E76" s="527"/>
      <c r="F76" s="528"/>
      <c r="G76" s="528"/>
      <c r="H76" s="528"/>
      <c r="I76" s="528"/>
      <c r="J76" s="447" t="str">
        <f>IF(AND('Mapa final'!$K$130="Baja",'Mapa final'!$O$130="Leve"),CONCATENATE("R",'Mapa final'!$A$130),"")</f>
        <v/>
      </c>
      <c r="K76" s="448"/>
      <c r="L76" s="448" t="str">
        <f>IF(AND('Mapa final'!$K$133="Baja",'Mapa final'!$O$133="Leve"),CONCATENATE("R",'Mapa final'!$A$133),"")</f>
        <v/>
      </c>
      <c r="M76" s="448"/>
      <c r="N76" s="448" t="str">
        <f>IF(AND('Mapa final'!$K$136="Baja",'Mapa final'!$O$136="Leve"),CONCATENATE("R",'Mapa final'!$A$136),"")</f>
        <v/>
      </c>
      <c r="O76" s="448"/>
      <c r="P76" s="448" t="str">
        <f>IF(AND('Mapa final'!$K$139="Baja",'Mapa final'!$O$139="Leve"),CONCATENATE("R",'Mapa final'!$A$139),"")</f>
        <v/>
      </c>
      <c r="Q76" s="448"/>
      <c r="R76" s="448" t="str">
        <f>IF(AND('Mapa final'!$K$142="Baja",'Mapa final'!$O$142="Leve"),CONCATENATE("R",'Mapa final'!$A$142),"")</f>
        <v/>
      </c>
      <c r="S76" s="449"/>
      <c r="T76" s="455" t="str">
        <f>IF(AND('Mapa final'!$K$130="Baja",'Mapa final'!$O$130="Menor"),CONCATENATE("R",'Mapa final'!$A$130),"")</f>
        <v/>
      </c>
      <c r="U76" s="453"/>
      <c r="V76" s="453" t="str">
        <f>IF(AND('Mapa final'!$K$133="Baja",'Mapa final'!$O$133="Menor"),CONCATENATE("R",'Mapa final'!$A$133),"")</f>
        <v/>
      </c>
      <c r="W76" s="453"/>
      <c r="X76" s="453" t="str">
        <f>IF(AND('Mapa final'!$K$136="Baja",'Mapa final'!$O$136="Menor"),CONCATENATE("R",'Mapa final'!$A$136),"")</f>
        <v/>
      </c>
      <c r="Y76" s="453"/>
      <c r="Z76" s="453" t="str">
        <f>IF(AND('Mapa final'!$K$139="Baja",'Mapa final'!$O$139="Menor"),CONCATENATE("R",'Mapa final'!$A$139),"")</f>
        <v/>
      </c>
      <c r="AA76" s="453"/>
      <c r="AB76" s="453" t="str">
        <f>IF(AND('Mapa final'!$K$142="Baja",'Mapa final'!$O$142="Menor"),CONCATENATE("R",'Mapa final'!$A$142),"")</f>
        <v/>
      </c>
      <c r="AC76" s="454"/>
      <c r="AD76" s="455" t="str">
        <f>IF(AND('Mapa final'!$K$130="Baja",'Mapa final'!$O$130="Moderado"),CONCATENATE("R",'Mapa final'!$A$130),"")</f>
        <v/>
      </c>
      <c r="AE76" s="453"/>
      <c r="AF76" s="453" t="str">
        <f>IF(AND('Mapa final'!$K$133="Baja",'Mapa final'!$O$133="Moderado"),CONCATENATE("R",'Mapa final'!$A$133),"")</f>
        <v>R42</v>
      </c>
      <c r="AG76" s="453"/>
      <c r="AH76" s="453" t="str">
        <f>IF(AND('Mapa final'!$K$136="Baja",'Mapa final'!$O$136="Moderado"),CONCATENATE("R",'Mapa final'!$A$136),"")</f>
        <v/>
      </c>
      <c r="AI76" s="453"/>
      <c r="AJ76" s="453" t="str">
        <f>IF(AND('Mapa final'!$K$139="Baja",'Mapa final'!$O$139="Moderado"),CONCATENATE("R",'Mapa final'!$A$139),"")</f>
        <v/>
      </c>
      <c r="AK76" s="453"/>
      <c r="AL76" s="453" t="str">
        <f>IF(AND('Mapa final'!$K$142="Baja",'Mapa final'!$O$142="Moderado"),CONCATENATE("R",'Mapa final'!$A$142),"")</f>
        <v/>
      </c>
      <c r="AM76" s="454"/>
      <c r="AN76" s="458" t="str">
        <f>IF(AND('Mapa final'!$K$130="Baja",'Mapa final'!$O$130="Mayor"),CONCATENATE("R",'Mapa final'!$A$130),"")</f>
        <v>R41</v>
      </c>
      <c r="AO76" s="459"/>
      <c r="AP76" s="459" t="str">
        <f>IF(AND('Mapa final'!$K$133="Baja",'Mapa final'!$O$133="Mayor"),CONCATENATE("R",'Mapa final'!$A$133),"")</f>
        <v/>
      </c>
      <c r="AQ76" s="459"/>
      <c r="AR76" s="459" t="str">
        <f>IF(AND('Mapa final'!$K$136="Baja",'Mapa final'!$O$136="Mayor"),CONCATENATE("R",'Mapa final'!$A$136),"")</f>
        <v/>
      </c>
      <c r="AS76" s="459"/>
      <c r="AT76" s="459" t="str">
        <f>IF(AND('Mapa final'!$K$139="Baja",'Mapa final'!$O$139="Mayor"),CONCATENATE("R",'Mapa final'!$A$139),"")</f>
        <v/>
      </c>
      <c r="AU76" s="459"/>
      <c r="AV76" s="459" t="str">
        <f>IF(AND('Mapa final'!$K$142="Baja",'Mapa final'!$O$142="Mayor"),CONCATENATE("R",'Mapa final'!$A$142),"")</f>
        <v/>
      </c>
      <c r="AW76" s="464"/>
      <c r="AX76" s="452" t="str">
        <f>IF(AND('Mapa final'!$K$130="Baja",'Mapa final'!$O$130="Catastrófico"),CONCATENATE("R",'Mapa final'!$A$130),"")</f>
        <v/>
      </c>
      <c r="AY76" s="450"/>
      <c r="AZ76" s="450" t="str">
        <f>IF(AND('Mapa final'!$K$133="Baja",'Mapa final'!$O$133="Catastrófico"),CONCATENATE("R",'Mapa final'!$A$133),"")</f>
        <v/>
      </c>
      <c r="BA76" s="450"/>
      <c r="BB76" s="450" t="str">
        <f>IF(AND('Mapa final'!$K$136="Baja",'Mapa final'!$O$136="Catastrófico"),CONCATENATE("R",'Mapa final'!$A$136),"")</f>
        <v/>
      </c>
      <c r="BC76" s="450"/>
      <c r="BD76" s="450" t="str">
        <f>IF(AND('Mapa final'!$K$139="Baja",'Mapa final'!$O$139="Catastrófico"),CONCATENATE("R",'Mapa final'!$A$139),"")</f>
        <v/>
      </c>
      <c r="BE76" s="450"/>
      <c r="BF76" s="450" t="str">
        <f>IF(AND('Mapa final'!$K$142="Baja",'Mapa final'!$O$142="Catastrófico"),CONCATENATE("R",'Mapa final'!$A$142),"")</f>
        <v/>
      </c>
      <c r="BG76" s="451"/>
      <c r="BH76" s="38"/>
      <c r="BI76" s="519"/>
      <c r="BJ76" s="520"/>
      <c r="BK76" s="520"/>
      <c r="BL76" s="520"/>
      <c r="BM76" s="520"/>
      <c r="BN76" s="521"/>
      <c r="BO76" s="38"/>
      <c r="BP76" s="38"/>
      <c r="BQ76" s="38"/>
      <c r="BR76" s="38"/>
      <c r="BS76" s="38"/>
      <c r="BT76" s="38"/>
      <c r="BU76" s="38"/>
      <c r="BV76" s="38"/>
      <c r="BW76" s="38"/>
      <c r="BX76" s="38"/>
      <c r="BY76" s="38"/>
      <c r="BZ76" s="38"/>
      <c r="CA76" s="38"/>
      <c r="CB76" s="38"/>
      <c r="CC76" s="38"/>
      <c r="CD76" s="38"/>
      <c r="CE76" s="38"/>
      <c r="CF76" s="38"/>
      <c r="CG76" s="38"/>
      <c r="CH76" s="38"/>
      <c r="CI76" s="38"/>
      <c r="CJ76" s="38"/>
      <c r="CK76" s="38"/>
      <c r="CL76" s="38"/>
      <c r="CM76" s="38"/>
      <c r="CN76" s="38"/>
      <c r="CO76" s="38"/>
      <c r="CP76" s="38"/>
      <c r="CQ76" s="38"/>
      <c r="CR76" s="38"/>
      <c r="CS76" s="38"/>
      <c r="CT76" s="38"/>
      <c r="CU76" s="38"/>
      <c r="CV76" s="38"/>
    </row>
    <row r="77" spans="1:100" ht="15" customHeight="1" thickBot="1" x14ac:dyDescent="0.35">
      <c r="A77" s="38"/>
      <c r="B77" s="306"/>
      <c r="C77" s="307"/>
      <c r="D77" s="308"/>
      <c r="E77" s="527"/>
      <c r="F77" s="528"/>
      <c r="G77" s="528"/>
      <c r="H77" s="528"/>
      <c r="I77" s="528"/>
      <c r="J77" s="447"/>
      <c r="K77" s="448"/>
      <c r="L77" s="448"/>
      <c r="M77" s="448"/>
      <c r="N77" s="448"/>
      <c r="O77" s="448"/>
      <c r="P77" s="448"/>
      <c r="Q77" s="448"/>
      <c r="R77" s="448"/>
      <c r="S77" s="449"/>
      <c r="T77" s="455"/>
      <c r="U77" s="453"/>
      <c r="V77" s="453"/>
      <c r="W77" s="453"/>
      <c r="X77" s="453"/>
      <c r="Y77" s="453"/>
      <c r="Z77" s="453"/>
      <c r="AA77" s="453"/>
      <c r="AB77" s="453"/>
      <c r="AC77" s="454"/>
      <c r="AD77" s="455"/>
      <c r="AE77" s="453"/>
      <c r="AF77" s="453"/>
      <c r="AG77" s="453"/>
      <c r="AH77" s="453"/>
      <c r="AI77" s="453"/>
      <c r="AJ77" s="453"/>
      <c r="AK77" s="453"/>
      <c r="AL77" s="453"/>
      <c r="AM77" s="454"/>
      <c r="AN77" s="458"/>
      <c r="AO77" s="459"/>
      <c r="AP77" s="459"/>
      <c r="AQ77" s="459"/>
      <c r="AR77" s="459"/>
      <c r="AS77" s="459"/>
      <c r="AT77" s="459"/>
      <c r="AU77" s="459"/>
      <c r="AV77" s="459"/>
      <c r="AW77" s="464"/>
      <c r="AX77" s="452"/>
      <c r="AY77" s="450"/>
      <c r="AZ77" s="450"/>
      <c r="BA77" s="450"/>
      <c r="BB77" s="450"/>
      <c r="BC77" s="450"/>
      <c r="BD77" s="450"/>
      <c r="BE77" s="450"/>
      <c r="BF77" s="450"/>
      <c r="BG77" s="451"/>
      <c r="BH77" s="38"/>
      <c r="BI77" s="519"/>
      <c r="BJ77" s="520"/>
      <c r="BK77" s="520"/>
      <c r="BL77" s="520"/>
      <c r="BM77" s="520"/>
      <c r="BN77" s="521"/>
      <c r="BO77" s="38"/>
      <c r="BP77" s="38"/>
      <c r="BQ77" s="38"/>
      <c r="BR77" s="38"/>
      <c r="BS77" s="38"/>
      <c r="BT77" s="38"/>
      <c r="BU77" s="38"/>
      <c r="BV77" s="38"/>
      <c r="BW77" s="38"/>
      <c r="BX77" s="38"/>
      <c r="BY77" s="38"/>
      <c r="BZ77" s="38"/>
      <c r="CA77" s="38"/>
      <c r="CB77" s="38"/>
      <c r="CC77" s="38"/>
      <c r="CD77" s="38"/>
      <c r="CE77" s="38"/>
      <c r="CF77" s="38"/>
      <c r="CG77" s="38"/>
      <c r="CH77" s="38"/>
      <c r="CI77" s="38"/>
      <c r="CJ77" s="38"/>
      <c r="CK77" s="38"/>
      <c r="CL77" s="38"/>
      <c r="CM77" s="38"/>
      <c r="CN77" s="38"/>
      <c r="CO77" s="38"/>
      <c r="CP77" s="38"/>
      <c r="CQ77" s="38"/>
      <c r="CR77" s="38"/>
      <c r="CS77" s="38"/>
      <c r="CT77" s="38"/>
      <c r="CU77" s="38"/>
      <c r="CV77" s="38"/>
    </row>
    <row r="78" spans="1:100" ht="15" customHeight="1" x14ac:dyDescent="0.3">
      <c r="A78" s="38"/>
      <c r="B78" s="306"/>
      <c r="C78" s="307"/>
      <c r="D78" s="308"/>
      <c r="E78" s="525" t="s">
        <v>104</v>
      </c>
      <c r="F78" s="526"/>
      <c r="G78" s="526"/>
      <c r="H78" s="526"/>
      <c r="I78" s="529"/>
      <c r="J78" s="488" t="str">
        <f>IF(AND('Mapa final'!$K$7="Muy Baja",'Mapa final'!$O$7="Leve"),CONCATENATE("R",'Mapa final'!$A$7),"")</f>
        <v/>
      </c>
      <c r="K78" s="486"/>
      <c r="L78" s="486" t="str">
        <f>IF(AND('Mapa final'!$K$10="Muy Baja",'Mapa final'!$O$10="Leve"),CONCATENATE("R",'Mapa final'!$A$10),"")</f>
        <v/>
      </c>
      <c r="M78" s="486"/>
      <c r="N78" s="486" t="e">
        <f>IF(AND('Mapa final'!#REF!="Muy Baja",'Mapa final'!#REF!="Leve"),CONCATENATE("R",'Mapa final'!#REF!),"")</f>
        <v>#REF!</v>
      </c>
      <c r="O78" s="486"/>
      <c r="P78" s="486" t="str">
        <f>IF(AND('Mapa final'!$K$13="Muy Baja",'Mapa final'!$O$13="Leve"),CONCATENATE("R",'Mapa final'!$A$13),"")</f>
        <v/>
      </c>
      <c r="Q78" s="486"/>
      <c r="R78" s="486" t="str">
        <f>IF(AND('Mapa final'!$K$16="Muy Baja",'Mapa final'!$O$16="Leve"),CONCATENATE("R",'Mapa final'!$A$16),"")</f>
        <v/>
      </c>
      <c r="S78" s="487"/>
      <c r="T78" s="488" t="str">
        <f>IF(AND('Mapa final'!$K$7="Muy Baja",'Mapa final'!$O$7="Menor"),CONCATENATE("R",'Mapa final'!$A$7),"")</f>
        <v/>
      </c>
      <c r="U78" s="486"/>
      <c r="V78" s="486" t="str">
        <f>IF(AND('Mapa final'!$K$10="Muy Baja",'Mapa final'!$O$10="Menor"),CONCATENATE("R",'Mapa final'!$A$10),"")</f>
        <v/>
      </c>
      <c r="W78" s="486"/>
      <c r="X78" s="486" t="e">
        <f>IF(AND('Mapa final'!#REF!="Muy Baja",'Mapa final'!#REF!="Menor"),CONCATENATE("R",'Mapa final'!#REF!),"")</f>
        <v>#REF!</v>
      </c>
      <c r="Y78" s="486"/>
      <c r="Z78" s="486" t="str">
        <f>IF(AND('Mapa final'!$K$13="Muy Baja",'Mapa final'!$O$13="Menor"),CONCATENATE("R",'Mapa final'!$A$13),"")</f>
        <v/>
      </c>
      <c r="AA78" s="486"/>
      <c r="AB78" s="486" t="str">
        <f>IF(AND('Mapa final'!$K$16="Muy Baja",'Mapa final'!$O$16="Menor"),CONCATENATE("R",'Mapa final'!$A$16),"")</f>
        <v/>
      </c>
      <c r="AC78" s="487"/>
      <c r="AD78" s="465" t="str">
        <f>IF(AND('Mapa final'!$K$7="Muy Baja",'Mapa final'!$O$7="Moderado"),CONCATENATE("R",'Mapa final'!$A$7),"")</f>
        <v/>
      </c>
      <c r="AE78" s="466"/>
      <c r="AF78" s="466" t="str">
        <f>IF(AND('Mapa final'!$K$10="Muy Baja",'Mapa final'!$O$10="Moderado"),CONCATENATE("R",'Mapa final'!$A$10),"")</f>
        <v/>
      </c>
      <c r="AG78" s="466"/>
      <c r="AH78" s="466" t="e">
        <f>IF(AND('Mapa final'!#REF!="Muy Baja",'Mapa final'!#REF!="Moderado"),CONCATENATE("R",'Mapa final'!#REF!),"")</f>
        <v>#REF!</v>
      </c>
      <c r="AI78" s="466"/>
      <c r="AJ78" s="466" t="str">
        <f>IF(AND('Mapa final'!$K$13="Muy Baja",'Mapa final'!$O$13="Moderado"),CONCATENATE("R",'Mapa final'!$A$13),"")</f>
        <v/>
      </c>
      <c r="AK78" s="466"/>
      <c r="AL78" s="466" t="str">
        <f>IF(AND('Mapa final'!$K$16="Muy Baja",'Mapa final'!$O$16="Moderado"),CONCATENATE("R",'Mapa final'!$A$16),"")</f>
        <v/>
      </c>
      <c r="AM78" s="467"/>
      <c r="AN78" s="540" t="str">
        <f>IF(AND('Mapa final'!$K$7="Muy Baja",'Mapa final'!$O$7="Mayor"),CONCATENATE("R",'Mapa final'!$A$7),"")</f>
        <v/>
      </c>
      <c r="AO78" s="538"/>
      <c r="AP78" s="538" t="str">
        <f>IF(AND('Mapa final'!$K$10="Muy Baja",'Mapa final'!$O$10="Mayor"),CONCATENATE("R",'Mapa final'!$A$10),"")</f>
        <v/>
      </c>
      <c r="AQ78" s="538"/>
      <c r="AR78" s="538" t="e">
        <f>IF(AND('Mapa final'!#REF!="Muy Baja",'Mapa final'!#REF!="Mayor"),CONCATENATE("R",'Mapa final'!#REF!),"")</f>
        <v>#REF!</v>
      </c>
      <c r="AS78" s="538"/>
      <c r="AT78" s="538" t="str">
        <f>IF(AND('Mapa final'!$K$13="Muy Baja",'Mapa final'!$O$13="Mayor"),CONCATENATE("R",'Mapa final'!$A$13),"")</f>
        <v/>
      </c>
      <c r="AU78" s="538"/>
      <c r="AV78" s="538" t="str">
        <f>IF(AND('Mapa final'!$K$16="Muy Baja",'Mapa final'!$O$16="Mayor"),CONCATENATE("R",'Mapa final'!$A$16),"")</f>
        <v/>
      </c>
      <c r="AW78" s="539"/>
      <c r="AX78" s="482" t="str">
        <f>IF(AND('Mapa final'!$K$7="Muy Baja",'Mapa final'!$O$7="Catastrófico"),CONCATENATE("R",'Mapa final'!$A$7),"")</f>
        <v/>
      </c>
      <c r="AY78" s="471"/>
      <c r="AZ78" s="471" t="str">
        <f>IF(AND('Mapa final'!$K$10="Muy Baja",'Mapa final'!$O$10="Catastrófico"),CONCATENATE("R",'Mapa final'!$A$10),"")</f>
        <v/>
      </c>
      <c r="BA78" s="471"/>
      <c r="BB78" s="471" t="e">
        <f>IF(AND('Mapa final'!#REF!="Muy Baja",'Mapa final'!#REF!="Catastrófico"),CONCATENATE("R",'Mapa final'!#REF!),"")</f>
        <v>#REF!</v>
      </c>
      <c r="BC78" s="471"/>
      <c r="BD78" s="471" t="str">
        <f>IF(AND('Mapa final'!$K$13="Muy Baja",'Mapa final'!$O$13="Catastrófico"),CONCATENATE("R",'Mapa final'!$A$13),"")</f>
        <v/>
      </c>
      <c r="BE78" s="471"/>
      <c r="BF78" s="471" t="str">
        <f>IF(AND('Mapa final'!$K$16="Muy Baja",'Mapa final'!$O$16="Catastrófico"),CONCATENATE("R",'Mapa final'!$A$16),"")</f>
        <v/>
      </c>
      <c r="BG78" s="483"/>
      <c r="BH78" s="38"/>
      <c r="BI78" s="519"/>
      <c r="BJ78" s="520"/>
      <c r="BK78" s="520"/>
      <c r="BL78" s="520"/>
      <c r="BM78" s="520"/>
      <c r="BN78" s="521"/>
      <c r="BO78" s="38"/>
      <c r="BP78" s="38"/>
      <c r="BQ78" s="38"/>
      <c r="BR78" s="38"/>
      <c r="BS78" s="38"/>
      <c r="BT78" s="38"/>
      <c r="BU78" s="38"/>
      <c r="BV78" s="38"/>
      <c r="BW78" s="38"/>
      <c r="BX78" s="38"/>
      <c r="BY78" s="38"/>
      <c r="BZ78" s="38"/>
      <c r="CA78" s="38"/>
      <c r="CB78" s="38"/>
      <c r="CC78" s="38"/>
      <c r="CD78" s="38"/>
      <c r="CE78" s="38"/>
      <c r="CF78" s="38"/>
      <c r="CG78" s="38"/>
      <c r="CH78" s="38"/>
      <c r="CI78" s="38"/>
      <c r="CJ78" s="38"/>
      <c r="CK78" s="38"/>
      <c r="CL78" s="38"/>
      <c r="CM78" s="38"/>
      <c r="CN78" s="38"/>
      <c r="CO78" s="38"/>
      <c r="CP78" s="38"/>
      <c r="CQ78" s="38"/>
      <c r="CR78" s="38"/>
      <c r="CS78" s="38"/>
      <c r="CT78" s="38"/>
      <c r="CU78" s="38"/>
      <c r="CV78" s="38"/>
    </row>
    <row r="79" spans="1:100" ht="15" customHeight="1" x14ac:dyDescent="0.3">
      <c r="A79" s="38"/>
      <c r="B79" s="306"/>
      <c r="C79" s="307"/>
      <c r="D79" s="308"/>
      <c r="E79" s="527"/>
      <c r="F79" s="528"/>
      <c r="G79" s="528"/>
      <c r="H79" s="528"/>
      <c r="I79" s="530"/>
      <c r="J79" s="447"/>
      <c r="K79" s="448"/>
      <c r="L79" s="448"/>
      <c r="M79" s="448"/>
      <c r="N79" s="448"/>
      <c r="O79" s="448"/>
      <c r="P79" s="448"/>
      <c r="Q79" s="448"/>
      <c r="R79" s="448"/>
      <c r="S79" s="449"/>
      <c r="T79" s="447"/>
      <c r="U79" s="448"/>
      <c r="V79" s="448"/>
      <c r="W79" s="448"/>
      <c r="X79" s="448"/>
      <c r="Y79" s="448"/>
      <c r="Z79" s="448"/>
      <c r="AA79" s="448"/>
      <c r="AB79" s="448"/>
      <c r="AC79" s="449"/>
      <c r="AD79" s="455"/>
      <c r="AE79" s="453"/>
      <c r="AF79" s="453"/>
      <c r="AG79" s="453"/>
      <c r="AH79" s="453"/>
      <c r="AI79" s="453"/>
      <c r="AJ79" s="453"/>
      <c r="AK79" s="453"/>
      <c r="AL79" s="453"/>
      <c r="AM79" s="454"/>
      <c r="AN79" s="460"/>
      <c r="AO79" s="456"/>
      <c r="AP79" s="456"/>
      <c r="AQ79" s="456"/>
      <c r="AR79" s="456"/>
      <c r="AS79" s="456"/>
      <c r="AT79" s="456"/>
      <c r="AU79" s="456"/>
      <c r="AV79" s="456"/>
      <c r="AW79" s="457"/>
      <c r="AX79" s="452"/>
      <c r="AY79" s="450"/>
      <c r="AZ79" s="450"/>
      <c r="BA79" s="450"/>
      <c r="BB79" s="450"/>
      <c r="BC79" s="450"/>
      <c r="BD79" s="450"/>
      <c r="BE79" s="450"/>
      <c r="BF79" s="450"/>
      <c r="BG79" s="451"/>
      <c r="BH79" s="38"/>
      <c r="BI79" s="519"/>
      <c r="BJ79" s="520"/>
      <c r="BK79" s="520"/>
      <c r="BL79" s="520"/>
      <c r="BM79" s="520"/>
      <c r="BN79" s="521"/>
      <c r="BO79" s="38"/>
      <c r="BP79" s="38"/>
      <c r="BQ79" s="38"/>
      <c r="BR79" s="38"/>
      <c r="BS79" s="38"/>
      <c r="BT79" s="38"/>
      <c r="BU79" s="38"/>
      <c r="BV79" s="38"/>
      <c r="BW79" s="38"/>
      <c r="BX79" s="38"/>
      <c r="BY79" s="38"/>
      <c r="BZ79" s="38"/>
      <c r="CA79" s="38"/>
      <c r="CB79" s="38"/>
      <c r="CC79" s="38"/>
      <c r="CD79" s="38"/>
      <c r="CE79" s="38"/>
      <c r="CF79" s="38"/>
      <c r="CG79" s="38"/>
      <c r="CH79" s="38"/>
      <c r="CI79" s="38"/>
      <c r="CJ79" s="38"/>
      <c r="CK79" s="38"/>
      <c r="CL79" s="38"/>
      <c r="CM79" s="38"/>
      <c r="CN79" s="38"/>
      <c r="CO79" s="38"/>
      <c r="CP79" s="38"/>
      <c r="CQ79" s="38"/>
      <c r="CR79" s="38"/>
      <c r="CS79" s="38"/>
      <c r="CT79" s="38"/>
      <c r="CU79" s="38"/>
      <c r="CV79" s="38"/>
    </row>
    <row r="80" spans="1:100" ht="15" customHeight="1" x14ac:dyDescent="0.3">
      <c r="A80" s="38"/>
      <c r="B80" s="306"/>
      <c r="C80" s="307"/>
      <c r="D80" s="308"/>
      <c r="E80" s="527"/>
      <c r="F80" s="528"/>
      <c r="G80" s="528"/>
      <c r="H80" s="528"/>
      <c r="I80" s="530"/>
      <c r="J80" s="447" t="str">
        <f>IF(AND('Mapa final'!$K$19="Muy Baja",'Mapa final'!$O$19="Leve"),CONCATENATE("R",'Mapa final'!$A$19),"")</f>
        <v/>
      </c>
      <c r="K80" s="448"/>
      <c r="L80" s="448" t="str">
        <f>IF(AND('Mapa final'!$K$22="Muy Baja",'Mapa final'!$O$22="Leve"),CONCATENATE("R",'Mapa final'!$A$22),"")</f>
        <v/>
      </c>
      <c r="M80" s="448"/>
      <c r="N80" s="448" t="str">
        <f>IF(AND('Mapa final'!$K$25="Muy Baja",'Mapa final'!$O$25="Leve"),CONCATENATE("R",'Mapa final'!$A$25),"")</f>
        <v/>
      </c>
      <c r="O80" s="448"/>
      <c r="P80" s="448" t="str">
        <f>IF(AND('Mapa final'!$K$28="Muy Baja",'Mapa final'!$O$28="Leve"),CONCATENATE("R",'Mapa final'!$A$28),"")</f>
        <v/>
      </c>
      <c r="Q80" s="448"/>
      <c r="R80" s="448" t="str">
        <f>IF(AND('Mapa final'!$K$31="Muy Baja",'Mapa final'!$O$31="Leve"),CONCATENATE("R",'Mapa final'!$A$31),"")</f>
        <v/>
      </c>
      <c r="S80" s="449"/>
      <c r="T80" s="447" t="str">
        <f>IF(AND('Mapa final'!$K$19="Muy Baja",'Mapa final'!$O$19="Menor"),CONCATENATE("R",'Mapa final'!$A$19),"")</f>
        <v/>
      </c>
      <c r="U80" s="448"/>
      <c r="V80" s="448" t="str">
        <f>IF(AND('Mapa final'!$K$22="Muy Baja",'Mapa final'!$O$22="Menor"),CONCATENATE("R",'Mapa final'!$A$22),"")</f>
        <v/>
      </c>
      <c r="W80" s="448"/>
      <c r="X80" s="448" t="str">
        <f>IF(AND('Mapa final'!$K$25="Muy Baja",'Mapa final'!$O$25="Menor"),CONCATENATE("R",'Mapa final'!$A$25),"")</f>
        <v/>
      </c>
      <c r="Y80" s="448"/>
      <c r="Z80" s="448" t="str">
        <f>IF(AND('Mapa final'!$K$28="Muy Baja",'Mapa final'!$O$28="Menor"),CONCATENATE("R",'Mapa final'!$A$28),"")</f>
        <v/>
      </c>
      <c r="AA80" s="448"/>
      <c r="AB80" s="448" t="str">
        <f>IF(AND('Mapa final'!$K$31="Muy Baja",'Mapa final'!$O$31="Menor"),CONCATENATE("R",'Mapa final'!$A$31),"")</f>
        <v/>
      </c>
      <c r="AC80" s="449"/>
      <c r="AD80" s="455" t="str">
        <f>IF(AND('Mapa final'!$K$19="Muy Baja",'Mapa final'!$O$19="Moderado"),CONCATENATE("R",'Mapa final'!$A$19),"")</f>
        <v/>
      </c>
      <c r="AE80" s="453"/>
      <c r="AF80" s="453" t="str">
        <f>IF(AND('Mapa final'!$K$22="Muy Baja",'Mapa final'!$O$22="Moderado"),CONCATENATE("R",'Mapa final'!$A$22),"")</f>
        <v/>
      </c>
      <c r="AG80" s="453"/>
      <c r="AH80" s="453" t="str">
        <f>IF(AND('Mapa final'!$K$25="Muy Baja",'Mapa final'!$O$25="Moderado"),CONCATENATE("R",'Mapa final'!$A$25),"")</f>
        <v/>
      </c>
      <c r="AI80" s="453"/>
      <c r="AJ80" s="453" t="str">
        <f>IF(AND('Mapa final'!$K$28="Muy Baja",'Mapa final'!$O$28="Moderado"),CONCATENATE("R",'Mapa final'!$A$28),"")</f>
        <v/>
      </c>
      <c r="AK80" s="453"/>
      <c r="AL80" s="453" t="str">
        <f>IF(AND('Mapa final'!$K$31="Muy Baja",'Mapa final'!$O$31="Moderado"),CONCATENATE("R",'Mapa final'!$A$31),"")</f>
        <v/>
      </c>
      <c r="AM80" s="454"/>
      <c r="AN80" s="460" t="str">
        <f>IF(AND('Mapa final'!$K$19="Muy Baja",'Mapa final'!$O$19="Mayor"),CONCATENATE("R",'Mapa final'!$A$19),"")</f>
        <v/>
      </c>
      <c r="AO80" s="456"/>
      <c r="AP80" s="456" t="str">
        <f>IF(AND('Mapa final'!$K$22="Muy Baja",'Mapa final'!$O$22="Mayor"),CONCATENATE("R",'Mapa final'!$A$22),"")</f>
        <v/>
      </c>
      <c r="AQ80" s="456"/>
      <c r="AR80" s="456" t="str">
        <f>IF(AND('Mapa final'!$K$25="Muy Baja",'Mapa final'!$O$25="Mayor"),CONCATENATE("R",'Mapa final'!$A$25),"")</f>
        <v/>
      </c>
      <c r="AS80" s="456"/>
      <c r="AT80" s="456" t="str">
        <f>IF(AND('Mapa final'!$K$28="Muy Baja",'Mapa final'!$O$28="Mayor"),CONCATENATE("R",'Mapa final'!$A$28),"")</f>
        <v/>
      </c>
      <c r="AU80" s="456"/>
      <c r="AV80" s="456" t="str">
        <f>IF(AND('Mapa final'!$K$31="Muy Baja",'Mapa final'!$O$31="Mayor"),CONCATENATE("R",'Mapa final'!$A$31),"")</f>
        <v/>
      </c>
      <c r="AW80" s="457"/>
      <c r="AX80" s="452" t="str">
        <f>IF(AND('Mapa final'!$K$19="Muy Baja",'Mapa final'!$O$19="Catastrófico"),CONCATENATE("R",'Mapa final'!$A$19),"")</f>
        <v/>
      </c>
      <c r="AY80" s="450"/>
      <c r="AZ80" s="450" t="str">
        <f>IF(AND('Mapa final'!$K$22="Muy Baja",'Mapa final'!$O$22="Catastrófico"),CONCATENATE("R",'Mapa final'!$A$22),"")</f>
        <v/>
      </c>
      <c r="BA80" s="450"/>
      <c r="BB80" s="450" t="str">
        <f>IF(AND('Mapa final'!$K$25="Muy Baja",'Mapa final'!$O$25="Catastrófico"),CONCATENATE("R",'Mapa final'!$A$25),"")</f>
        <v/>
      </c>
      <c r="BC80" s="450"/>
      <c r="BD80" s="450" t="str">
        <f>IF(AND('Mapa final'!$K$28="Muy Baja",'Mapa final'!$O$28="Catastrófico"),CONCATENATE("R",'Mapa final'!$A$28),"")</f>
        <v/>
      </c>
      <c r="BE80" s="450"/>
      <c r="BF80" s="450" t="str">
        <f>IF(AND('Mapa final'!$K$31="Muy Baja",'Mapa final'!$O$31="Catastrófico"),CONCATENATE("R",'Mapa final'!$A$31),"")</f>
        <v/>
      </c>
      <c r="BG80" s="451"/>
      <c r="BH80" s="38"/>
      <c r="BI80" s="519"/>
      <c r="BJ80" s="520"/>
      <c r="BK80" s="520"/>
      <c r="BL80" s="520"/>
      <c r="BM80" s="520"/>
      <c r="BN80" s="521"/>
      <c r="BO80" s="38"/>
      <c r="BP80" s="38"/>
      <c r="BQ80" s="38"/>
      <c r="BR80" s="38"/>
      <c r="BS80" s="38"/>
      <c r="BT80" s="38"/>
      <c r="BU80" s="38"/>
      <c r="BV80" s="38"/>
      <c r="BW80" s="38"/>
      <c r="BX80" s="38"/>
      <c r="BY80" s="38"/>
      <c r="BZ80" s="38"/>
      <c r="CA80" s="38"/>
      <c r="CB80" s="38"/>
      <c r="CC80" s="38"/>
      <c r="CD80" s="38"/>
      <c r="CE80" s="38"/>
      <c r="CF80" s="38"/>
      <c r="CG80" s="38"/>
      <c r="CH80" s="38"/>
      <c r="CI80" s="38"/>
      <c r="CJ80" s="38"/>
      <c r="CK80" s="38"/>
      <c r="CL80" s="38"/>
      <c r="CM80" s="38"/>
      <c r="CN80" s="38"/>
      <c r="CO80" s="38"/>
      <c r="CP80" s="38"/>
      <c r="CQ80" s="38"/>
      <c r="CR80" s="38"/>
      <c r="CS80" s="38"/>
      <c r="CT80" s="38"/>
      <c r="CU80" s="38"/>
      <c r="CV80" s="38"/>
    </row>
    <row r="81" spans="1:100" ht="15" customHeight="1" x14ac:dyDescent="0.3">
      <c r="A81" s="38"/>
      <c r="B81" s="306"/>
      <c r="C81" s="307"/>
      <c r="D81" s="308"/>
      <c r="E81" s="527"/>
      <c r="F81" s="528"/>
      <c r="G81" s="528"/>
      <c r="H81" s="528"/>
      <c r="I81" s="530"/>
      <c r="J81" s="447"/>
      <c r="K81" s="448"/>
      <c r="L81" s="448"/>
      <c r="M81" s="448"/>
      <c r="N81" s="448"/>
      <c r="O81" s="448"/>
      <c r="P81" s="448"/>
      <c r="Q81" s="448"/>
      <c r="R81" s="448"/>
      <c r="S81" s="449"/>
      <c r="T81" s="447"/>
      <c r="U81" s="448"/>
      <c r="V81" s="448"/>
      <c r="W81" s="448"/>
      <c r="X81" s="448"/>
      <c r="Y81" s="448"/>
      <c r="Z81" s="448"/>
      <c r="AA81" s="448"/>
      <c r="AB81" s="448"/>
      <c r="AC81" s="449"/>
      <c r="AD81" s="455"/>
      <c r="AE81" s="453"/>
      <c r="AF81" s="453"/>
      <c r="AG81" s="453"/>
      <c r="AH81" s="453"/>
      <c r="AI81" s="453"/>
      <c r="AJ81" s="453"/>
      <c r="AK81" s="453"/>
      <c r="AL81" s="453"/>
      <c r="AM81" s="454"/>
      <c r="AN81" s="460"/>
      <c r="AO81" s="456"/>
      <c r="AP81" s="456"/>
      <c r="AQ81" s="456"/>
      <c r="AR81" s="456"/>
      <c r="AS81" s="456"/>
      <c r="AT81" s="456"/>
      <c r="AU81" s="456"/>
      <c r="AV81" s="456"/>
      <c r="AW81" s="457"/>
      <c r="AX81" s="452"/>
      <c r="AY81" s="450"/>
      <c r="AZ81" s="450"/>
      <c r="BA81" s="450"/>
      <c r="BB81" s="450"/>
      <c r="BC81" s="450"/>
      <c r="BD81" s="450"/>
      <c r="BE81" s="450"/>
      <c r="BF81" s="450"/>
      <c r="BG81" s="451"/>
      <c r="BH81" s="38"/>
      <c r="BI81" s="519"/>
      <c r="BJ81" s="520"/>
      <c r="BK81" s="520"/>
      <c r="BL81" s="520"/>
      <c r="BM81" s="520"/>
      <c r="BN81" s="521"/>
      <c r="BO81" s="38"/>
      <c r="BP81" s="38"/>
      <c r="BQ81" s="38"/>
      <c r="BR81" s="38"/>
      <c r="BS81" s="38"/>
      <c r="BT81" s="38"/>
      <c r="BU81" s="38"/>
      <c r="BV81" s="38"/>
      <c r="BW81" s="38"/>
      <c r="BX81" s="38"/>
      <c r="BY81" s="38"/>
      <c r="BZ81" s="38"/>
      <c r="CA81" s="38"/>
      <c r="CB81" s="38"/>
      <c r="CC81" s="38"/>
      <c r="CD81" s="38"/>
      <c r="CE81" s="38"/>
      <c r="CF81" s="38"/>
      <c r="CG81" s="38"/>
      <c r="CH81" s="38"/>
      <c r="CI81" s="38"/>
      <c r="CJ81" s="38"/>
      <c r="CK81" s="38"/>
      <c r="CL81" s="38"/>
      <c r="CM81" s="38"/>
      <c r="CN81" s="38"/>
      <c r="CO81" s="38"/>
      <c r="CP81" s="38"/>
      <c r="CQ81" s="38"/>
      <c r="CR81" s="38"/>
      <c r="CS81" s="38"/>
      <c r="CT81" s="38"/>
      <c r="CU81" s="38"/>
      <c r="CV81" s="38"/>
    </row>
    <row r="82" spans="1:100" ht="15" customHeight="1" x14ac:dyDescent="0.3">
      <c r="A82" s="38"/>
      <c r="B82" s="306"/>
      <c r="C82" s="307"/>
      <c r="D82" s="308"/>
      <c r="E82" s="527"/>
      <c r="F82" s="528"/>
      <c r="G82" s="528"/>
      <c r="H82" s="528"/>
      <c r="I82" s="530"/>
      <c r="J82" s="447" t="str">
        <f>IF(AND('Mapa final'!$K$34="Muy Baja",'Mapa final'!$O$34="Leve"),CONCATENATE("R",'Mapa final'!$A$34),"")</f>
        <v/>
      </c>
      <c r="K82" s="448"/>
      <c r="L82" s="448" t="str">
        <f>IF(AND('Mapa final'!$K$37="Muy Baja",'Mapa final'!$O$37="Leve"),CONCATENATE("R",'Mapa final'!$A$37),"")</f>
        <v/>
      </c>
      <c r="M82" s="448"/>
      <c r="N82" s="448" t="str">
        <f>IF(AND('Mapa final'!$K$41="Muy Baja",'Mapa final'!$O$41="Leve"),CONCATENATE("R",'Mapa final'!$A$41),"")</f>
        <v/>
      </c>
      <c r="O82" s="448"/>
      <c r="P82" s="448" t="str">
        <f>IF(AND('Mapa final'!$K$44="Muy Baja",'Mapa final'!$O$44="Leve"),CONCATENATE("R",'Mapa final'!$A$44),"")</f>
        <v/>
      </c>
      <c r="Q82" s="448"/>
      <c r="R82" s="448" t="str">
        <f>IF(AND('Mapa final'!$K$49="Muy Baja",'Mapa final'!$O$49="Leve"),CONCATENATE("R",'Mapa final'!$A$49),"")</f>
        <v/>
      </c>
      <c r="S82" s="449"/>
      <c r="T82" s="447" t="str">
        <f>IF(AND('Mapa final'!$K$34="Muy Baja",'Mapa final'!$O$34="Menor"),CONCATENATE("R",'Mapa final'!$A$34),"")</f>
        <v/>
      </c>
      <c r="U82" s="448"/>
      <c r="V82" s="448" t="str">
        <f>IF(AND('Mapa final'!$K$37="Muy Baja",'Mapa final'!$O$37="Menor"),CONCATENATE("R",'Mapa final'!$A$37),"")</f>
        <v/>
      </c>
      <c r="W82" s="448"/>
      <c r="X82" s="448" t="str">
        <f>IF(AND('Mapa final'!$K$41="Muy Baja",'Mapa final'!$O$41="Menor"),CONCATENATE("R",'Mapa final'!$A$41),"")</f>
        <v/>
      </c>
      <c r="Y82" s="448"/>
      <c r="Z82" s="448" t="str">
        <f>IF(AND('Mapa final'!$K$44="Muy Baja",'Mapa final'!$O$44="Menor"),CONCATENATE("R",'Mapa final'!$A$44),"")</f>
        <v/>
      </c>
      <c r="AA82" s="448"/>
      <c r="AB82" s="448" t="str">
        <f>IF(AND('Mapa final'!$K$49="Muy Baja",'Mapa final'!$O$49="Menor"),CONCATENATE("R",'Mapa final'!$A$49),"")</f>
        <v/>
      </c>
      <c r="AC82" s="449"/>
      <c r="AD82" s="455" t="str">
        <f>IF(AND('Mapa final'!$K$34="Muy Baja",'Mapa final'!$O$34="Moderado"),CONCATENATE("R",'Mapa final'!$A$34),"")</f>
        <v/>
      </c>
      <c r="AE82" s="453"/>
      <c r="AF82" s="453" t="str">
        <f>IF(AND('Mapa final'!$K$37="Muy Baja",'Mapa final'!$O$37="Moderado"),CONCATENATE("R",'Mapa final'!$A$37),"")</f>
        <v/>
      </c>
      <c r="AG82" s="453"/>
      <c r="AH82" s="453" t="str">
        <f>IF(AND('Mapa final'!$K$41="Muy Baja",'Mapa final'!$O$41="Moderado"),CONCATENATE("R",'Mapa final'!$A$41),"")</f>
        <v/>
      </c>
      <c r="AI82" s="453"/>
      <c r="AJ82" s="453" t="str">
        <f>IF(AND('Mapa final'!$K$44="Muy Baja",'Mapa final'!$O$44="Moderado"),CONCATENATE("R",'Mapa final'!$A$44),"")</f>
        <v/>
      </c>
      <c r="AK82" s="453"/>
      <c r="AL82" s="453" t="str">
        <f>IF(AND('Mapa final'!$K$49="Muy Baja",'Mapa final'!$O$49="Moderado"),CONCATENATE("R",'Mapa final'!$A$49),"")</f>
        <v>R14</v>
      </c>
      <c r="AM82" s="454"/>
      <c r="AN82" s="460" t="str">
        <f>IF(AND('Mapa final'!$K$34="Muy Baja",'Mapa final'!$O$34="Mayor"),CONCATENATE("R",'Mapa final'!$A$34),"")</f>
        <v/>
      </c>
      <c r="AO82" s="456"/>
      <c r="AP82" s="456" t="str">
        <f>IF(AND('Mapa final'!$K$37="Muy Baja",'Mapa final'!$O$37="Mayor"),CONCATENATE("R",'Mapa final'!$A$37),"")</f>
        <v/>
      </c>
      <c r="AQ82" s="456"/>
      <c r="AR82" s="456" t="str">
        <f>IF(AND('Mapa final'!$K$41="Muy Baja",'Mapa final'!$O$41="Mayor"),CONCATENATE("R",'Mapa final'!$A$41),"")</f>
        <v/>
      </c>
      <c r="AS82" s="456"/>
      <c r="AT82" s="456" t="str">
        <f>IF(AND('Mapa final'!$K$44="Muy Baja",'Mapa final'!$O$44="Mayor"),CONCATENATE("R",'Mapa final'!$A$44),"")</f>
        <v/>
      </c>
      <c r="AU82" s="456"/>
      <c r="AV82" s="456" t="str">
        <f>IF(AND('Mapa final'!$K$49="Muy Baja",'Mapa final'!$O$49="Mayor"),CONCATENATE("R",'Mapa final'!$A$49),"")</f>
        <v/>
      </c>
      <c r="AW82" s="457"/>
      <c r="AX82" s="452" t="str">
        <f>IF(AND('Mapa final'!$K$34="Muy Baja",'Mapa final'!$O$34="Catastrófico"),CONCATENATE("R",'Mapa final'!$A$34),"")</f>
        <v/>
      </c>
      <c r="AY82" s="450"/>
      <c r="AZ82" s="450" t="str">
        <f>IF(AND('Mapa final'!$K$37="Muy Baja",'Mapa final'!$O$37="Catastrófico"),CONCATENATE("R",'Mapa final'!$A$37),"")</f>
        <v/>
      </c>
      <c r="BA82" s="450"/>
      <c r="BB82" s="450" t="str">
        <f>IF(AND('Mapa final'!$K$41="Muy Baja",'Mapa final'!$O$41="Catastrófico"),CONCATENATE("R",'Mapa final'!$A$41),"")</f>
        <v/>
      </c>
      <c r="BC82" s="450"/>
      <c r="BD82" s="450" t="str">
        <f>IF(AND('Mapa final'!$K$44="Muy Baja",'Mapa final'!$O$44="Catastrófico"),CONCATENATE("R",'Mapa final'!$A$44),"")</f>
        <v/>
      </c>
      <c r="BE82" s="450"/>
      <c r="BF82" s="450" t="str">
        <f>IF(AND('Mapa final'!$K$49="Muy Baja",'Mapa final'!$O$49="Catastrófico"),CONCATENATE("R",'Mapa final'!$A$49),"")</f>
        <v/>
      </c>
      <c r="BG82" s="451"/>
      <c r="BH82" s="38"/>
      <c r="BI82" s="519"/>
      <c r="BJ82" s="520"/>
      <c r="BK82" s="520"/>
      <c r="BL82" s="520"/>
      <c r="BM82" s="520"/>
      <c r="BN82" s="521"/>
      <c r="BO82" s="38"/>
      <c r="BP82" s="38"/>
      <c r="BQ82" s="38"/>
      <c r="BR82" s="38"/>
      <c r="BS82" s="38"/>
      <c r="BT82" s="38"/>
      <c r="BU82" s="38"/>
      <c r="BV82" s="38"/>
      <c r="BW82" s="38"/>
      <c r="BX82" s="38"/>
      <c r="BY82" s="38"/>
      <c r="BZ82" s="38"/>
      <c r="CA82" s="38"/>
      <c r="CB82" s="38"/>
      <c r="CC82" s="38"/>
      <c r="CD82" s="38"/>
      <c r="CE82" s="38"/>
      <c r="CF82" s="38"/>
      <c r="CG82" s="38"/>
      <c r="CH82" s="38"/>
      <c r="CI82" s="38"/>
      <c r="CJ82" s="38"/>
      <c r="CK82" s="38"/>
      <c r="CL82" s="38"/>
      <c r="CM82" s="38"/>
      <c r="CN82" s="38"/>
      <c r="CO82" s="38"/>
      <c r="CP82" s="38"/>
      <c r="CQ82" s="38"/>
      <c r="CR82" s="38"/>
      <c r="CS82" s="38"/>
      <c r="CT82" s="38"/>
      <c r="CU82" s="38"/>
      <c r="CV82" s="38"/>
    </row>
    <row r="83" spans="1:100" ht="15" customHeight="1" x14ac:dyDescent="0.3">
      <c r="A83" s="38"/>
      <c r="B83" s="306"/>
      <c r="C83" s="307"/>
      <c r="D83" s="308"/>
      <c r="E83" s="527"/>
      <c r="F83" s="528"/>
      <c r="G83" s="528"/>
      <c r="H83" s="528"/>
      <c r="I83" s="530"/>
      <c r="J83" s="447"/>
      <c r="K83" s="448"/>
      <c r="L83" s="448"/>
      <c r="M83" s="448"/>
      <c r="N83" s="448"/>
      <c r="O83" s="448"/>
      <c r="P83" s="448"/>
      <c r="Q83" s="448"/>
      <c r="R83" s="448"/>
      <c r="S83" s="449"/>
      <c r="T83" s="447"/>
      <c r="U83" s="448"/>
      <c r="V83" s="448"/>
      <c r="W83" s="448"/>
      <c r="X83" s="448"/>
      <c r="Y83" s="448"/>
      <c r="Z83" s="448"/>
      <c r="AA83" s="448"/>
      <c r="AB83" s="448"/>
      <c r="AC83" s="449"/>
      <c r="AD83" s="455"/>
      <c r="AE83" s="453"/>
      <c r="AF83" s="453"/>
      <c r="AG83" s="453"/>
      <c r="AH83" s="453"/>
      <c r="AI83" s="453"/>
      <c r="AJ83" s="453"/>
      <c r="AK83" s="453"/>
      <c r="AL83" s="453"/>
      <c r="AM83" s="454"/>
      <c r="AN83" s="460"/>
      <c r="AO83" s="456"/>
      <c r="AP83" s="456"/>
      <c r="AQ83" s="456"/>
      <c r="AR83" s="456"/>
      <c r="AS83" s="456"/>
      <c r="AT83" s="456"/>
      <c r="AU83" s="456"/>
      <c r="AV83" s="456"/>
      <c r="AW83" s="457"/>
      <c r="AX83" s="452"/>
      <c r="AY83" s="450"/>
      <c r="AZ83" s="450"/>
      <c r="BA83" s="450"/>
      <c r="BB83" s="450"/>
      <c r="BC83" s="450"/>
      <c r="BD83" s="450"/>
      <c r="BE83" s="450"/>
      <c r="BF83" s="450"/>
      <c r="BG83" s="451"/>
      <c r="BH83" s="38"/>
      <c r="BI83" s="519"/>
      <c r="BJ83" s="520"/>
      <c r="BK83" s="520"/>
      <c r="BL83" s="520"/>
      <c r="BM83" s="520"/>
      <c r="BN83" s="521"/>
      <c r="BO83" s="38"/>
      <c r="BP83" s="38"/>
      <c r="BQ83" s="38"/>
      <c r="BR83" s="38"/>
      <c r="BS83" s="38"/>
      <c r="BT83" s="38"/>
      <c r="BU83" s="38"/>
      <c r="BV83" s="38"/>
      <c r="BW83" s="38"/>
      <c r="BX83" s="38"/>
      <c r="BY83" s="38"/>
      <c r="BZ83" s="38"/>
      <c r="CA83" s="38"/>
      <c r="CB83" s="38"/>
      <c r="CC83" s="38"/>
      <c r="CD83" s="38"/>
      <c r="CE83" s="38"/>
      <c r="CF83" s="38"/>
      <c r="CG83" s="38"/>
      <c r="CH83" s="38"/>
      <c r="CI83" s="38"/>
      <c r="CJ83" s="38"/>
      <c r="CK83" s="38"/>
      <c r="CL83" s="38"/>
      <c r="CM83" s="38"/>
      <c r="CN83" s="38"/>
      <c r="CO83" s="38"/>
      <c r="CP83" s="38"/>
      <c r="CQ83" s="38"/>
      <c r="CR83" s="38"/>
      <c r="CS83" s="38"/>
      <c r="CT83" s="38"/>
      <c r="CU83" s="38"/>
      <c r="CV83" s="38"/>
    </row>
    <row r="84" spans="1:100" ht="15" customHeight="1" x14ac:dyDescent="0.3">
      <c r="A84" s="38"/>
      <c r="B84" s="306"/>
      <c r="C84" s="307"/>
      <c r="D84" s="308"/>
      <c r="E84" s="527"/>
      <c r="F84" s="528"/>
      <c r="G84" s="528"/>
      <c r="H84" s="528"/>
      <c r="I84" s="530"/>
      <c r="J84" s="447" t="str">
        <f>IF(AND('Mapa final'!$K$52="Muy Baja",'Mapa final'!$O$52="Leve"),CONCATENATE("R",'Mapa final'!$A$52),"")</f>
        <v/>
      </c>
      <c r="K84" s="448"/>
      <c r="L84" s="448" t="str">
        <f>IF(AND('Mapa final'!$K$55="Muy Baja",'Mapa final'!$O$55="Leve"),CONCATENATE("R",'Mapa final'!$A$55),"")</f>
        <v/>
      </c>
      <c r="M84" s="448"/>
      <c r="N84" s="448" t="str">
        <f>IF(AND('Mapa final'!$K$58="Muy Baja",'Mapa final'!$O$58="Leve"),CONCATENATE("R",'Mapa final'!$A$58),"")</f>
        <v/>
      </c>
      <c r="O84" s="448"/>
      <c r="P84" s="448" t="str">
        <f>IF(AND('Mapa final'!$K$61="Muy Baja",'Mapa final'!$O$61="Leve"),CONCATENATE("R",'Mapa final'!$A$61),"")</f>
        <v/>
      </c>
      <c r="Q84" s="448"/>
      <c r="R84" s="448" t="str">
        <f>IF(AND('Mapa final'!$K$64="Muy Baja",'Mapa final'!$O$64="Leve"),CONCATENATE("R",'Mapa final'!$A$64),"")</f>
        <v/>
      </c>
      <c r="S84" s="449"/>
      <c r="T84" s="447" t="str">
        <f>IF(AND('Mapa final'!$K$52="Muy Baja",'Mapa final'!$O$52="Menor"),CONCATENATE("R",'Mapa final'!$A$52),"")</f>
        <v/>
      </c>
      <c r="U84" s="448"/>
      <c r="V84" s="448" t="str">
        <f>IF(AND('Mapa final'!$K$55="Muy Baja",'Mapa final'!$O$55="Menor"),CONCATENATE("R",'Mapa final'!$A$55),"")</f>
        <v/>
      </c>
      <c r="W84" s="448"/>
      <c r="X84" s="448" t="str">
        <f>IF(AND('Mapa final'!$K$58="Muy Baja",'Mapa final'!$O$58="Menor"),CONCATENATE("R",'Mapa final'!$A$58),"")</f>
        <v/>
      </c>
      <c r="Y84" s="448"/>
      <c r="Z84" s="448" t="str">
        <f>IF(AND('Mapa final'!$K$61="Muy Baja",'Mapa final'!$O$61="Menor"),CONCATENATE("R",'Mapa final'!$A$61),"")</f>
        <v/>
      </c>
      <c r="AA84" s="448"/>
      <c r="AB84" s="448" t="str">
        <f>IF(AND('Mapa final'!$K$64="Muy Baja",'Mapa final'!$O$64="Menor"),CONCATENATE("R",'Mapa final'!$A$64),"")</f>
        <v/>
      </c>
      <c r="AC84" s="449"/>
      <c r="AD84" s="455" t="str">
        <f>IF(AND('Mapa final'!$K$52="Muy Baja",'Mapa final'!$O$52="Moderado"),CONCATENATE("R",'Mapa final'!$A$52),"")</f>
        <v/>
      </c>
      <c r="AE84" s="453"/>
      <c r="AF84" s="453" t="str">
        <f>IF(AND('Mapa final'!$K$55="Muy Baja",'Mapa final'!$O$55="Moderado"),CONCATENATE("R",'Mapa final'!$A$55),"")</f>
        <v>R16</v>
      </c>
      <c r="AG84" s="453"/>
      <c r="AH84" s="453" t="str">
        <f>IF(AND('Mapa final'!$K$58="Muy Baja",'Mapa final'!$O$58="Moderado"),CONCATENATE("R",'Mapa final'!$A$58),"")</f>
        <v/>
      </c>
      <c r="AI84" s="453"/>
      <c r="AJ84" s="453" t="str">
        <f>IF(AND('Mapa final'!$K$61="Muy Baja",'Mapa final'!$O$61="Moderado"),CONCATENATE("R",'Mapa final'!$A$61),"")</f>
        <v/>
      </c>
      <c r="AK84" s="453"/>
      <c r="AL84" s="453" t="str">
        <f>IF(AND('Mapa final'!$K$64="Muy Baja",'Mapa final'!$O$64="Moderado"),CONCATENATE("R",'Mapa final'!$A$64),"")</f>
        <v/>
      </c>
      <c r="AM84" s="454"/>
      <c r="AN84" s="460" t="str">
        <f>IF(AND('Mapa final'!$K$52="Muy Baja",'Mapa final'!$O$52="Mayor"),CONCATENATE("R",'Mapa final'!$A$52),"")</f>
        <v/>
      </c>
      <c r="AO84" s="456"/>
      <c r="AP84" s="456" t="str">
        <f>IF(AND('Mapa final'!$K$55="Muy Baja",'Mapa final'!$O$55="Mayor"),CONCATENATE("R",'Mapa final'!$A$55),"")</f>
        <v/>
      </c>
      <c r="AQ84" s="456"/>
      <c r="AR84" s="456" t="str">
        <f>IF(AND('Mapa final'!$K$58="Muy Baja",'Mapa final'!$O$58="Mayor"),CONCATENATE("R",'Mapa final'!$A$58),"")</f>
        <v/>
      </c>
      <c r="AS84" s="456"/>
      <c r="AT84" s="456" t="str">
        <f>IF(AND('Mapa final'!$K$61="Muy Baja",'Mapa final'!$O$61="Mayor"),CONCATENATE("R",'Mapa final'!$A$61),"")</f>
        <v/>
      </c>
      <c r="AU84" s="456"/>
      <c r="AV84" s="456" t="str">
        <f>IF(AND('Mapa final'!$K$64="Muy Baja",'Mapa final'!$O$64="Mayor"),CONCATENATE("R",'Mapa final'!$A$64),"")</f>
        <v/>
      </c>
      <c r="AW84" s="457"/>
      <c r="AX84" s="452" t="str">
        <f>IF(AND('Mapa final'!$K$52="Muy Baja",'Mapa final'!$O$52="Catastrófico"),CONCATENATE("R",'Mapa final'!$A$52),"")</f>
        <v/>
      </c>
      <c r="AY84" s="450"/>
      <c r="AZ84" s="450" t="str">
        <f>IF(AND('Mapa final'!$K$55="Muy Baja",'Mapa final'!$O$55="Catastrófico"),CONCATENATE("R",'Mapa final'!$A$55),"")</f>
        <v/>
      </c>
      <c r="BA84" s="450"/>
      <c r="BB84" s="450" t="str">
        <f>IF(AND('Mapa final'!$K$58="Muy Baja",'Mapa final'!$O$58="Catastrófico"),CONCATENATE("R",'Mapa final'!$A$58),"")</f>
        <v/>
      </c>
      <c r="BC84" s="450"/>
      <c r="BD84" s="450" t="str">
        <f>IF(AND('Mapa final'!$K$61="Muy Baja",'Mapa final'!$O$61="Catastrófico"),CONCATENATE("R",'Mapa final'!$A$61),"")</f>
        <v/>
      </c>
      <c r="BE84" s="450"/>
      <c r="BF84" s="450" t="str">
        <f>IF(AND('Mapa final'!$K$64="Muy Baja",'Mapa final'!$O$64="Catastrófico"),CONCATENATE("R",'Mapa final'!$A$64),"")</f>
        <v/>
      </c>
      <c r="BG84" s="451"/>
      <c r="BH84" s="38"/>
      <c r="BI84" s="519"/>
      <c r="BJ84" s="520"/>
      <c r="BK84" s="520"/>
      <c r="BL84" s="520"/>
      <c r="BM84" s="520"/>
      <c r="BN84" s="521"/>
      <c r="BO84" s="38"/>
      <c r="BP84" s="38"/>
      <c r="BQ84" s="38"/>
      <c r="BR84" s="38"/>
      <c r="BS84" s="38"/>
      <c r="BT84" s="38"/>
      <c r="BU84" s="38"/>
      <c r="BV84" s="38"/>
      <c r="BW84" s="38"/>
      <c r="BX84" s="38"/>
      <c r="BY84" s="38"/>
      <c r="BZ84" s="38"/>
      <c r="CA84" s="38"/>
      <c r="CB84" s="38"/>
      <c r="CC84" s="38"/>
      <c r="CD84" s="38"/>
      <c r="CE84" s="38"/>
      <c r="CF84" s="38"/>
      <c r="CG84" s="38"/>
      <c r="CH84" s="38"/>
      <c r="CI84" s="38"/>
      <c r="CJ84" s="38"/>
      <c r="CK84" s="38"/>
      <c r="CL84" s="38"/>
      <c r="CM84" s="38"/>
      <c r="CN84" s="38"/>
      <c r="CO84" s="38"/>
      <c r="CP84" s="38"/>
      <c r="CQ84" s="38"/>
      <c r="CR84" s="38"/>
      <c r="CS84" s="38"/>
      <c r="CT84" s="38"/>
      <c r="CU84" s="38"/>
      <c r="CV84" s="38"/>
    </row>
    <row r="85" spans="1:100" ht="15" customHeight="1" x14ac:dyDescent="0.3">
      <c r="A85" s="38"/>
      <c r="B85" s="306"/>
      <c r="C85" s="307"/>
      <c r="D85" s="308"/>
      <c r="E85" s="527"/>
      <c r="F85" s="528"/>
      <c r="G85" s="528"/>
      <c r="H85" s="528"/>
      <c r="I85" s="530"/>
      <c r="J85" s="447"/>
      <c r="K85" s="448"/>
      <c r="L85" s="448"/>
      <c r="M85" s="448"/>
      <c r="N85" s="448"/>
      <c r="O85" s="448"/>
      <c r="P85" s="448"/>
      <c r="Q85" s="448"/>
      <c r="R85" s="448"/>
      <c r="S85" s="449"/>
      <c r="T85" s="447"/>
      <c r="U85" s="448"/>
      <c r="V85" s="448"/>
      <c r="W85" s="448"/>
      <c r="X85" s="448"/>
      <c r="Y85" s="448"/>
      <c r="Z85" s="448"/>
      <c r="AA85" s="448"/>
      <c r="AB85" s="448"/>
      <c r="AC85" s="449"/>
      <c r="AD85" s="455"/>
      <c r="AE85" s="453"/>
      <c r="AF85" s="453"/>
      <c r="AG85" s="453"/>
      <c r="AH85" s="453"/>
      <c r="AI85" s="453"/>
      <c r="AJ85" s="453"/>
      <c r="AK85" s="453"/>
      <c r="AL85" s="453"/>
      <c r="AM85" s="454"/>
      <c r="AN85" s="460"/>
      <c r="AO85" s="456"/>
      <c r="AP85" s="456"/>
      <c r="AQ85" s="456"/>
      <c r="AR85" s="456"/>
      <c r="AS85" s="456"/>
      <c r="AT85" s="456"/>
      <c r="AU85" s="456"/>
      <c r="AV85" s="456"/>
      <c r="AW85" s="457"/>
      <c r="AX85" s="452"/>
      <c r="AY85" s="450"/>
      <c r="AZ85" s="450"/>
      <c r="BA85" s="450"/>
      <c r="BB85" s="450"/>
      <c r="BC85" s="450"/>
      <c r="BD85" s="450"/>
      <c r="BE85" s="450"/>
      <c r="BF85" s="450"/>
      <c r="BG85" s="451"/>
      <c r="BH85" s="38"/>
      <c r="BI85" s="519"/>
      <c r="BJ85" s="520"/>
      <c r="BK85" s="520"/>
      <c r="BL85" s="520"/>
      <c r="BM85" s="520"/>
      <c r="BN85" s="521"/>
      <c r="BO85" s="38"/>
      <c r="BP85" s="38"/>
      <c r="BQ85" s="38"/>
      <c r="BR85" s="38"/>
      <c r="BS85" s="38"/>
      <c r="BT85" s="38"/>
      <c r="BU85" s="38"/>
      <c r="BV85" s="38"/>
      <c r="BW85" s="38"/>
      <c r="BX85" s="38"/>
      <c r="BY85" s="38"/>
      <c r="BZ85" s="38"/>
      <c r="CA85" s="38"/>
      <c r="CB85" s="38"/>
      <c r="CC85" s="38"/>
      <c r="CD85" s="38"/>
      <c r="CE85" s="38"/>
      <c r="CF85" s="38"/>
      <c r="CG85" s="38"/>
      <c r="CH85" s="38"/>
      <c r="CI85" s="38"/>
      <c r="CJ85" s="38"/>
      <c r="CK85" s="38"/>
      <c r="CL85" s="38"/>
      <c r="CM85" s="38"/>
      <c r="CN85" s="38"/>
      <c r="CO85" s="38"/>
      <c r="CP85" s="38"/>
      <c r="CQ85" s="38"/>
      <c r="CR85" s="38"/>
      <c r="CS85" s="38"/>
      <c r="CT85" s="38"/>
      <c r="CU85" s="38"/>
      <c r="CV85" s="38"/>
    </row>
    <row r="86" spans="1:100" ht="15" customHeight="1" x14ac:dyDescent="0.3">
      <c r="A86" s="38"/>
      <c r="B86" s="306"/>
      <c r="C86" s="307"/>
      <c r="D86" s="308"/>
      <c r="E86" s="527"/>
      <c r="F86" s="528"/>
      <c r="G86" s="528"/>
      <c r="H86" s="528"/>
      <c r="I86" s="530"/>
      <c r="J86" s="447" t="str">
        <f>IF(AND('Mapa final'!$K$67="Muy Baja",'Mapa final'!$O$67="Leve"),CONCATENATE("R",'Mapa final'!$A$67),"")</f>
        <v/>
      </c>
      <c r="K86" s="448"/>
      <c r="L86" s="448" t="str">
        <f>IF(AND('Mapa final'!$K$70="Muy Baja",'Mapa final'!$O$70="Leve"),CONCATENATE("R",'Mapa final'!$A$70),"")</f>
        <v/>
      </c>
      <c r="M86" s="448"/>
      <c r="N86" s="448" t="str">
        <f>IF(AND('Mapa final'!$K$73="Muy Baja",'Mapa final'!$O$73="Leve"),CONCATENATE("R",'Mapa final'!$A$73),"")</f>
        <v/>
      </c>
      <c r="O86" s="448"/>
      <c r="P86" s="448" t="str">
        <f>IF(AND('Mapa final'!$K$76="Muy Baja",'Mapa final'!$O$76="Leve"),CONCATENATE("R",'Mapa final'!$A$76),"")</f>
        <v/>
      </c>
      <c r="Q86" s="448"/>
      <c r="R86" s="448" t="str">
        <f>IF(AND('Mapa final'!$K$79="Muy Baja",'Mapa final'!$O$79="Leve"),CONCATENATE("R",'Mapa final'!$A$79),"")</f>
        <v/>
      </c>
      <c r="S86" s="449"/>
      <c r="T86" s="447" t="str">
        <f>IF(AND('Mapa final'!$K$67="Muy Baja",'Mapa final'!$O$67="Menor"),CONCATENATE("R",'Mapa final'!$A$67),"")</f>
        <v/>
      </c>
      <c r="U86" s="448"/>
      <c r="V86" s="448" t="str">
        <f>IF(AND('Mapa final'!$K$70="Muy Baja",'Mapa final'!$O$70="Menor"),CONCATENATE("R",'Mapa final'!$A$70),"")</f>
        <v/>
      </c>
      <c r="W86" s="448"/>
      <c r="X86" s="448" t="str">
        <f>IF(AND('Mapa final'!$K$73="Muy Baja",'Mapa final'!$O$73="Menor"),CONCATENATE("R",'Mapa final'!$A$73),"")</f>
        <v/>
      </c>
      <c r="Y86" s="448"/>
      <c r="Z86" s="448" t="str">
        <f>IF(AND('Mapa final'!$K$76="Muy Baja",'Mapa final'!$O$76="Menor"),CONCATENATE("R",'Mapa final'!$A$76),"")</f>
        <v/>
      </c>
      <c r="AA86" s="448"/>
      <c r="AB86" s="448" t="str">
        <f>IF(AND('Mapa final'!$K$79="Muy Baja",'Mapa final'!$O$79="Menor"),CONCATENATE("R",'Mapa final'!$A$79),"")</f>
        <v/>
      </c>
      <c r="AC86" s="449"/>
      <c r="AD86" s="455" t="str">
        <f>IF(AND('Mapa final'!$K$67="Muy Baja",'Mapa final'!$O$67="Moderado"),CONCATENATE("R",'Mapa final'!$A$67),"")</f>
        <v/>
      </c>
      <c r="AE86" s="453"/>
      <c r="AF86" s="453" t="str">
        <f>IF(AND('Mapa final'!$K$70="Muy Baja",'Mapa final'!$O$70="Moderado"),CONCATENATE("R",'Mapa final'!$A$70),"")</f>
        <v/>
      </c>
      <c r="AG86" s="453"/>
      <c r="AH86" s="453" t="str">
        <f>IF(AND('Mapa final'!$K$73="Muy Baja",'Mapa final'!$O$73="Moderado"),CONCATENATE("R",'Mapa final'!$A$73),"")</f>
        <v/>
      </c>
      <c r="AI86" s="453"/>
      <c r="AJ86" s="453" t="str">
        <f>IF(AND('Mapa final'!$K$76="Muy Baja",'Mapa final'!$O$76="Moderado"),CONCATENATE("R",'Mapa final'!$A$76),"")</f>
        <v/>
      </c>
      <c r="AK86" s="453"/>
      <c r="AL86" s="453" t="str">
        <f>IF(AND('Mapa final'!$K$79="Muy Baja",'Mapa final'!$O$79="Moderado"),CONCATENATE("R",'Mapa final'!$A$79),"")</f>
        <v/>
      </c>
      <c r="AM86" s="454"/>
      <c r="AN86" s="460" t="str">
        <f>IF(AND('Mapa final'!$K$67="Muy Baja",'Mapa final'!$O$67="Mayor"),CONCATENATE("R",'Mapa final'!$A$67),"")</f>
        <v/>
      </c>
      <c r="AO86" s="456"/>
      <c r="AP86" s="456" t="str">
        <f>IF(AND('Mapa final'!$K$70="Muy Baja",'Mapa final'!$O$70="Mayor"),CONCATENATE("R",'Mapa final'!$A$70),"")</f>
        <v/>
      </c>
      <c r="AQ86" s="456"/>
      <c r="AR86" s="456" t="str">
        <f>IF(AND('Mapa final'!$K$73="Muy Baja",'Mapa final'!$O$73="Mayor"),CONCATENATE("R",'Mapa final'!$A$73),"")</f>
        <v/>
      </c>
      <c r="AS86" s="456"/>
      <c r="AT86" s="456" t="str">
        <f>IF(AND('Mapa final'!$K$76="Muy Baja",'Mapa final'!$O$76="Mayor"),CONCATENATE("R",'Mapa final'!$A$76),"")</f>
        <v/>
      </c>
      <c r="AU86" s="456"/>
      <c r="AV86" s="456" t="str">
        <f>IF(AND('Mapa final'!$K$79="Muy Baja",'Mapa final'!$O$79="Mayor"),CONCATENATE("R",'Mapa final'!$A$79),"")</f>
        <v/>
      </c>
      <c r="AW86" s="457"/>
      <c r="AX86" s="452" t="str">
        <f>IF(AND('Mapa final'!$K$67="Muy Baja",'Mapa final'!$O$67="Catastrófico"),CONCATENATE("R",'Mapa final'!$A$67),"")</f>
        <v/>
      </c>
      <c r="AY86" s="450"/>
      <c r="AZ86" s="450" t="str">
        <f>IF(AND('Mapa final'!$K$70="Muy Baja",'Mapa final'!$O$70="Catastrófico"),CONCATENATE("R",'Mapa final'!$A$70),"")</f>
        <v/>
      </c>
      <c r="BA86" s="450"/>
      <c r="BB86" s="450" t="str">
        <f>IF(AND('Mapa final'!$K$73="Muy Baja",'Mapa final'!$O$73="Catastrófico"),CONCATENATE("R",'Mapa final'!$A$73),"")</f>
        <v/>
      </c>
      <c r="BC86" s="450"/>
      <c r="BD86" s="450" t="str">
        <f>IF(AND('Mapa final'!$K$76="Muy Baja",'Mapa final'!$O$76="Catastrófico"),CONCATENATE("R",'Mapa final'!$A$76),"")</f>
        <v/>
      </c>
      <c r="BE86" s="450"/>
      <c r="BF86" s="450" t="str">
        <f>IF(AND('Mapa final'!$K$79="Muy Baja",'Mapa final'!$O$79="Catastrófico"),CONCATENATE("R",'Mapa final'!$A$79),"")</f>
        <v/>
      </c>
      <c r="BG86" s="451"/>
      <c r="BH86" s="38"/>
      <c r="BI86" s="519"/>
      <c r="BJ86" s="520"/>
      <c r="BK86" s="520"/>
      <c r="BL86" s="520"/>
      <c r="BM86" s="520"/>
      <c r="BN86" s="521"/>
      <c r="BO86" s="38"/>
      <c r="BP86" s="38"/>
      <c r="BQ86" s="38"/>
      <c r="BR86" s="38"/>
      <c r="BS86" s="38"/>
      <c r="BT86" s="38"/>
      <c r="BU86" s="38"/>
      <c r="BV86" s="38"/>
      <c r="BW86" s="38"/>
      <c r="BX86" s="38"/>
      <c r="BY86" s="38"/>
      <c r="BZ86" s="38"/>
      <c r="CA86" s="38"/>
      <c r="CB86" s="38"/>
      <c r="CC86" s="38"/>
      <c r="CD86" s="38"/>
      <c r="CE86" s="38"/>
      <c r="CF86" s="38"/>
      <c r="CG86" s="38"/>
      <c r="CH86" s="38"/>
      <c r="CI86" s="38"/>
      <c r="CJ86" s="38"/>
      <c r="CK86" s="38"/>
      <c r="CL86" s="38"/>
      <c r="CM86" s="38"/>
      <c r="CN86" s="38"/>
      <c r="CO86" s="38"/>
      <c r="CP86" s="38"/>
      <c r="CQ86" s="38"/>
      <c r="CR86" s="38"/>
      <c r="CS86" s="38"/>
      <c r="CT86" s="38"/>
      <c r="CU86" s="38"/>
      <c r="CV86" s="38"/>
    </row>
    <row r="87" spans="1:100" ht="15" customHeight="1" x14ac:dyDescent="0.3">
      <c r="A87" s="38"/>
      <c r="B87" s="306"/>
      <c r="C87" s="307"/>
      <c r="D87" s="308"/>
      <c r="E87" s="527"/>
      <c r="F87" s="528"/>
      <c r="G87" s="528"/>
      <c r="H87" s="528"/>
      <c r="I87" s="530"/>
      <c r="J87" s="447"/>
      <c r="K87" s="448"/>
      <c r="L87" s="448"/>
      <c r="M87" s="448"/>
      <c r="N87" s="448"/>
      <c r="O87" s="448"/>
      <c r="P87" s="448"/>
      <c r="Q87" s="448"/>
      <c r="R87" s="448"/>
      <c r="S87" s="449"/>
      <c r="T87" s="447"/>
      <c r="U87" s="448"/>
      <c r="V87" s="448"/>
      <c r="W87" s="448"/>
      <c r="X87" s="448"/>
      <c r="Y87" s="448"/>
      <c r="Z87" s="448"/>
      <c r="AA87" s="448"/>
      <c r="AB87" s="448"/>
      <c r="AC87" s="449"/>
      <c r="AD87" s="455"/>
      <c r="AE87" s="453"/>
      <c r="AF87" s="453"/>
      <c r="AG87" s="453"/>
      <c r="AH87" s="453"/>
      <c r="AI87" s="453"/>
      <c r="AJ87" s="453"/>
      <c r="AK87" s="453"/>
      <c r="AL87" s="453"/>
      <c r="AM87" s="454"/>
      <c r="AN87" s="460"/>
      <c r="AO87" s="456"/>
      <c r="AP87" s="456"/>
      <c r="AQ87" s="456"/>
      <c r="AR87" s="456"/>
      <c r="AS87" s="456"/>
      <c r="AT87" s="456"/>
      <c r="AU87" s="456"/>
      <c r="AV87" s="456"/>
      <c r="AW87" s="457"/>
      <c r="AX87" s="452"/>
      <c r="AY87" s="450"/>
      <c r="AZ87" s="450"/>
      <c r="BA87" s="450"/>
      <c r="BB87" s="450"/>
      <c r="BC87" s="450"/>
      <c r="BD87" s="450"/>
      <c r="BE87" s="450"/>
      <c r="BF87" s="450"/>
      <c r="BG87" s="451"/>
      <c r="BH87" s="38"/>
      <c r="BI87" s="519"/>
      <c r="BJ87" s="520"/>
      <c r="BK87" s="520"/>
      <c r="BL87" s="520"/>
      <c r="BM87" s="520"/>
      <c r="BN87" s="521"/>
      <c r="BO87" s="38"/>
      <c r="BP87" s="38"/>
      <c r="BQ87" s="38"/>
      <c r="BR87" s="38"/>
      <c r="BS87" s="38"/>
      <c r="BT87" s="38"/>
      <c r="BU87" s="38"/>
      <c r="BV87" s="38"/>
      <c r="BW87" s="38"/>
      <c r="BX87" s="38"/>
      <c r="BY87" s="38"/>
      <c r="BZ87" s="38"/>
      <c r="CA87" s="38"/>
      <c r="CB87" s="38"/>
      <c r="CC87" s="38"/>
      <c r="CD87" s="38"/>
      <c r="CE87" s="38"/>
      <c r="CF87" s="38"/>
      <c r="CG87" s="38"/>
      <c r="CH87" s="38"/>
      <c r="CI87" s="38"/>
      <c r="CJ87" s="38"/>
      <c r="CK87" s="38"/>
      <c r="CL87" s="38"/>
      <c r="CM87" s="38"/>
      <c r="CN87" s="38"/>
      <c r="CO87" s="38"/>
      <c r="CP87" s="38"/>
      <c r="CQ87" s="38"/>
      <c r="CR87" s="38"/>
      <c r="CS87" s="38"/>
      <c r="CT87" s="38"/>
      <c r="CU87" s="38"/>
      <c r="CV87" s="38"/>
    </row>
    <row r="88" spans="1:100" ht="15" customHeight="1" x14ac:dyDescent="0.3">
      <c r="A88" s="38"/>
      <c r="B88" s="306"/>
      <c r="C88" s="307"/>
      <c r="D88" s="308"/>
      <c r="E88" s="527"/>
      <c r="F88" s="528"/>
      <c r="G88" s="528"/>
      <c r="H88" s="528"/>
      <c r="I88" s="530"/>
      <c r="J88" s="447" t="str">
        <f>IF(AND('Mapa final'!$K$82="Muy Baja",'Mapa final'!$O$82="Leve"),CONCATENATE("R",'Mapa final'!$A$82),"")</f>
        <v>R25</v>
      </c>
      <c r="K88" s="448"/>
      <c r="L88" s="448" t="str">
        <f>IF(AND('Mapa final'!$K$85="Muy Baja",'Mapa final'!$O$85="Leve"),CONCATENATE("R",'Mapa final'!$A$85),"")</f>
        <v/>
      </c>
      <c r="M88" s="448"/>
      <c r="N88" s="448" t="str">
        <f>IF(AND('Mapa final'!$K$88="Muy Baja",'Mapa final'!$O$88="Leve"),CONCATENATE("R",'Mapa final'!$A$88),"")</f>
        <v/>
      </c>
      <c r="O88" s="448"/>
      <c r="P88" s="448" t="str">
        <f>IF(AND('Mapa final'!$K$91="Muy Baja",'Mapa final'!$O$91="Leve"),CONCATENATE("R",'Mapa final'!$A$91),"")</f>
        <v/>
      </c>
      <c r="Q88" s="448"/>
      <c r="R88" s="448" t="str">
        <f>IF(AND('Mapa final'!$K$94="Muy Baja",'Mapa final'!$O$94="Leve"),CONCATENATE("R",'Mapa final'!$A$94),"")</f>
        <v/>
      </c>
      <c r="S88" s="449"/>
      <c r="T88" s="447" t="str">
        <f>IF(AND('Mapa final'!$K$82="Muy Baja",'Mapa final'!$O$82="Menor"),CONCATENATE("R",'Mapa final'!$A$82),"")</f>
        <v/>
      </c>
      <c r="U88" s="448"/>
      <c r="V88" s="448" t="str">
        <f>IF(AND('Mapa final'!$K$85="Muy Baja",'Mapa final'!$O$85="Menor"),CONCATENATE("R",'Mapa final'!$A$85),"")</f>
        <v/>
      </c>
      <c r="W88" s="448"/>
      <c r="X88" s="448" t="str">
        <f>IF(AND('Mapa final'!$K$88="Muy Baja",'Mapa final'!$O$88="Menor"),CONCATENATE("R",'Mapa final'!$A$88),"")</f>
        <v/>
      </c>
      <c r="Y88" s="448"/>
      <c r="Z88" s="448" t="str">
        <f>IF(AND('Mapa final'!$K$91="Muy Baja",'Mapa final'!$O$91="Menor"),CONCATENATE("R",'Mapa final'!$A$91),"")</f>
        <v/>
      </c>
      <c r="AA88" s="448"/>
      <c r="AB88" s="448" t="str">
        <f>IF(AND('Mapa final'!$K$94="Muy Baja",'Mapa final'!$O$94="Menor"),CONCATENATE("R",'Mapa final'!$A$94),"")</f>
        <v/>
      </c>
      <c r="AC88" s="449"/>
      <c r="AD88" s="455" t="str">
        <f>IF(AND('Mapa final'!$K$82="Muy Baja",'Mapa final'!$O$82="Moderado"),CONCATENATE("R",'Mapa final'!$A$82),"")</f>
        <v/>
      </c>
      <c r="AE88" s="453"/>
      <c r="AF88" s="453" t="str">
        <f>IF(AND('Mapa final'!$K$85="Muy Baja",'Mapa final'!$O$85="Moderado"),CONCATENATE("R",'Mapa final'!$A$85),"")</f>
        <v/>
      </c>
      <c r="AG88" s="453"/>
      <c r="AH88" s="453" t="str">
        <f>IF(AND('Mapa final'!$K$88="Muy Baja",'Mapa final'!$O$88="Moderado"),CONCATENATE("R",'Mapa final'!$A$88),"")</f>
        <v/>
      </c>
      <c r="AI88" s="453"/>
      <c r="AJ88" s="453" t="str">
        <f>IF(AND('Mapa final'!$K$91="Muy Baja",'Mapa final'!$O$91="Moderado"),CONCATENATE("R",'Mapa final'!$A$91),"")</f>
        <v/>
      </c>
      <c r="AK88" s="453"/>
      <c r="AL88" s="453" t="str">
        <f>IF(AND('Mapa final'!$K$94="Muy Baja",'Mapa final'!$O$94="Moderado"),CONCATENATE("R",'Mapa final'!$A$94),"")</f>
        <v/>
      </c>
      <c r="AM88" s="454"/>
      <c r="AN88" s="460" t="str">
        <f>IF(AND('Mapa final'!$K$82="Muy Baja",'Mapa final'!$O$82="Mayor"),CONCATENATE("R",'Mapa final'!$A$82),"")</f>
        <v/>
      </c>
      <c r="AO88" s="456"/>
      <c r="AP88" s="456" t="str">
        <f>IF(AND('Mapa final'!$K$85="Muy Baja",'Mapa final'!$O$85="Mayor"),CONCATENATE("R",'Mapa final'!$A$85),"")</f>
        <v/>
      </c>
      <c r="AQ88" s="456"/>
      <c r="AR88" s="456" t="str">
        <f>IF(AND('Mapa final'!$K$88="Muy Baja",'Mapa final'!$O$88="Mayor"),CONCATENATE("R",'Mapa final'!$A$88),"")</f>
        <v/>
      </c>
      <c r="AS88" s="456"/>
      <c r="AT88" s="456" t="str">
        <f>IF(AND('Mapa final'!$K$91="Muy Baja",'Mapa final'!$O$91="Mayor"),CONCATENATE("R",'Mapa final'!$A$91),"")</f>
        <v/>
      </c>
      <c r="AU88" s="456"/>
      <c r="AV88" s="456" t="str">
        <f>IF(AND('Mapa final'!$K$94="Muy Baja",'Mapa final'!$O$94="Mayor"),CONCATENATE("R",'Mapa final'!$A$94),"")</f>
        <v/>
      </c>
      <c r="AW88" s="457"/>
      <c r="AX88" s="452" t="str">
        <f>IF(AND('Mapa final'!$K$82="Muy Baja",'Mapa final'!$O$82="Catastrófico"),CONCATENATE("R",'Mapa final'!$A$82),"")</f>
        <v/>
      </c>
      <c r="AY88" s="450"/>
      <c r="AZ88" s="450" t="str">
        <f>IF(AND('Mapa final'!$K$85="Muy Baja",'Mapa final'!$O$85="Catastrófico"),CONCATENATE("R",'Mapa final'!$A$85),"")</f>
        <v/>
      </c>
      <c r="BA88" s="450"/>
      <c r="BB88" s="450" t="str">
        <f>IF(AND('Mapa final'!$K$88="Muy Baja",'Mapa final'!$O$88="Catastrófico"),CONCATENATE("R",'Mapa final'!$A$88),"")</f>
        <v/>
      </c>
      <c r="BC88" s="450"/>
      <c r="BD88" s="450" t="str">
        <f>IF(AND('Mapa final'!$K$91="Muy Baja",'Mapa final'!$O$91="Catastrófico"),CONCATENATE("R",'Mapa final'!$A$91),"")</f>
        <v/>
      </c>
      <c r="BE88" s="450"/>
      <c r="BF88" s="450" t="str">
        <f>IF(AND('Mapa final'!$K$94="Muy Baja",'Mapa final'!$O$94="Catastrófico"),CONCATENATE("R",'Mapa final'!$A$94),"")</f>
        <v/>
      </c>
      <c r="BG88" s="451"/>
      <c r="BH88" s="38"/>
      <c r="BI88" s="519"/>
      <c r="BJ88" s="520"/>
      <c r="BK88" s="520"/>
      <c r="BL88" s="520"/>
      <c r="BM88" s="520"/>
      <c r="BN88" s="521"/>
      <c r="BO88" s="38"/>
      <c r="BP88" s="38"/>
      <c r="BQ88" s="38"/>
      <c r="BR88" s="38"/>
      <c r="BS88" s="38"/>
      <c r="BT88" s="38"/>
      <c r="BU88" s="38"/>
      <c r="BV88" s="38"/>
      <c r="BW88" s="38"/>
      <c r="BX88" s="38"/>
      <c r="BY88" s="38"/>
      <c r="BZ88" s="38"/>
      <c r="CA88" s="38"/>
      <c r="CB88" s="38"/>
      <c r="CC88" s="38"/>
      <c r="CD88" s="38"/>
      <c r="CE88" s="38"/>
      <c r="CF88" s="38"/>
      <c r="CG88" s="38"/>
      <c r="CH88" s="38"/>
      <c r="CI88" s="38"/>
      <c r="CJ88" s="38"/>
      <c r="CK88" s="38"/>
      <c r="CL88" s="38"/>
      <c r="CM88" s="38"/>
      <c r="CN88" s="38"/>
      <c r="CO88" s="38"/>
      <c r="CP88" s="38"/>
      <c r="CQ88" s="38"/>
      <c r="CR88" s="38"/>
      <c r="CS88" s="38"/>
      <c r="CT88" s="38"/>
      <c r="CU88" s="38"/>
      <c r="CV88" s="38"/>
    </row>
    <row r="89" spans="1:100" ht="15" customHeight="1" thickBot="1" x14ac:dyDescent="0.35">
      <c r="A89" s="38"/>
      <c r="B89" s="306"/>
      <c r="C89" s="307"/>
      <c r="D89" s="308"/>
      <c r="E89" s="527"/>
      <c r="F89" s="528"/>
      <c r="G89" s="528"/>
      <c r="H89" s="528"/>
      <c r="I89" s="530"/>
      <c r="J89" s="447"/>
      <c r="K89" s="448"/>
      <c r="L89" s="448"/>
      <c r="M89" s="448"/>
      <c r="N89" s="448"/>
      <c r="O89" s="448"/>
      <c r="P89" s="448"/>
      <c r="Q89" s="448"/>
      <c r="R89" s="448"/>
      <c r="S89" s="449"/>
      <c r="T89" s="447"/>
      <c r="U89" s="448"/>
      <c r="V89" s="448"/>
      <c r="W89" s="448"/>
      <c r="X89" s="448"/>
      <c r="Y89" s="448"/>
      <c r="Z89" s="448"/>
      <c r="AA89" s="448"/>
      <c r="AB89" s="448"/>
      <c r="AC89" s="449"/>
      <c r="AD89" s="455"/>
      <c r="AE89" s="453"/>
      <c r="AF89" s="453"/>
      <c r="AG89" s="453"/>
      <c r="AH89" s="453"/>
      <c r="AI89" s="453"/>
      <c r="AJ89" s="453"/>
      <c r="AK89" s="453"/>
      <c r="AL89" s="453"/>
      <c r="AM89" s="454"/>
      <c r="AN89" s="460"/>
      <c r="AO89" s="456"/>
      <c r="AP89" s="456"/>
      <c r="AQ89" s="456"/>
      <c r="AR89" s="456"/>
      <c r="AS89" s="456"/>
      <c r="AT89" s="456"/>
      <c r="AU89" s="456"/>
      <c r="AV89" s="456"/>
      <c r="AW89" s="457"/>
      <c r="AX89" s="452"/>
      <c r="AY89" s="450"/>
      <c r="AZ89" s="450"/>
      <c r="BA89" s="450"/>
      <c r="BB89" s="450"/>
      <c r="BC89" s="450"/>
      <c r="BD89" s="450"/>
      <c r="BE89" s="450"/>
      <c r="BF89" s="450"/>
      <c r="BG89" s="451"/>
      <c r="BH89" s="38"/>
      <c r="BI89" s="522"/>
      <c r="BJ89" s="523"/>
      <c r="BK89" s="523"/>
      <c r="BL89" s="523"/>
      <c r="BM89" s="523"/>
      <c r="BN89" s="524"/>
      <c r="BO89" s="38"/>
      <c r="BP89" s="38"/>
      <c r="BQ89" s="38"/>
      <c r="BR89" s="38"/>
      <c r="BS89" s="38"/>
      <c r="BT89" s="38"/>
      <c r="BU89" s="38"/>
      <c r="BV89" s="38"/>
      <c r="BW89" s="38"/>
      <c r="BX89" s="38"/>
      <c r="BY89" s="38"/>
      <c r="BZ89" s="38"/>
      <c r="CA89" s="38"/>
      <c r="CB89" s="38"/>
      <c r="CC89" s="38"/>
      <c r="CD89" s="38"/>
      <c r="CE89" s="38"/>
      <c r="CF89" s="38"/>
      <c r="CG89" s="38"/>
      <c r="CH89" s="38"/>
      <c r="CI89" s="38"/>
      <c r="CJ89" s="38"/>
      <c r="CK89" s="38"/>
      <c r="CL89" s="38"/>
      <c r="CM89" s="38"/>
      <c r="CN89" s="38"/>
      <c r="CO89" s="38"/>
      <c r="CP89" s="38"/>
      <c r="CQ89" s="38"/>
      <c r="CR89" s="38"/>
      <c r="CS89" s="38"/>
      <c r="CT89" s="38"/>
      <c r="CU89" s="38"/>
      <c r="CV89" s="38"/>
    </row>
    <row r="90" spans="1:100" ht="15" customHeight="1" x14ac:dyDescent="0.3">
      <c r="A90" s="38"/>
      <c r="B90" s="306"/>
      <c r="C90" s="307"/>
      <c r="D90" s="308"/>
      <c r="E90" s="527"/>
      <c r="F90" s="528"/>
      <c r="G90" s="528"/>
      <c r="H90" s="528"/>
      <c r="I90" s="530"/>
      <c r="J90" s="447" t="str">
        <f>IF(AND('Mapa final'!$K$97="Muy Baja",'Mapa final'!$O$97="Leve"),CONCATENATE("R",'Mapa final'!$A$97),"")</f>
        <v/>
      </c>
      <c r="K90" s="448"/>
      <c r="L90" s="448" t="str">
        <f>IF(AND('Mapa final'!$K$100="Muy Baja",'Mapa final'!$O$100="Leve"),CONCATENATE("R",'Mapa final'!$A$100),"")</f>
        <v/>
      </c>
      <c r="M90" s="448"/>
      <c r="N90" s="448" t="str">
        <f>IF(AND('Mapa final'!$K$103="Muy Baja",'Mapa final'!$O$103="Leve"),CONCATENATE("R",'Mapa final'!$A$103),"")</f>
        <v/>
      </c>
      <c r="O90" s="448"/>
      <c r="P90" s="448" t="str">
        <f>IF(AND('Mapa final'!$K$106="Muy Baja",'Mapa final'!$O$106="Leve"),CONCATENATE("R",'Mapa final'!$A$106),"")</f>
        <v/>
      </c>
      <c r="Q90" s="448"/>
      <c r="R90" s="448" t="str">
        <f>IF(AND('Mapa final'!$K$109="Muy Baja",'Mapa final'!$O$109="Leve"),CONCATENATE("R",'Mapa final'!$A$109),"")</f>
        <v/>
      </c>
      <c r="S90" s="449"/>
      <c r="T90" s="447" t="str">
        <f>IF(AND('Mapa final'!$K$97="Muy Baja",'Mapa final'!$O$97="Menor"),CONCATENATE("R",'Mapa final'!$A$97),"")</f>
        <v/>
      </c>
      <c r="U90" s="448"/>
      <c r="V90" s="448" t="str">
        <f>IF(AND('Mapa final'!$K$100="Muy Baja",'Mapa final'!$O$100="Menor"),CONCATENATE("R",'Mapa final'!$A$100),"")</f>
        <v/>
      </c>
      <c r="W90" s="448"/>
      <c r="X90" s="448" t="str">
        <f>IF(AND('Mapa final'!$K$103="Muy Baja",'Mapa final'!$O$103="Menor"),CONCATENATE("R",'Mapa final'!$A$103),"")</f>
        <v/>
      </c>
      <c r="Y90" s="448"/>
      <c r="Z90" s="448" t="str">
        <f>IF(AND('Mapa final'!$K$106="Muy Baja",'Mapa final'!$O$106="Menor"),CONCATENATE("R",'Mapa final'!$A$106),"")</f>
        <v/>
      </c>
      <c r="AA90" s="448"/>
      <c r="AB90" s="448" t="str">
        <f>IF(AND('Mapa final'!$K$109="Muy Baja",'Mapa final'!$O$109="Menor"),CONCATENATE("R",'Mapa final'!$A$109),"")</f>
        <v/>
      </c>
      <c r="AC90" s="449"/>
      <c r="AD90" s="455" t="str">
        <f>IF(AND('Mapa final'!$K$97="Muy Baja",'Mapa final'!$O$97="Moderado"),CONCATENATE("R",'Mapa final'!$A$97),"")</f>
        <v/>
      </c>
      <c r="AE90" s="453"/>
      <c r="AF90" s="453" t="str">
        <f>IF(AND('Mapa final'!$K$100="Muy Baja",'Mapa final'!$O$100="Moderado"),CONCATENATE("R",'Mapa final'!$A$100),"")</f>
        <v/>
      </c>
      <c r="AG90" s="453"/>
      <c r="AH90" s="453" t="str">
        <f>IF(AND('Mapa final'!$K$103="Muy Baja",'Mapa final'!$O$103="Moderado"),CONCATENATE("R",'Mapa final'!$A$103),"")</f>
        <v/>
      </c>
      <c r="AI90" s="453"/>
      <c r="AJ90" s="453" t="str">
        <f>IF(AND('Mapa final'!$K$106="Muy Baja",'Mapa final'!$O$106="Moderado"),CONCATENATE("R",'Mapa final'!$A$106),"")</f>
        <v/>
      </c>
      <c r="AK90" s="453"/>
      <c r="AL90" s="453" t="str">
        <f>IF(AND('Mapa final'!$K$109="Muy Baja",'Mapa final'!$O$109="Moderado"),CONCATENATE("R",'Mapa final'!$A$109),"")</f>
        <v/>
      </c>
      <c r="AM90" s="454"/>
      <c r="AN90" s="460" t="str">
        <f>IF(AND('Mapa final'!$K$97="Muy Baja",'Mapa final'!$O$97="Mayor"),CONCATENATE("R",'Mapa final'!$A$97),"")</f>
        <v/>
      </c>
      <c r="AO90" s="456"/>
      <c r="AP90" s="456" t="str">
        <f>IF(AND('Mapa final'!$K$100="Muy Baja",'Mapa final'!$O$100="Mayor"),CONCATENATE("R",'Mapa final'!$A$100),"")</f>
        <v/>
      </c>
      <c r="AQ90" s="456"/>
      <c r="AR90" s="456" t="str">
        <f>IF(AND('Mapa final'!$K$103="Muy Baja",'Mapa final'!$O$103="Mayor"),CONCATENATE("R",'Mapa final'!$A$103),"")</f>
        <v/>
      </c>
      <c r="AS90" s="456"/>
      <c r="AT90" s="456" t="str">
        <f>IF(AND('Mapa final'!$K$106="Muy Baja",'Mapa final'!$O$106="Mayor"),CONCATENATE("R",'Mapa final'!$A$106),"")</f>
        <v/>
      </c>
      <c r="AU90" s="456"/>
      <c r="AV90" s="456" t="str">
        <f>IF(AND('Mapa final'!$K$109="Muy Baja",'Mapa final'!$O$109="Mayor"),CONCATENATE("R",'Mapa final'!$A$109),"")</f>
        <v/>
      </c>
      <c r="AW90" s="457"/>
      <c r="AX90" s="452" t="str">
        <f>IF(AND('Mapa final'!$K$97="Muy Baja",'Mapa final'!$O$97="Catastrófico"),CONCATENATE("R",'Mapa final'!$A$97),"")</f>
        <v/>
      </c>
      <c r="AY90" s="450"/>
      <c r="AZ90" s="450" t="str">
        <f>IF(AND('Mapa final'!$K$100="Muy Baja",'Mapa final'!$O$100="Catastrófico"),CONCATENATE("R",'Mapa final'!$A$100),"")</f>
        <v/>
      </c>
      <c r="BA90" s="450"/>
      <c r="BB90" s="450" t="str">
        <f>IF(AND('Mapa final'!$K$103="Muy Baja",'Mapa final'!$O$103="Catastrófico"),CONCATENATE("R",'Mapa final'!$A$103),"")</f>
        <v/>
      </c>
      <c r="BC90" s="450"/>
      <c r="BD90" s="450" t="str">
        <f>IF(AND('Mapa final'!$K$106="Muy Baja",'Mapa final'!$O$106="Catastrófico"),CONCATENATE("R",'Mapa final'!$A$106),"")</f>
        <v/>
      </c>
      <c r="BE90" s="450"/>
      <c r="BF90" s="450" t="str">
        <f>IF(AND('Mapa final'!$K$109="Muy Baja",'Mapa final'!$O$109="Catastrófico"),CONCATENATE("R",'Mapa final'!$A$109),"")</f>
        <v/>
      </c>
      <c r="BG90" s="451"/>
      <c r="BH90" s="38"/>
      <c r="BI90" s="38"/>
      <c r="BJ90" s="38"/>
      <c r="BK90" s="38"/>
      <c r="BL90" s="38"/>
      <c r="BM90" s="38"/>
      <c r="BN90" s="38"/>
      <c r="BO90" s="38"/>
      <c r="BP90" s="38"/>
      <c r="BQ90" s="38"/>
      <c r="BR90" s="38"/>
      <c r="BS90" s="38"/>
      <c r="BT90" s="38"/>
      <c r="BU90" s="38"/>
      <c r="BV90" s="38"/>
      <c r="BW90" s="38"/>
      <c r="BX90" s="38"/>
      <c r="BY90" s="38"/>
      <c r="BZ90" s="38"/>
      <c r="CA90" s="38"/>
      <c r="CB90" s="38"/>
      <c r="CC90" s="38"/>
      <c r="CD90" s="38"/>
      <c r="CE90" s="38"/>
      <c r="CF90" s="38"/>
      <c r="CG90" s="38"/>
      <c r="CH90" s="38"/>
      <c r="CI90" s="38"/>
      <c r="CJ90" s="38"/>
      <c r="CK90" s="38"/>
      <c r="CL90" s="38"/>
      <c r="CM90" s="38"/>
      <c r="CN90" s="38"/>
      <c r="CO90" s="38"/>
      <c r="CP90" s="38"/>
      <c r="CQ90" s="38"/>
      <c r="CR90" s="38"/>
      <c r="CS90" s="38"/>
      <c r="CT90" s="38"/>
      <c r="CU90" s="38"/>
      <c r="CV90" s="38"/>
    </row>
    <row r="91" spans="1:100" ht="15" customHeight="1" x14ac:dyDescent="0.3">
      <c r="A91" s="38"/>
      <c r="B91" s="306"/>
      <c r="C91" s="307"/>
      <c r="D91" s="308"/>
      <c r="E91" s="527"/>
      <c r="F91" s="528"/>
      <c r="G91" s="528"/>
      <c r="H91" s="528"/>
      <c r="I91" s="530"/>
      <c r="J91" s="447"/>
      <c r="K91" s="448"/>
      <c r="L91" s="448"/>
      <c r="M91" s="448"/>
      <c r="N91" s="448"/>
      <c r="O91" s="448"/>
      <c r="P91" s="448"/>
      <c r="Q91" s="448"/>
      <c r="R91" s="448"/>
      <c r="S91" s="449"/>
      <c r="T91" s="447"/>
      <c r="U91" s="448"/>
      <c r="V91" s="448"/>
      <c r="W91" s="448"/>
      <c r="X91" s="448"/>
      <c r="Y91" s="448"/>
      <c r="Z91" s="448"/>
      <c r="AA91" s="448"/>
      <c r="AB91" s="448"/>
      <c r="AC91" s="449"/>
      <c r="AD91" s="455"/>
      <c r="AE91" s="453"/>
      <c r="AF91" s="453"/>
      <c r="AG91" s="453"/>
      <c r="AH91" s="453"/>
      <c r="AI91" s="453"/>
      <c r="AJ91" s="453"/>
      <c r="AK91" s="453"/>
      <c r="AL91" s="453"/>
      <c r="AM91" s="454"/>
      <c r="AN91" s="460"/>
      <c r="AO91" s="456"/>
      <c r="AP91" s="456"/>
      <c r="AQ91" s="456"/>
      <c r="AR91" s="456"/>
      <c r="AS91" s="456"/>
      <c r="AT91" s="456"/>
      <c r="AU91" s="456"/>
      <c r="AV91" s="456"/>
      <c r="AW91" s="457"/>
      <c r="AX91" s="452"/>
      <c r="AY91" s="450"/>
      <c r="AZ91" s="450"/>
      <c r="BA91" s="450"/>
      <c r="BB91" s="450"/>
      <c r="BC91" s="450"/>
      <c r="BD91" s="450"/>
      <c r="BE91" s="450"/>
      <c r="BF91" s="450"/>
      <c r="BG91" s="451"/>
      <c r="BH91" s="38"/>
      <c r="BI91" s="38"/>
      <c r="BJ91" s="38"/>
      <c r="BK91" s="38"/>
      <c r="BL91" s="38"/>
      <c r="BM91" s="38"/>
      <c r="BN91" s="38"/>
      <c r="BO91" s="38"/>
      <c r="BP91" s="38"/>
      <c r="BQ91" s="38"/>
      <c r="BR91" s="38"/>
      <c r="BS91" s="38"/>
      <c r="BT91" s="38"/>
      <c r="BU91" s="38"/>
      <c r="BV91" s="38"/>
      <c r="BW91" s="38"/>
      <c r="BX91" s="38"/>
      <c r="BY91" s="38"/>
      <c r="BZ91" s="38"/>
      <c r="CA91" s="38"/>
      <c r="CB91" s="38"/>
      <c r="CC91" s="38"/>
      <c r="CD91" s="38"/>
      <c r="CE91" s="38"/>
      <c r="CF91" s="38"/>
      <c r="CG91" s="38"/>
      <c r="CH91" s="38"/>
      <c r="CI91" s="38"/>
      <c r="CJ91" s="38"/>
      <c r="CK91" s="38"/>
      <c r="CL91" s="38"/>
      <c r="CM91" s="38"/>
      <c r="CN91" s="38"/>
      <c r="CO91" s="38"/>
      <c r="CP91" s="38"/>
      <c r="CQ91" s="38"/>
      <c r="CR91" s="38"/>
      <c r="CS91" s="38"/>
      <c r="CT91" s="38"/>
      <c r="CU91" s="38"/>
      <c r="CV91" s="38"/>
    </row>
    <row r="92" spans="1:100" ht="15" customHeight="1" x14ac:dyDescent="0.3">
      <c r="A92" s="38"/>
      <c r="B92" s="306"/>
      <c r="C92" s="307"/>
      <c r="D92" s="308"/>
      <c r="E92" s="527"/>
      <c r="F92" s="528"/>
      <c r="G92" s="528"/>
      <c r="H92" s="528"/>
      <c r="I92" s="530"/>
      <c r="J92" s="447" t="str">
        <f>IF(AND('Mapa final'!$K$112="Muy Baja",'Mapa final'!$O$112="Leve"),CONCATENATE("R",'Mapa final'!$A$112),"")</f>
        <v/>
      </c>
      <c r="K92" s="448"/>
      <c r="L92" s="448" t="str">
        <f>IF(AND('Mapa final'!$K$115="Muy Baja",'Mapa final'!$O$115="Leve"),CONCATENATE("R",'Mapa final'!$A$115),"")</f>
        <v/>
      </c>
      <c r="M92" s="448"/>
      <c r="N92" s="448" t="str">
        <f>IF(AND('Mapa final'!$K$118="Muy Baja",'Mapa final'!$O$118="Leve"),CONCATENATE("R",'Mapa final'!$A$118),"")</f>
        <v/>
      </c>
      <c r="O92" s="448"/>
      <c r="P92" s="448" t="str">
        <f>IF(AND('Mapa final'!$K$121="Muy Baja",'Mapa final'!$O$121="Leve"),CONCATENATE("R",'Mapa final'!$A$121),"")</f>
        <v/>
      </c>
      <c r="Q92" s="448"/>
      <c r="R92" s="448" t="str">
        <f>IF(AND('Mapa final'!$K$124="Muy Baja",'Mapa final'!$O$124="Leve"),CONCATENATE("R",'Mapa final'!$A$124),"")</f>
        <v/>
      </c>
      <c r="S92" s="449"/>
      <c r="T92" s="447" t="str">
        <f>IF(AND('Mapa final'!$K$112="Muy Baja",'Mapa final'!$O$112="Menor"),CONCATENATE("R",'Mapa final'!$A$112),"")</f>
        <v/>
      </c>
      <c r="U92" s="448"/>
      <c r="V92" s="448" t="str">
        <f>IF(AND('Mapa final'!$K$115="Muy Baja",'Mapa final'!$O$115="Menor"),CONCATENATE("R",'Mapa final'!$A$115),"")</f>
        <v/>
      </c>
      <c r="W92" s="448"/>
      <c r="X92" s="448" t="str">
        <f>IF(AND('Mapa final'!$K$118="Muy Baja",'Mapa final'!$O$118="Menor"),CONCATENATE("R",'Mapa final'!$A$118),"")</f>
        <v/>
      </c>
      <c r="Y92" s="448"/>
      <c r="Z92" s="448" t="str">
        <f>IF(AND('Mapa final'!$K$121="Muy Baja",'Mapa final'!$O$121="Menor"),CONCATENATE("R",'Mapa final'!$A$121),"")</f>
        <v/>
      </c>
      <c r="AA92" s="448"/>
      <c r="AB92" s="448" t="str">
        <f>IF(AND('Mapa final'!$K$124="Muy Baja",'Mapa final'!$O$124="Menor"),CONCATENATE("R",'Mapa final'!$A$124),"")</f>
        <v/>
      </c>
      <c r="AC92" s="449"/>
      <c r="AD92" s="455" t="str">
        <f>IF(AND('Mapa final'!$K$112="Muy Baja",'Mapa final'!$O$112="Moderado"),CONCATENATE("R",'Mapa final'!$A$112),"")</f>
        <v/>
      </c>
      <c r="AE92" s="453"/>
      <c r="AF92" s="453" t="str">
        <f>IF(AND('Mapa final'!$K$115="Muy Baja",'Mapa final'!$O$115="Moderado"),CONCATENATE("R",'Mapa final'!$A$115),"")</f>
        <v/>
      </c>
      <c r="AG92" s="453"/>
      <c r="AH92" s="453" t="str">
        <f>IF(AND('Mapa final'!$K$118="Muy Baja",'Mapa final'!$O$118="Moderado"),CONCATENATE("R",'Mapa final'!$A$118),"")</f>
        <v/>
      </c>
      <c r="AI92" s="453"/>
      <c r="AJ92" s="453" t="str">
        <f>IF(AND('Mapa final'!$K$121="Muy Baja",'Mapa final'!$O$121="Moderado"),CONCATENATE("R",'Mapa final'!$A$121),"")</f>
        <v/>
      </c>
      <c r="AK92" s="453"/>
      <c r="AL92" s="453" t="str">
        <f>IF(AND('Mapa final'!$K$124="Muy Baja",'Mapa final'!$O$124="Moderado"),CONCATENATE("R",'Mapa final'!$A$124),"")</f>
        <v/>
      </c>
      <c r="AM92" s="454"/>
      <c r="AN92" s="460" t="str">
        <f>IF(AND('Mapa final'!$K$112="Muy Baja",'Mapa final'!$O$112="Mayor"),CONCATENATE("R",'Mapa final'!$A$112),"")</f>
        <v/>
      </c>
      <c r="AO92" s="456"/>
      <c r="AP92" s="456" t="str">
        <f>IF(AND('Mapa final'!$K$115="Muy Baja",'Mapa final'!$O$115="Mayor"),CONCATENATE("R",'Mapa final'!$A$115),"")</f>
        <v/>
      </c>
      <c r="AQ92" s="456"/>
      <c r="AR92" s="456" t="str">
        <f>IF(AND('Mapa final'!$K$118="Muy Baja",'Mapa final'!$O$118="Mayor"),CONCATENATE("R",'Mapa final'!$A$118),"")</f>
        <v/>
      </c>
      <c r="AS92" s="456"/>
      <c r="AT92" s="456" t="str">
        <f>IF(AND('Mapa final'!$K$121="Muy Baja",'Mapa final'!$O$121="Mayor"),CONCATENATE("R",'Mapa final'!$A$121),"")</f>
        <v/>
      </c>
      <c r="AU92" s="456"/>
      <c r="AV92" s="456" t="str">
        <f>IF(AND('Mapa final'!$K$124="Muy Baja",'Mapa final'!$O$124="Mayor"),CONCATENATE("R",'Mapa final'!$A$124),"")</f>
        <v/>
      </c>
      <c r="AW92" s="457"/>
      <c r="AX92" s="452" t="str">
        <f>IF(AND('Mapa final'!$K$112="Muy Baja",'Mapa final'!$O$112="Catastrófico"),CONCATENATE("R",'Mapa final'!$A$112),"")</f>
        <v/>
      </c>
      <c r="AY92" s="450"/>
      <c r="AZ92" s="450" t="str">
        <f>IF(AND('Mapa final'!$K$115="Muy Baja",'Mapa final'!$O$115="Catastrófico"),CONCATENATE("R",'Mapa final'!$A$115),"")</f>
        <v/>
      </c>
      <c r="BA92" s="450"/>
      <c r="BB92" s="450" t="str">
        <f>IF(AND('Mapa final'!$K$118="Muy Baja",'Mapa final'!$O$118="Catastrófico"),CONCATENATE("R",'Mapa final'!$A$118),"")</f>
        <v/>
      </c>
      <c r="BC92" s="450"/>
      <c r="BD92" s="450" t="str">
        <f>IF(AND('Mapa final'!$K$121="Muy Baja",'Mapa final'!$O$121="Catastrófico"),CONCATENATE("R",'Mapa final'!$A$121),"")</f>
        <v/>
      </c>
      <c r="BE92" s="450"/>
      <c r="BF92" s="450" t="str">
        <f>IF(AND('Mapa final'!$K$124="Muy Baja",'Mapa final'!$O$124="Catastrófico"),CONCATENATE("R",'Mapa final'!$A$124),"")</f>
        <v/>
      </c>
      <c r="BG92" s="451"/>
      <c r="BH92" s="38"/>
      <c r="BI92" s="38"/>
      <c r="BJ92" s="38"/>
      <c r="BK92" s="38"/>
      <c r="BL92" s="38"/>
      <c r="BM92" s="38"/>
      <c r="BN92" s="38"/>
      <c r="BO92" s="38"/>
      <c r="BP92" s="38"/>
      <c r="BQ92" s="38"/>
      <c r="BR92" s="38"/>
      <c r="BS92" s="38"/>
      <c r="BT92" s="38"/>
      <c r="BU92" s="38"/>
      <c r="BV92" s="38"/>
      <c r="BW92" s="38"/>
      <c r="BX92" s="38"/>
      <c r="BY92" s="38"/>
      <c r="BZ92" s="38"/>
      <c r="CA92" s="38"/>
      <c r="CB92" s="38"/>
      <c r="CC92" s="38"/>
      <c r="CD92" s="38"/>
      <c r="CE92" s="38"/>
      <c r="CF92" s="38"/>
      <c r="CG92" s="38"/>
      <c r="CH92" s="38"/>
      <c r="CI92" s="38"/>
      <c r="CJ92" s="38"/>
      <c r="CK92" s="38"/>
      <c r="CL92" s="38"/>
      <c r="CM92" s="38"/>
      <c r="CN92" s="38"/>
      <c r="CO92" s="38"/>
      <c r="CP92" s="38"/>
      <c r="CQ92" s="38"/>
      <c r="CR92" s="38"/>
      <c r="CS92" s="38"/>
      <c r="CT92" s="38"/>
      <c r="CU92" s="38"/>
      <c r="CV92" s="38"/>
    </row>
    <row r="93" spans="1:100" ht="15" customHeight="1" x14ac:dyDescent="0.3">
      <c r="A93" s="38"/>
      <c r="B93" s="306"/>
      <c r="C93" s="307"/>
      <c r="D93" s="308"/>
      <c r="E93" s="527"/>
      <c r="F93" s="528"/>
      <c r="G93" s="528"/>
      <c r="H93" s="528"/>
      <c r="I93" s="530"/>
      <c r="J93" s="447"/>
      <c r="K93" s="448"/>
      <c r="L93" s="448"/>
      <c r="M93" s="448"/>
      <c r="N93" s="448"/>
      <c r="O93" s="448"/>
      <c r="P93" s="448"/>
      <c r="Q93" s="448"/>
      <c r="R93" s="448"/>
      <c r="S93" s="449"/>
      <c r="T93" s="447"/>
      <c r="U93" s="448"/>
      <c r="V93" s="448"/>
      <c r="W93" s="448"/>
      <c r="X93" s="448"/>
      <c r="Y93" s="448"/>
      <c r="Z93" s="448"/>
      <c r="AA93" s="448"/>
      <c r="AB93" s="448"/>
      <c r="AC93" s="449"/>
      <c r="AD93" s="455"/>
      <c r="AE93" s="453"/>
      <c r="AF93" s="453"/>
      <c r="AG93" s="453"/>
      <c r="AH93" s="453"/>
      <c r="AI93" s="453"/>
      <c r="AJ93" s="453"/>
      <c r="AK93" s="453"/>
      <c r="AL93" s="453"/>
      <c r="AM93" s="454"/>
      <c r="AN93" s="460"/>
      <c r="AO93" s="456"/>
      <c r="AP93" s="456"/>
      <c r="AQ93" s="456"/>
      <c r="AR93" s="456"/>
      <c r="AS93" s="456"/>
      <c r="AT93" s="456"/>
      <c r="AU93" s="456"/>
      <c r="AV93" s="456"/>
      <c r="AW93" s="457"/>
      <c r="AX93" s="452"/>
      <c r="AY93" s="450"/>
      <c r="AZ93" s="450"/>
      <c r="BA93" s="450"/>
      <c r="BB93" s="450"/>
      <c r="BC93" s="450"/>
      <c r="BD93" s="450"/>
      <c r="BE93" s="450"/>
      <c r="BF93" s="450"/>
      <c r="BG93" s="451"/>
      <c r="BH93" s="38"/>
      <c r="BI93" s="38"/>
      <c r="BJ93" s="38"/>
      <c r="BK93" s="38"/>
      <c r="BL93" s="38"/>
      <c r="BM93" s="38"/>
      <c r="BN93" s="38"/>
      <c r="BO93" s="38"/>
      <c r="BP93" s="38"/>
      <c r="BQ93" s="38"/>
      <c r="BR93" s="38"/>
      <c r="BS93" s="38"/>
      <c r="BT93" s="38"/>
      <c r="BU93" s="38"/>
      <c r="BV93" s="38"/>
      <c r="BW93" s="38"/>
      <c r="BX93" s="38"/>
      <c r="BY93" s="38"/>
      <c r="BZ93" s="38"/>
      <c r="CA93" s="38"/>
      <c r="CB93" s="38"/>
      <c r="CC93" s="38"/>
      <c r="CD93" s="38"/>
      <c r="CE93" s="38"/>
      <c r="CF93" s="38"/>
      <c r="CG93" s="38"/>
      <c r="CH93" s="38"/>
      <c r="CI93" s="38"/>
      <c r="CJ93" s="38"/>
      <c r="CK93" s="38"/>
      <c r="CL93" s="38"/>
      <c r="CM93" s="38"/>
      <c r="CN93" s="38"/>
      <c r="CO93" s="38"/>
      <c r="CP93" s="38"/>
      <c r="CQ93" s="38"/>
      <c r="CR93" s="38"/>
      <c r="CS93" s="38"/>
      <c r="CT93" s="38"/>
      <c r="CU93" s="38"/>
      <c r="CV93" s="38"/>
    </row>
    <row r="94" spans="1:100" ht="15" customHeight="1" x14ac:dyDescent="0.3">
      <c r="A94" s="38"/>
      <c r="B94" s="306"/>
      <c r="C94" s="307"/>
      <c r="D94" s="308"/>
      <c r="E94" s="527"/>
      <c r="F94" s="528"/>
      <c r="G94" s="528"/>
      <c r="H94" s="528"/>
      <c r="I94" s="530"/>
      <c r="J94" s="447" t="str">
        <f>IF(AND('Mapa final'!$K$130="Muy Baja",'Mapa final'!$O$130="Leve"),CONCATENATE("R",'Mapa final'!$A$130),"")</f>
        <v/>
      </c>
      <c r="K94" s="448"/>
      <c r="L94" s="448" t="str">
        <f>IF(AND('Mapa final'!$K$133="Muy Baja",'Mapa final'!$O$133="Leve"),CONCATENATE("R",'Mapa final'!$A$133),"")</f>
        <v/>
      </c>
      <c r="M94" s="448"/>
      <c r="N94" s="448" t="str">
        <f>IF(AND('Mapa final'!$K$136="Muy Baja",'Mapa final'!$O$136="Leve"),CONCATENATE("R",'Mapa final'!$A$136),"")</f>
        <v/>
      </c>
      <c r="O94" s="448"/>
      <c r="P94" s="448" t="str">
        <f>IF(AND('Mapa final'!$K$139="Muy Baja",'Mapa final'!$O$139="Leve"),CONCATENATE("R",'Mapa final'!$A$139),"")</f>
        <v/>
      </c>
      <c r="Q94" s="448"/>
      <c r="R94" s="448" t="str">
        <f>IF(AND('Mapa final'!$K$142="Muy Baja",'Mapa final'!$O$142="Leve"),CONCATENATE("R",'Mapa final'!$A$142),"")</f>
        <v/>
      </c>
      <c r="S94" s="449"/>
      <c r="T94" s="447" t="str">
        <f>IF(AND('Mapa final'!$K$130="Muy Baja",'Mapa final'!$O$130="Menor"),CONCATENATE("R",'Mapa final'!$A$130),"")</f>
        <v/>
      </c>
      <c r="U94" s="448"/>
      <c r="V94" s="448" t="str">
        <f>IF(AND('Mapa final'!$K$133="Muy Baja",'Mapa final'!$O$133="Menor"),CONCATENATE("R",'Mapa final'!$A$133),"")</f>
        <v/>
      </c>
      <c r="W94" s="448"/>
      <c r="X94" s="448" t="str">
        <f>IF(AND('Mapa final'!$K$136="Muy Baja",'Mapa final'!$O$136="Menor"),CONCATENATE("R",'Mapa final'!$A$136),"")</f>
        <v/>
      </c>
      <c r="Y94" s="448"/>
      <c r="Z94" s="448" t="str">
        <f>IF(AND('Mapa final'!$K$139="Muy Baja",'Mapa final'!$O$139="Menor"),CONCATENATE("R",'Mapa final'!$A$139),"")</f>
        <v/>
      </c>
      <c r="AA94" s="448"/>
      <c r="AB94" s="448" t="str">
        <f>IF(AND('Mapa final'!$K$142="Muy Baja",'Mapa final'!$O$142="Menor"),CONCATENATE("R",'Mapa final'!$A$142),"")</f>
        <v/>
      </c>
      <c r="AC94" s="449"/>
      <c r="AD94" s="455" t="str">
        <f>IF(AND('Mapa final'!$K$130="Muy Baja",'Mapa final'!$O$130="Moderado"),CONCATENATE("R",'Mapa final'!$A$130),"")</f>
        <v/>
      </c>
      <c r="AE94" s="453"/>
      <c r="AF94" s="453" t="str">
        <f>IF(AND('Mapa final'!$K$133="Muy Baja",'Mapa final'!$O$133="Moderado"),CONCATENATE("R",'Mapa final'!$A$133),"")</f>
        <v/>
      </c>
      <c r="AG94" s="453"/>
      <c r="AH94" s="453" t="str">
        <f>IF(AND('Mapa final'!$K$136="Muy Baja",'Mapa final'!$O$136="Moderado"),CONCATENATE("R",'Mapa final'!$A$136),"")</f>
        <v/>
      </c>
      <c r="AI94" s="453"/>
      <c r="AJ94" s="453" t="str">
        <f>IF(AND('Mapa final'!$K$139="Muy Baja",'Mapa final'!$O$139="Moderado"),CONCATENATE("R",'Mapa final'!$A$139),"")</f>
        <v/>
      </c>
      <c r="AK94" s="453"/>
      <c r="AL94" s="453" t="str">
        <f>IF(AND('Mapa final'!$K$142="Muy Baja",'Mapa final'!$O$142="Moderado"),CONCATENATE("R",'Mapa final'!$A$142),"")</f>
        <v/>
      </c>
      <c r="AM94" s="454"/>
      <c r="AN94" s="460" t="str">
        <f>IF(AND('Mapa final'!$K$130="Muy Baja",'Mapa final'!$O$130="Mayor"),CONCATENATE("R",'Mapa final'!$A$130),"")</f>
        <v/>
      </c>
      <c r="AO94" s="456"/>
      <c r="AP94" s="456" t="str">
        <f>IF(AND('Mapa final'!$K$133="Muy Baja",'Mapa final'!$O$133="Mayor"),CONCATENATE("R",'Mapa final'!$A$133),"")</f>
        <v/>
      </c>
      <c r="AQ94" s="456"/>
      <c r="AR94" s="456" t="str">
        <f>IF(AND('Mapa final'!$K$136="Muy Baja",'Mapa final'!$O$136="Mayor"),CONCATENATE("R",'Mapa final'!$A$136),"")</f>
        <v/>
      </c>
      <c r="AS94" s="456"/>
      <c r="AT94" s="456" t="str">
        <f>IF(AND('Mapa final'!$K$139="Muy Baja",'Mapa final'!$O$139="Mayor"),CONCATENATE("R",'Mapa final'!$A$139),"")</f>
        <v/>
      </c>
      <c r="AU94" s="456"/>
      <c r="AV94" s="456" t="str">
        <f>IF(AND('Mapa final'!$K$142="Muy Baja",'Mapa final'!$O$142="Mayor"),CONCATENATE("R",'Mapa final'!$A$142),"")</f>
        <v/>
      </c>
      <c r="AW94" s="457"/>
      <c r="AX94" s="452" t="str">
        <f>IF(AND('Mapa final'!$K$130="Muy Baja",'Mapa final'!$O$130="Catastrófico"),CONCATENATE("R",'Mapa final'!$A$130),"")</f>
        <v/>
      </c>
      <c r="AY94" s="450"/>
      <c r="AZ94" s="450" t="str">
        <f>IF(AND('Mapa final'!$K$133="Muy Baja",'Mapa final'!$O$133="Catastrófico"),CONCATENATE("R",'Mapa final'!$A$133),"")</f>
        <v/>
      </c>
      <c r="BA94" s="450"/>
      <c r="BB94" s="450" t="str">
        <f>IF(AND('Mapa final'!$K$136="Muy Baja",'Mapa final'!$O$136="Catastrófico"),CONCATENATE("R",'Mapa final'!$A$136),"")</f>
        <v/>
      </c>
      <c r="BC94" s="450"/>
      <c r="BD94" s="450" t="str">
        <f>IF(AND('Mapa final'!$K$139="Muy Baja",'Mapa final'!$O$139="Catastrófico"),CONCATENATE("R",'Mapa final'!$A$139),"")</f>
        <v/>
      </c>
      <c r="BE94" s="450"/>
      <c r="BF94" s="450" t="str">
        <f>IF(AND('Mapa final'!$K$142="Muy Baja",'Mapa final'!$O$142="Catastrófico"),CONCATENATE("R",'Mapa final'!$A$142),"")</f>
        <v/>
      </c>
      <c r="BG94" s="451"/>
      <c r="BH94" s="38"/>
      <c r="BI94" s="38"/>
      <c r="BJ94" s="38"/>
      <c r="BK94" s="38"/>
      <c r="BL94" s="38"/>
      <c r="BM94" s="38"/>
      <c r="BN94" s="38"/>
      <c r="BO94" s="38"/>
      <c r="BP94" s="38"/>
      <c r="BQ94" s="38"/>
      <c r="BR94" s="38"/>
      <c r="BS94" s="38"/>
      <c r="BT94" s="38"/>
      <c r="BU94" s="38"/>
      <c r="BV94" s="38"/>
      <c r="BW94" s="38"/>
      <c r="BX94" s="38"/>
      <c r="BY94" s="38"/>
      <c r="BZ94" s="38"/>
      <c r="CA94" s="38"/>
      <c r="CB94" s="38"/>
      <c r="CC94" s="38"/>
      <c r="CD94" s="38"/>
      <c r="CE94" s="38"/>
      <c r="CF94" s="38"/>
      <c r="CG94" s="38"/>
      <c r="CH94" s="38"/>
      <c r="CI94" s="38"/>
      <c r="CJ94" s="38"/>
      <c r="CK94" s="38"/>
      <c r="CL94" s="38"/>
      <c r="CM94" s="38"/>
      <c r="CN94" s="38"/>
      <c r="CO94" s="38"/>
      <c r="CP94" s="38"/>
      <c r="CQ94" s="38"/>
      <c r="CR94" s="38"/>
      <c r="CS94" s="38"/>
      <c r="CT94" s="38"/>
      <c r="CU94" s="38"/>
      <c r="CV94" s="38"/>
    </row>
    <row r="95" spans="1:100" ht="15" customHeight="1" thickBot="1" x14ac:dyDescent="0.35">
      <c r="A95" s="38"/>
      <c r="B95" s="309"/>
      <c r="C95" s="310"/>
      <c r="D95" s="311"/>
      <c r="E95" s="531"/>
      <c r="F95" s="532"/>
      <c r="G95" s="532"/>
      <c r="H95" s="532"/>
      <c r="I95" s="533"/>
      <c r="J95" s="474"/>
      <c r="K95" s="475"/>
      <c r="L95" s="475"/>
      <c r="M95" s="475"/>
      <c r="N95" s="475"/>
      <c r="O95" s="475"/>
      <c r="P95" s="475"/>
      <c r="Q95" s="475"/>
      <c r="R95" s="475"/>
      <c r="S95" s="476"/>
      <c r="T95" s="474"/>
      <c r="U95" s="475"/>
      <c r="V95" s="475"/>
      <c r="W95" s="475"/>
      <c r="X95" s="475"/>
      <c r="Y95" s="475"/>
      <c r="Z95" s="475"/>
      <c r="AA95" s="475"/>
      <c r="AB95" s="475"/>
      <c r="AC95" s="476"/>
      <c r="AD95" s="477"/>
      <c r="AE95" s="478"/>
      <c r="AF95" s="478"/>
      <c r="AG95" s="478"/>
      <c r="AH95" s="478"/>
      <c r="AI95" s="478"/>
      <c r="AJ95" s="478"/>
      <c r="AK95" s="478"/>
      <c r="AL95" s="478"/>
      <c r="AM95" s="479"/>
      <c r="AN95" s="480"/>
      <c r="AO95" s="481"/>
      <c r="AP95" s="481"/>
      <c r="AQ95" s="481"/>
      <c r="AR95" s="481"/>
      <c r="AS95" s="481"/>
      <c r="AT95" s="481"/>
      <c r="AU95" s="481"/>
      <c r="AV95" s="481"/>
      <c r="AW95" s="541"/>
      <c r="AX95" s="484"/>
      <c r="AY95" s="472"/>
      <c r="AZ95" s="472"/>
      <c r="BA95" s="472"/>
      <c r="BB95" s="472"/>
      <c r="BC95" s="472"/>
      <c r="BD95" s="472"/>
      <c r="BE95" s="472"/>
      <c r="BF95" s="472"/>
      <c r="BG95" s="473"/>
      <c r="BH95" s="38"/>
      <c r="BI95" s="38"/>
      <c r="BJ95" s="38"/>
      <c r="BK95" s="38"/>
      <c r="BL95" s="38"/>
      <c r="BM95" s="38"/>
      <c r="BN95" s="38"/>
      <c r="BO95" s="38"/>
      <c r="BP95" s="38"/>
      <c r="BQ95" s="38"/>
      <c r="BR95" s="38"/>
      <c r="BS95" s="38"/>
      <c r="BT95" s="38"/>
      <c r="BU95" s="38"/>
      <c r="BV95" s="38"/>
      <c r="BW95" s="38"/>
      <c r="BX95" s="38"/>
      <c r="BY95" s="38"/>
      <c r="BZ95" s="38"/>
      <c r="CA95" s="38"/>
      <c r="CB95" s="38"/>
      <c r="CC95" s="38"/>
      <c r="CD95" s="38"/>
      <c r="CE95" s="38"/>
      <c r="CF95" s="38"/>
      <c r="CG95" s="38"/>
      <c r="CH95" s="38"/>
      <c r="CI95" s="38"/>
      <c r="CJ95" s="38"/>
      <c r="CK95" s="38"/>
      <c r="CL95" s="38"/>
      <c r="CM95" s="38"/>
      <c r="CN95" s="38"/>
      <c r="CO95" s="38"/>
      <c r="CP95" s="38"/>
      <c r="CQ95" s="38"/>
      <c r="CR95" s="38"/>
      <c r="CS95" s="38"/>
      <c r="CT95" s="38"/>
      <c r="CU95" s="38"/>
      <c r="CV95" s="38"/>
    </row>
    <row r="96" spans="1:100" x14ac:dyDescent="0.3">
      <c r="A96" s="38"/>
      <c r="B96" s="38"/>
      <c r="C96" s="38"/>
      <c r="D96" s="38"/>
      <c r="E96" s="38"/>
      <c r="F96" s="38"/>
      <c r="G96" s="38"/>
      <c r="H96" s="38"/>
      <c r="I96" s="38"/>
      <c r="J96" s="534" t="s">
        <v>103</v>
      </c>
      <c r="K96" s="528"/>
      <c r="L96" s="528"/>
      <c r="M96" s="528"/>
      <c r="N96" s="528"/>
      <c r="O96" s="528"/>
      <c r="P96" s="528"/>
      <c r="Q96" s="528"/>
      <c r="R96" s="528"/>
      <c r="S96" s="530"/>
      <c r="T96" s="534" t="s">
        <v>102</v>
      </c>
      <c r="U96" s="528"/>
      <c r="V96" s="528"/>
      <c r="W96" s="528"/>
      <c r="X96" s="528"/>
      <c r="Y96" s="528"/>
      <c r="Z96" s="528"/>
      <c r="AA96" s="528"/>
      <c r="AB96" s="528"/>
      <c r="AC96" s="530"/>
      <c r="AD96" s="534" t="s">
        <v>101</v>
      </c>
      <c r="AE96" s="528"/>
      <c r="AF96" s="528"/>
      <c r="AG96" s="528"/>
      <c r="AH96" s="528"/>
      <c r="AI96" s="528"/>
      <c r="AJ96" s="528"/>
      <c r="AK96" s="528"/>
      <c r="AL96" s="528"/>
      <c r="AM96" s="530"/>
      <c r="AN96" s="534" t="s">
        <v>100</v>
      </c>
      <c r="AO96" s="537"/>
      <c r="AP96" s="537"/>
      <c r="AQ96" s="537"/>
      <c r="AR96" s="537"/>
      <c r="AS96" s="537"/>
      <c r="AT96" s="528"/>
      <c r="AU96" s="528"/>
      <c r="AV96" s="528"/>
      <c r="AW96" s="530"/>
      <c r="AX96" s="534" t="s">
        <v>99</v>
      </c>
      <c r="AY96" s="528"/>
      <c r="AZ96" s="528"/>
      <c r="BA96" s="528"/>
      <c r="BB96" s="528"/>
      <c r="BC96" s="528"/>
      <c r="BD96" s="528"/>
      <c r="BE96" s="528"/>
      <c r="BF96" s="528"/>
      <c r="BG96" s="530"/>
      <c r="BH96" s="38"/>
      <c r="BI96" s="38"/>
      <c r="BJ96" s="38"/>
      <c r="BK96" s="38"/>
      <c r="BL96" s="38"/>
      <c r="BM96" s="38"/>
      <c r="BN96" s="38"/>
      <c r="BO96" s="38"/>
      <c r="BP96" s="38"/>
      <c r="BQ96" s="38"/>
      <c r="BR96" s="38"/>
      <c r="BS96" s="38"/>
      <c r="BT96" s="38"/>
      <c r="BU96" s="38"/>
      <c r="BV96" s="38"/>
      <c r="BW96" s="38"/>
      <c r="BX96" s="38"/>
      <c r="BY96" s="38"/>
      <c r="BZ96" s="38"/>
      <c r="CA96" s="38"/>
      <c r="CB96" s="38"/>
      <c r="CC96" s="38"/>
      <c r="CD96" s="38"/>
      <c r="CE96" s="38"/>
      <c r="CF96" s="38"/>
      <c r="CG96" s="38"/>
      <c r="CH96" s="38"/>
      <c r="CI96" s="38"/>
      <c r="CJ96" s="38"/>
      <c r="CK96" s="38"/>
      <c r="CL96" s="38"/>
      <c r="CM96" s="38"/>
      <c r="CN96" s="38"/>
      <c r="CO96" s="38"/>
      <c r="CP96" s="38"/>
      <c r="CQ96" s="38"/>
      <c r="CR96" s="38"/>
      <c r="CS96" s="38"/>
      <c r="CT96" s="38"/>
      <c r="CU96" s="38"/>
      <c r="CV96" s="38"/>
    </row>
    <row r="97" spans="1:100" x14ac:dyDescent="0.3">
      <c r="A97" s="38"/>
      <c r="B97" s="38"/>
      <c r="C97" s="38"/>
      <c r="D97" s="38"/>
      <c r="E97" s="38"/>
      <c r="F97" s="38"/>
      <c r="G97" s="38"/>
      <c r="H97" s="38"/>
      <c r="I97" s="38"/>
      <c r="J97" s="527"/>
      <c r="K97" s="528"/>
      <c r="L97" s="528"/>
      <c r="M97" s="528"/>
      <c r="N97" s="528"/>
      <c r="O97" s="528"/>
      <c r="P97" s="528"/>
      <c r="Q97" s="528"/>
      <c r="R97" s="528"/>
      <c r="S97" s="530"/>
      <c r="T97" s="527"/>
      <c r="U97" s="528"/>
      <c r="V97" s="528"/>
      <c r="W97" s="528"/>
      <c r="X97" s="528"/>
      <c r="Y97" s="528"/>
      <c r="Z97" s="528"/>
      <c r="AA97" s="528"/>
      <c r="AB97" s="528"/>
      <c r="AC97" s="530"/>
      <c r="AD97" s="527"/>
      <c r="AE97" s="528"/>
      <c r="AF97" s="528"/>
      <c r="AG97" s="528"/>
      <c r="AH97" s="528"/>
      <c r="AI97" s="528"/>
      <c r="AJ97" s="528"/>
      <c r="AK97" s="528"/>
      <c r="AL97" s="528"/>
      <c r="AM97" s="530"/>
      <c r="AN97" s="527"/>
      <c r="AO97" s="528"/>
      <c r="AP97" s="528"/>
      <c r="AQ97" s="528"/>
      <c r="AR97" s="528"/>
      <c r="AS97" s="528"/>
      <c r="AT97" s="528"/>
      <c r="AU97" s="528"/>
      <c r="AV97" s="528"/>
      <c r="AW97" s="530"/>
      <c r="AX97" s="527"/>
      <c r="AY97" s="528"/>
      <c r="AZ97" s="528"/>
      <c r="BA97" s="528"/>
      <c r="BB97" s="528"/>
      <c r="BC97" s="528"/>
      <c r="BD97" s="528"/>
      <c r="BE97" s="528"/>
      <c r="BF97" s="528"/>
      <c r="BG97" s="530"/>
      <c r="BH97" s="38"/>
      <c r="BI97" s="38"/>
      <c r="BJ97" s="38"/>
      <c r="BK97" s="38"/>
      <c r="BL97" s="38"/>
      <c r="BM97" s="38"/>
      <c r="BN97" s="38"/>
      <c r="BO97" s="38"/>
      <c r="BP97" s="38"/>
      <c r="BQ97" s="38"/>
      <c r="BR97" s="38"/>
      <c r="BS97" s="38"/>
      <c r="BT97" s="38"/>
      <c r="BU97" s="38"/>
      <c r="BV97" s="38"/>
      <c r="BW97" s="38"/>
      <c r="BX97" s="38"/>
      <c r="BY97" s="38"/>
      <c r="BZ97" s="38"/>
      <c r="CA97" s="38"/>
      <c r="CB97" s="38"/>
      <c r="CC97" s="38"/>
      <c r="CD97" s="38"/>
      <c r="CE97" s="38"/>
      <c r="CF97" s="38"/>
      <c r="CG97" s="38"/>
      <c r="CH97" s="38"/>
      <c r="CI97" s="38"/>
      <c r="CJ97" s="38"/>
      <c r="CK97" s="38"/>
      <c r="CL97" s="38"/>
      <c r="CM97" s="38"/>
      <c r="CN97" s="38"/>
      <c r="CO97" s="38"/>
      <c r="CP97" s="38"/>
      <c r="CQ97" s="38"/>
      <c r="CR97" s="38"/>
      <c r="CS97" s="38"/>
      <c r="CT97" s="38"/>
      <c r="CU97" s="38"/>
      <c r="CV97" s="38"/>
    </row>
    <row r="98" spans="1:100" x14ac:dyDescent="0.3">
      <c r="A98" s="38"/>
      <c r="B98" s="38"/>
      <c r="C98" s="38"/>
      <c r="D98" s="38"/>
      <c r="E98" s="38"/>
      <c r="F98" s="38"/>
      <c r="G98" s="38"/>
      <c r="H98" s="38"/>
      <c r="I98" s="38"/>
      <c r="J98" s="527"/>
      <c r="K98" s="528"/>
      <c r="L98" s="528"/>
      <c r="M98" s="528"/>
      <c r="N98" s="528"/>
      <c r="O98" s="528"/>
      <c r="P98" s="528"/>
      <c r="Q98" s="528"/>
      <c r="R98" s="528"/>
      <c r="S98" s="530"/>
      <c r="T98" s="527"/>
      <c r="U98" s="528"/>
      <c r="V98" s="528"/>
      <c r="W98" s="528"/>
      <c r="X98" s="528"/>
      <c r="Y98" s="528"/>
      <c r="Z98" s="528"/>
      <c r="AA98" s="528"/>
      <c r="AB98" s="528"/>
      <c r="AC98" s="530"/>
      <c r="AD98" s="527"/>
      <c r="AE98" s="528"/>
      <c r="AF98" s="528"/>
      <c r="AG98" s="528"/>
      <c r="AH98" s="528"/>
      <c r="AI98" s="528"/>
      <c r="AJ98" s="528"/>
      <c r="AK98" s="528"/>
      <c r="AL98" s="528"/>
      <c r="AM98" s="530"/>
      <c r="AN98" s="527"/>
      <c r="AO98" s="528"/>
      <c r="AP98" s="528"/>
      <c r="AQ98" s="528"/>
      <c r="AR98" s="528"/>
      <c r="AS98" s="528"/>
      <c r="AT98" s="528"/>
      <c r="AU98" s="528"/>
      <c r="AV98" s="528"/>
      <c r="AW98" s="530"/>
      <c r="AX98" s="527"/>
      <c r="AY98" s="528"/>
      <c r="AZ98" s="528"/>
      <c r="BA98" s="528"/>
      <c r="BB98" s="528"/>
      <c r="BC98" s="528"/>
      <c r="BD98" s="528"/>
      <c r="BE98" s="528"/>
      <c r="BF98" s="528"/>
      <c r="BG98" s="530"/>
      <c r="BH98" s="38"/>
      <c r="BI98" s="38"/>
      <c r="BJ98" s="38"/>
      <c r="BK98" s="38"/>
      <c r="BL98" s="38"/>
      <c r="BM98" s="38"/>
      <c r="BN98" s="38"/>
      <c r="BO98" s="38"/>
      <c r="BP98" s="38"/>
      <c r="BQ98" s="38"/>
      <c r="BR98" s="38"/>
      <c r="BS98" s="38"/>
      <c r="BT98" s="38"/>
      <c r="BU98" s="38"/>
      <c r="BV98" s="38"/>
      <c r="BW98" s="38"/>
      <c r="BX98" s="38"/>
      <c r="BY98" s="38"/>
      <c r="BZ98" s="38"/>
      <c r="CA98" s="38"/>
      <c r="CB98" s="38"/>
      <c r="CC98" s="38"/>
      <c r="CD98" s="38"/>
      <c r="CE98" s="38"/>
      <c r="CF98" s="38"/>
      <c r="CG98" s="38"/>
      <c r="CH98" s="38"/>
      <c r="CI98" s="38"/>
      <c r="CJ98" s="38"/>
      <c r="CK98" s="38"/>
      <c r="CL98" s="38"/>
      <c r="CM98" s="38"/>
      <c r="CN98" s="38"/>
      <c r="CO98" s="38"/>
      <c r="CP98" s="38"/>
      <c r="CQ98" s="38"/>
      <c r="CR98" s="38"/>
      <c r="CS98" s="38"/>
      <c r="CT98" s="38"/>
      <c r="CU98" s="38"/>
      <c r="CV98" s="38"/>
    </row>
    <row r="99" spans="1:100" x14ac:dyDescent="0.3">
      <c r="A99" s="38"/>
      <c r="B99" s="38"/>
      <c r="C99" s="38"/>
      <c r="D99" s="38"/>
      <c r="E99" s="38"/>
      <c r="F99" s="38"/>
      <c r="G99" s="38"/>
      <c r="H99" s="38"/>
      <c r="I99" s="38"/>
      <c r="J99" s="527"/>
      <c r="K99" s="528"/>
      <c r="L99" s="528"/>
      <c r="M99" s="528"/>
      <c r="N99" s="528"/>
      <c r="O99" s="528"/>
      <c r="P99" s="528"/>
      <c r="Q99" s="528"/>
      <c r="R99" s="528"/>
      <c r="S99" s="530"/>
      <c r="T99" s="527"/>
      <c r="U99" s="528"/>
      <c r="V99" s="528"/>
      <c r="W99" s="528"/>
      <c r="X99" s="528"/>
      <c r="Y99" s="528"/>
      <c r="Z99" s="528"/>
      <c r="AA99" s="528"/>
      <c r="AB99" s="528"/>
      <c r="AC99" s="530"/>
      <c r="AD99" s="527"/>
      <c r="AE99" s="528"/>
      <c r="AF99" s="528"/>
      <c r="AG99" s="528"/>
      <c r="AH99" s="528"/>
      <c r="AI99" s="528"/>
      <c r="AJ99" s="528"/>
      <c r="AK99" s="528"/>
      <c r="AL99" s="528"/>
      <c r="AM99" s="530"/>
      <c r="AN99" s="527"/>
      <c r="AO99" s="528"/>
      <c r="AP99" s="528"/>
      <c r="AQ99" s="528"/>
      <c r="AR99" s="528"/>
      <c r="AS99" s="528"/>
      <c r="AT99" s="528"/>
      <c r="AU99" s="528"/>
      <c r="AV99" s="528"/>
      <c r="AW99" s="530"/>
      <c r="AX99" s="527"/>
      <c r="AY99" s="528"/>
      <c r="AZ99" s="528"/>
      <c r="BA99" s="528"/>
      <c r="BB99" s="528"/>
      <c r="BC99" s="528"/>
      <c r="BD99" s="528"/>
      <c r="BE99" s="528"/>
      <c r="BF99" s="528"/>
      <c r="BG99" s="530"/>
      <c r="BH99" s="38"/>
      <c r="BI99" s="38"/>
      <c r="BJ99" s="38"/>
      <c r="BK99" s="38"/>
      <c r="BL99" s="38"/>
      <c r="BM99" s="38"/>
      <c r="BN99" s="38"/>
      <c r="BO99" s="38"/>
      <c r="BP99" s="38"/>
      <c r="BQ99" s="38"/>
      <c r="BR99" s="38"/>
      <c r="BS99" s="38"/>
      <c r="BT99" s="38"/>
      <c r="BU99" s="38"/>
      <c r="BV99" s="38"/>
      <c r="BW99" s="38"/>
      <c r="BX99" s="38"/>
      <c r="BY99" s="38"/>
      <c r="BZ99" s="38"/>
      <c r="CA99" s="38"/>
      <c r="CB99" s="38"/>
      <c r="CC99" s="38"/>
      <c r="CD99" s="38"/>
      <c r="CE99" s="38"/>
      <c r="CF99" s="38"/>
      <c r="CG99" s="38"/>
      <c r="CH99" s="38"/>
      <c r="CI99" s="38"/>
      <c r="CJ99" s="38"/>
      <c r="CK99" s="38"/>
      <c r="CL99" s="38"/>
      <c r="CM99" s="38"/>
      <c r="CN99" s="38"/>
      <c r="CO99" s="38"/>
      <c r="CP99" s="38"/>
      <c r="CQ99" s="38"/>
      <c r="CR99" s="38"/>
      <c r="CS99" s="38"/>
      <c r="CT99" s="38"/>
      <c r="CU99" s="38"/>
      <c r="CV99" s="38"/>
    </row>
    <row r="100" spans="1:100" x14ac:dyDescent="0.3">
      <c r="A100" s="38"/>
      <c r="B100" s="38"/>
      <c r="C100" s="38"/>
      <c r="D100" s="38"/>
      <c r="E100" s="38"/>
      <c r="F100" s="38"/>
      <c r="G100" s="38"/>
      <c r="H100" s="38"/>
      <c r="I100" s="38"/>
      <c r="J100" s="527"/>
      <c r="K100" s="528"/>
      <c r="L100" s="528"/>
      <c r="M100" s="528"/>
      <c r="N100" s="528"/>
      <c r="O100" s="528"/>
      <c r="P100" s="528"/>
      <c r="Q100" s="528"/>
      <c r="R100" s="528"/>
      <c r="S100" s="530"/>
      <c r="T100" s="527"/>
      <c r="U100" s="528"/>
      <c r="V100" s="528"/>
      <c r="W100" s="528"/>
      <c r="X100" s="528"/>
      <c r="Y100" s="528"/>
      <c r="Z100" s="528"/>
      <c r="AA100" s="528"/>
      <c r="AB100" s="528"/>
      <c r="AC100" s="530"/>
      <c r="AD100" s="527"/>
      <c r="AE100" s="528"/>
      <c r="AF100" s="528"/>
      <c r="AG100" s="528"/>
      <c r="AH100" s="528"/>
      <c r="AI100" s="528"/>
      <c r="AJ100" s="528"/>
      <c r="AK100" s="528"/>
      <c r="AL100" s="528"/>
      <c r="AM100" s="530"/>
      <c r="AN100" s="527"/>
      <c r="AO100" s="528"/>
      <c r="AP100" s="528"/>
      <c r="AQ100" s="528"/>
      <c r="AR100" s="528"/>
      <c r="AS100" s="528"/>
      <c r="AT100" s="528"/>
      <c r="AU100" s="528"/>
      <c r="AV100" s="528"/>
      <c r="AW100" s="530"/>
      <c r="AX100" s="527"/>
      <c r="AY100" s="528"/>
      <c r="AZ100" s="528"/>
      <c r="BA100" s="528"/>
      <c r="BB100" s="528"/>
      <c r="BC100" s="528"/>
      <c r="BD100" s="528"/>
      <c r="BE100" s="528"/>
      <c r="BF100" s="528"/>
      <c r="BG100" s="530"/>
      <c r="BH100" s="38"/>
      <c r="BI100" s="38"/>
      <c r="BJ100" s="38"/>
      <c r="BK100" s="38"/>
      <c r="BL100" s="38"/>
      <c r="BM100" s="38"/>
      <c r="BN100" s="38"/>
      <c r="BO100" s="38"/>
      <c r="BP100" s="38"/>
      <c r="BQ100" s="38"/>
      <c r="BR100" s="38"/>
      <c r="BS100" s="38"/>
      <c r="BT100" s="38"/>
      <c r="BU100" s="38"/>
      <c r="BV100" s="38"/>
      <c r="BW100" s="38"/>
      <c r="BX100" s="38"/>
      <c r="BY100" s="38"/>
      <c r="BZ100" s="38"/>
      <c r="CA100" s="38"/>
      <c r="CB100" s="38"/>
      <c r="CC100" s="38"/>
      <c r="CD100" s="38"/>
      <c r="CE100" s="38"/>
      <c r="CF100" s="38"/>
      <c r="CG100" s="38"/>
      <c r="CH100" s="38"/>
      <c r="CI100" s="38"/>
      <c r="CJ100" s="38"/>
      <c r="CK100" s="38"/>
      <c r="CL100" s="38"/>
      <c r="CM100" s="38"/>
      <c r="CN100" s="38"/>
      <c r="CO100" s="38"/>
      <c r="CP100" s="38"/>
      <c r="CQ100" s="38"/>
      <c r="CR100" s="38"/>
      <c r="CS100" s="38"/>
      <c r="CT100" s="38"/>
      <c r="CU100" s="38"/>
      <c r="CV100" s="38"/>
    </row>
    <row r="101" spans="1:100" ht="15" thickBot="1" x14ac:dyDescent="0.35">
      <c r="A101" s="38"/>
      <c r="B101" s="38"/>
      <c r="C101" s="38"/>
      <c r="D101" s="38"/>
      <c r="E101" s="38"/>
      <c r="F101" s="38"/>
      <c r="G101" s="38"/>
      <c r="H101" s="38"/>
      <c r="I101" s="38"/>
      <c r="J101" s="531"/>
      <c r="K101" s="532"/>
      <c r="L101" s="532"/>
      <c r="M101" s="532"/>
      <c r="N101" s="532"/>
      <c r="O101" s="532"/>
      <c r="P101" s="532"/>
      <c r="Q101" s="532"/>
      <c r="R101" s="532"/>
      <c r="S101" s="533"/>
      <c r="T101" s="531"/>
      <c r="U101" s="532"/>
      <c r="V101" s="532"/>
      <c r="W101" s="532"/>
      <c r="X101" s="532"/>
      <c r="Y101" s="532"/>
      <c r="Z101" s="532"/>
      <c r="AA101" s="532"/>
      <c r="AB101" s="532"/>
      <c r="AC101" s="533"/>
      <c r="AD101" s="531"/>
      <c r="AE101" s="532"/>
      <c r="AF101" s="532"/>
      <c r="AG101" s="532"/>
      <c r="AH101" s="532"/>
      <c r="AI101" s="532"/>
      <c r="AJ101" s="532"/>
      <c r="AK101" s="532"/>
      <c r="AL101" s="532"/>
      <c r="AM101" s="533"/>
      <c r="AN101" s="531"/>
      <c r="AO101" s="532"/>
      <c r="AP101" s="532"/>
      <c r="AQ101" s="532"/>
      <c r="AR101" s="532"/>
      <c r="AS101" s="532"/>
      <c r="AT101" s="532"/>
      <c r="AU101" s="532"/>
      <c r="AV101" s="532"/>
      <c r="AW101" s="533"/>
      <c r="AX101" s="531"/>
      <c r="AY101" s="532"/>
      <c r="AZ101" s="532"/>
      <c r="BA101" s="532"/>
      <c r="BB101" s="532"/>
      <c r="BC101" s="532"/>
      <c r="BD101" s="532"/>
      <c r="BE101" s="532"/>
      <c r="BF101" s="532"/>
      <c r="BG101" s="533"/>
      <c r="BH101" s="38"/>
      <c r="BI101" s="38"/>
      <c r="BJ101" s="38"/>
      <c r="BK101" s="38"/>
      <c r="BL101" s="38"/>
      <c r="BM101" s="38"/>
      <c r="BN101" s="38"/>
      <c r="BO101" s="38"/>
      <c r="BP101" s="38"/>
      <c r="BQ101" s="38"/>
      <c r="BR101" s="38"/>
      <c r="BS101" s="38"/>
      <c r="BT101" s="38"/>
      <c r="BU101" s="38"/>
      <c r="BV101" s="38"/>
      <c r="BW101" s="38"/>
      <c r="BX101" s="38"/>
      <c r="BY101" s="38"/>
      <c r="BZ101" s="38"/>
      <c r="CA101" s="38"/>
      <c r="CB101" s="38"/>
      <c r="CC101" s="38"/>
      <c r="CD101" s="38"/>
      <c r="CE101" s="38"/>
      <c r="CF101" s="38"/>
      <c r="CG101" s="38"/>
      <c r="CH101" s="38"/>
      <c r="CI101" s="38"/>
      <c r="CJ101" s="38"/>
      <c r="CK101" s="38"/>
      <c r="CL101" s="38"/>
      <c r="CM101" s="38"/>
      <c r="CN101" s="38"/>
      <c r="CO101" s="38"/>
      <c r="CP101" s="38"/>
      <c r="CQ101" s="38"/>
      <c r="CR101" s="38"/>
      <c r="CS101" s="38"/>
      <c r="CT101" s="38"/>
      <c r="CU101" s="38"/>
      <c r="CV101" s="38"/>
    </row>
    <row r="102" spans="1:100" x14ac:dyDescent="0.3">
      <c r="A102" s="38"/>
      <c r="B102" s="38"/>
      <c r="C102" s="38"/>
      <c r="D102" s="38"/>
      <c r="E102" s="38"/>
      <c r="F102" s="38"/>
      <c r="G102" s="38"/>
      <c r="H102" s="38"/>
      <c r="I102" s="38"/>
      <c r="J102" s="38"/>
      <c r="K102" s="38"/>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38"/>
      <c r="BA102" s="38"/>
      <c r="BB102" s="38"/>
      <c r="BC102" s="38"/>
      <c r="BD102" s="38"/>
      <c r="BE102" s="38"/>
      <c r="BF102" s="38"/>
      <c r="BG102" s="38"/>
      <c r="BH102" s="38"/>
      <c r="BI102" s="38"/>
      <c r="BJ102" s="38"/>
      <c r="BK102" s="38"/>
      <c r="BL102" s="38"/>
      <c r="BM102" s="38"/>
      <c r="BN102" s="38"/>
      <c r="BO102" s="38"/>
      <c r="BP102" s="38"/>
      <c r="BQ102" s="38"/>
      <c r="BR102" s="38"/>
      <c r="BS102" s="38"/>
      <c r="BT102" s="38"/>
      <c r="BU102" s="38"/>
      <c r="BV102" s="38"/>
      <c r="BW102" s="38"/>
      <c r="BX102" s="38"/>
      <c r="BY102" s="38"/>
      <c r="BZ102" s="38"/>
      <c r="CA102" s="38"/>
      <c r="CB102" s="38"/>
      <c r="CC102" s="38"/>
      <c r="CD102" s="38"/>
      <c r="CE102" s="38"/>
      <c r="CF102" s="38"/>
      <c r="CG102" s="38"/>
      <c r="CH102" s="38"/>
      <c r="CI102" s="38"/>
      <c r="CJ102" s="38"/>
      <c r="CK102" s="38"/>
      <c r="CL102" s="38"/>
      <c r="CM102" s="38"/>
      <c r="CN102" s="38"/>
      <c r="CO102" s="38"/>
      <c r="CP102" s="38"/>
      <c r="CQ102" s="38"/>
      <c r="CR102" s="38"/>
      <c r="CS102" s="38"/>
      <c r="CT102" s="38"/>
      <c r="CU102" s="38"/>
      <c r="CV102" s="38"/>
    </row>
    <row r="103" spans="1:100" ht="15" customHeight="1" x14ac:dyDescent="0.3">
      <c r="A103" s="38"/>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c r="BG103" s="42"/>
      <c r="BH103" s="42"/>
      <c r="BI103" s="38"/>
      <c r="BJ103" s="38"/>
      <c r="BK103" s="38"/>
      <c r="BL103" s="38"/>
      <c r="BM103" s="38"/>
      <c r="BN103" s="38"/>
      <c r="BO103" s="38"/>
      <c r="BP103" s="38"/>
      <c r="BQ103" s="38"/>
      <c r="BR103" s="38"/>
      <c r="BS103" s="38"/>
      <c r="BT103" s="38"/>
      <c r="BU103" s="38"/>
      <c r="BV103" s="38"/>
      <c r="BW103" s="38"/>
      <c r="BX103" s="38"/>
      <c r="BY103" s="38"/>
      <c r="BZ103" s="38"/>
      <c r="CA103" s="38"/>
      <c r="CB103" s="38"/>
      <c r="CC103" s="38"/>
      <c r="CD103" s="38"/>
      <c r="CE103" s="38"/>
      <c r="CF103" s="38"/>
      <c r="CG103" s="38"/>
      <c r="CH103" s="38"/>
      <c r="CI103" s="38"/>
      <c r="CJ103" s="38"/>
      <c r="CK103" s="38"/>
      <c r="CL103" s="38"/>
      <c r="CM103" s="38"/>
      <c r="CN103" s="38"/>
      <c r="CO103" s="38"/>
      <c r="CP103" s="38"/>
      <c r="CQ103" s="38"/>
      <c r="CR103" s="38"/>
      <c r="CS103" s="38"/>
      <c r="CT103" s="38"/>
      <c r="CU103" s="38"/>
      <c r="CV103" s="38"/>
    </row>
    <row r="104" spans="1:100" ht="15" customHeight="1" x14ac:dyDescent="0.3">
      <c r="A104" s="38"/>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c r="BG104" s="42"/>
      <c r="BH104" s="42"/>
      <c r="BI104" s="38"/>
      <c r="BJ104" s="38"/>
      <c r="BK104" s="38"/>
      <c r="BL104" s="38"/>
      <c r="BM104" s="38"/>
      <c r="BN104" s="38"/>
      <c r="BO104" s="38"/>
      <c r="BP104" s="38"/>
      <c r="BQ104" s="38"/>
      <c r="BR104" s="38"/>
      <c r="BS104" s="38"/>
      <c r="BT104" s="38"/>
      <c r="BU104" s="38"/>
      <c r="BV104" s="38"/>
      <c r="BW104" s="38"/>
      <c r="BX104" s="38"/>
      <c r="BY104" s="38"/>
      <c r="BZ104" s="38"/>
      <c r="CA104" s="38"/>
      <c r="CB104" s="38"/>
      <c r="CC104" s="38"/>
      <c r="CD104" s="38"/>
      <c r="CE104" s="38"/>
      <c r="CF104" s="38"/>
      <c r="CG104" s="38"/>
      <c r="CH104" s="38"/>
      <c r="CI104" s="38"/>
      <c r="CJ104" s="38"/>
      <c r="CK104" s="38"/>
      <c r="CL104" s="38"/>
      <c r="CM104" s="38"/>
      <c r="CN104" s="38"/>
      <c r="CO104" s="38"/>
      <c r="CP104" s="38"/>
      <c r="CQ104" s="38"/>
      <c r="CR104" s="38"/>
      <c r="CS104" s="38"/>
      <c r="CT104" s="38"/>
      <c r="CU104" s="38"/>
      <c r="CV104" s="38"/>
    </row>
    <row r="105" spans="1:100" x14ac:dyDescent="0.3">
      <c r="A105" s="38"/>
      <c r="B105" s="38"/>
      <c r="C105" s="38"/>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38"/>
      <c r="BA105" s="38"/>
      <c r="BB105" s="38"/>
      <c r="BC105" s="38"/>
      <c r="BD105" s="38"/>
      <c r="BE105" s="38"/>
      <c r="BF105" s="38"/>
      <c r="BG105" s="38"/>
      <c r="BH105" s="38"/>
      <c r="BI105" s="38"/>
      <c r="BJ105" s="38"/>
      <c r="BK105" s="38"/>
      <c r="BL105" s="38"/>
      <c r="BM105" s="38"/>
      <c r="BN105" s="38"/>
      <c r="BO105" s="38"/>
      <c r="BP105" s="38"/>
      <c r="BQ105" s="38"/>
      <c r="BR105" s="38"/>
      <c r="BS105" s="38"/>
      <c r="BT105" s="38"/>
      <c r="BU105" s="38"/>
      <c r="BV105" s="38"/>
      <c r="BW105" s="38"/>
      <c r="BX105" s="38"/>
      <c r="BY105" s="38"/>
      <c r="BZ105" s="38"/>
      <c r="CA105" s="38"/>
      <c r="CB105" s="38"/>
      <c r="CC105" s="38"/>
      <c r="CD105" s="38"/>
      <c r="CE105" s="38"/>
      <c r="CF105" s="38"/>
      <c r="CG105" s="38"/>
      <c r="CH105" s="38"/>
      <c r="CI105" s="38"/>
      <c r="CJ105" s="38"/>
      <c r="CK105" s="38"/>
      <c r="CL105" s="38"/>
      <c r="CM105" s="38"/>
      <c r="CN105" s="38"/>
      <c r="CO105" s="38"/>
      <c r="CP105" s="38"/>
      <c r="CQ105" s="38"/>
      <c r="CR105" s="38"/>
      <c r="CS105" s="38"/>
      <c r="CT105" s="38"/>
      <c r="CU105" s="38"/>
      <c r="CV105" s="38"/>
    </row>
    <row r="106" spans="1:100" x14ac:dyDescent="0.3">
      <c r="A106" s="38"/>
      <c r="B106" s="38"/>
      <c r="C106" s="38"/>
      <c r="D106" s="38"/>
      <c r="E106" s="38"/>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38"/>
      <c r="BA106" s="38"/>
      <c r="BB106" s="38"/>
      <c r="BC106" s="38"/>
      <c r="BD106" s="38"/>
      <c r="BE106" s="38"/>
      <c r="BF106" s="38"/>
      <c r="BG106" s="38"/>
      <c r="BH106" s="38"/>
      <c r="BI106" s="38"/>
      <c r="BJ106" s="38"/>
      <c r="BK106" s="38"/>
      <c r="BL106" s="38"/>
      <c r="BM106" s="38"/>
      <c r="BN106" s="38"/>
      <c r="BO106" s="38"/>
      <c r="BP106" s="38"/>
      <c r="BQ106" s="38"/>
      <c r="BR106" s="38"/>
      <c r="BS106" s="38"/>
      <c r="BT106" s="38"/>
      <c r="BU106" s="38"/>
      <c r="BV106" s="38"/>
      <c r="BW106" s="38"/>
      <c r="BX106" s="38"/>
      <c r="BY106" s="38"/>
      <c r="BZ106" s="38"/>
      <c r="CA106" s="38"/>
      <c r="CB106" s="38"/>
      <c r="CC106" s="38"/>
      <c r="CD106" s="38"/>
      <c r="CE106" s="38"/>
      <c r="CF106" s="38"/>
      <c r="CG106" s="38"/>
      <c r="CH106" s="38"/>
      <c r="CI106" s="38"/>
      <c r="CJ106" s="38"/>
      <c r="CK106" s="38"/>
      <c r="CL106" s="38"/>
      <c r="CM106" s="38"/>
      <c r="CN106" s="38"/>
      <c r="CO106" s="38"/>
      <c r="CP106" s="38"/>
      <c r="CQ106" s="38"/>
      <c r="CR106" s="38"/>
      <c r="CS106" s="38"/>
      <c r="CT106" s="38"/>
      <c r="CU106" s="38"/>
      <c r="CV106" s="38"/>
    </row>
    <row r="107" spans="1:100" x14ac:dyDescent="0.3">
      <c r="A107" s="38"/>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38"/>
      <c r="BA107" s="38"/>
      <c r="BB107" s="38"/>
      <c r="BC107" s="38"/>
      <c r="BD107" s="38"/>
      <c r="BE107" s="38"/>
      <c r="BF107" s="38"/>
      <c r="BG107" s="38"/>
      <c r="BH107" s="38"/>
      <c r="BI107" s="38"/>
      <c r="BJ107" s="38"/>
      <c r="BK107" s="38"/>
      <c r="BL107" s="38"/>
      <c r="BM107" s="38"/>
      <c r="BN107" s="38"/>
      <c r="BO107" s="38"/>
      <c r="BP107" s="38"/>
      <c r="BQ107" s="38"/>
      <c r="BR107" s="38"/>
      <c r="BS107" s="38"/>
      <c r="BT107" s="38"/>
      <c r="BU107" s="38"/>
      <c r="BV107" s="38"/>
      <c r="BW107" s="38"/>
      <c r="BX107" s="38"/>
      <c r="BY107" s="38"/>
      <c r="BZ107" s="38"/>
      <c r="CA107" s="38"/>
      <c r="CB107" s="38"/>
      <c r="CC107" s="38"/>
      <c r="CD107" s="38"/>
      <c r="CE107" s="38"/>
      <c r="CF107" s="38"/>
      <c r="CG107" s="38"/>
      <c r="CH107" s="38"/>
      <c r="CI107" s="38"/>
      <c r="CJ107" s="38"/>
      <c r="CK107" s="38"/>
      <c r="CL107" s="38"/>
      <c r="CM107" s="38"/>
      <c r="CN107" s="38"/>
      <c r="CO107" s="38"/>
      <c r="CP107" s="38"/>
      <c r="CQ107" s="38"/>
      <c r="CR107" s="38"/>
      <c r="CS107" s="38"/>
      <c r="CT107" s="38"/>
      <c r="CU107" s="38"/>
      <c r="CV107" s="38"/>
    </row>
    <row r="108" spans="1:100" x14ac:dyDescent="0.3">
      <c r="A108" s="38"/>
      <c r="B108" s="38"/>
      <c r="C108" s="38"/>
      <c r="D108" s="38"/>
      <c r="E108" s="38"/>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38"/>
      <c r="BA108" s="38"/>
      <c r="BB108" s="38"/>
      <c r="BC108" s="38"/>
      <c r="BD108" s="38"/>
      <c r="BE108" s="38"/>
      <c r="BF108" s="38"/>
      <c r="BG108" s="38"/>
      <c r="BH108" s="38"/>
      <c r="BI108" s="38"/>
      <c r="BJ108" s="38"/>
      <c r="BK108" s="38"/>
      <c r="BL108" s="38"/>
      <c r="BM108" s="38"/>
      <c r="BN108" s="38"/>
      <c r="BO108" s="38"/>
      <c r="BP108" s="38"/>
      <c r="BQ108" s="38"/>
      <c r="BR108" s="38"/>
      <c r="BS108" s="38"/>
      <c r="BT108" s="38"/>
      <c r="BU108" s="38"/>
      <c r="BV108" s="38"/>
      <c r="BW108" s="38"/>
      <c r="BX108" s="38"/>
      <c r="BY108" s="38"/>
      <c r="BZ108" s="38"/>
      <c r="CA108" s="38"/>
      <c r="CB108" s="38"/>
      <c r="CC108" s="38"/>
      <c r="CD108" s="38"/>
      <c r="CE108" s="38"/>
      <c r="CF108" s="38"/>
      <c r="CG108" s="38"/>
      <c r="CH108" s="38"/>
      <c r="CI108" s="38"/>
      <c r="CJ108" s="38"/>
      <c r="CK108" s="38"/>
      <c r="CL108" s="38"/>
      <c r="CM108" s="38"/>
      <c r="CN108" s="38"/>
      <c r="CO108" s="38"/>
      <c r="CP108" s="38"/>
      <c r="CQ108" s="38"/>
      <c r="CR108" s="38"/>
      <c r="CS108" s="38"/>
      <c r="CT108" s="38"/>
      <c r="CU108" s="38"/>
      <c r="CV108" s="38"/>
    </row>
    <row r="109" spans="1:100" x14ac:dyDescent="0.3">
      <c r="A109" s="38"/>
      <c r="B109" s="38"/>
      <c r="C109" s="38"/>
      <c r="D109" s="38"/>
      <c r="E109" s="38"/>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38"/>
      <c r="BA109" s="38"/>
      <c r="BB109" s="38"/>
      <c r="BC109" s="38"/>
      <c r="BD109" s="38"/>
      <c r="BE109" s="38"/>
      <c r="BF109" s="38"/>
      <c r="BG109" s="38"/>
      <c r="BH109" s="38"/>
      <c r="BI109" s="38"/>
      <c r="BJ109" s="38"/>
      <c r="BK109" s="38"/>
      <c r="BL109" s="38"/>
      <c r="BM109" s="38"/>
      <c r="BN109" s="38"/>
      <c r="BO109" s="38"/>
      <c r="BP109" s="38"/>
      <c r="BQ109" s="38"/>
      <c r="BR109" s="38"/>
      <c r="BS109" s="38"/>
      <c r="BT109" s="38"/>
      <c r="BU109" s="38"/>
      <c r="BV109" s="38"/>
      <c r="BW109" s="38"/>
      <c r="BX109" s="38"/>
      <c r="BY109" s="38"/>
      <c r="BZ109" s="38"/>
      <c r="CA109" s="38"/>
      <c r="CB109" s="38"/>
      <c r="CC109" s="38"/>
      <c r="CD109" s="38"/>
      <c r="CE109" s="38"/>
      <c r="CF109" s="38"/>
      <c r="CG109" s="38"/>
      <c r="CH109" s="38"/>
      <c r="CI109" s="38"/>
      <c r="CJ109" s="38"/>
      <c r="CK109" s="38"/>
      <c r="CL109" s="38"/>
      <c r="CM109" s="38"/>
      <c r="CN109" s="38"/>
      <c r="CO109" s="38"/>
      <c r="CP109" s="38"/>
      <c r="CQ109" s="38"/>
      <c r="CR109" s="38"/>
      <c r="CS109" s="38"/>
      <c r="CT109" s="38"/>
      <c r="CU109" s="38"/>
      <c r="CV109" s="38"/>
    </row>
    <row r="110" spans="1:100" x14ac:dyDescent="0.3">
      <c r="A110" s="38"/>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38"/>
      <c r="BA110" s="38"/>
      <c r="BB110" s="38"/>
      <c r="BC110" s="38"/>
      <c r="BD110" s="38"/>
      <c r="BE110" s="38"/>
      <c r="BF110" s="38"/>
      <c r="BG110" s="38"/>
      <c r="BH110" s="38"/>
      <c r="BI110" s="38"/>
      <c r="BJ110" s="38"/>
      <c r="BK110" s="38"/>
      <c r="BL110" s="38"/>
      <c r="BM110" s="38"/>
      <c r="BN110" s="38"/>
      <c r="BO110" s="38"/>
      <c r="BP110" s="38"/>
      <c r="BQ110" s="38"/>
      <c r="BR110" s="38"/>
      <c r="BS110" s="38"/>
      <c r="BT110" s="38"/>
      <c r="BU110" s="38"/>
      <c r="BV110" s="38"/>
      <c r="BW110" s="38"/>
      <c r="BX110" s="38"/>
      <c r="BY110" s="38"/>
      <c r="BZ110" s="38"/>
      <c r="CA110" s="38"/>
      <c r="CB110" s="38"/>
      <c r="CC110" s="38"/>
      <c r="CD110" s="38"/>
      <c r="CE110" s="38"/>
      <c r="CF110" s="38"/>
      <c r="CG110" s="38"/>
      <c r="CH110" s="38"/>
      <c r="CI110" s="38"/>
      <c r="CJ110" s="38"/>
      <c r="CK110" s="38"/>
      <c r="CL110" s="38"/>
      <c r="CM110" s="38"/>
      <c r="CN110" s="38"/>
      <c r="CO110" s="38"/>
      <c r="CP110" s="38"/>
      <c r="CQ110" s="38"/>
      <c r="CR110" s="38"/>
      <c r="CS110" s="38"/>
      <c r="CT110" s="38"/>
      <c r="CU110" s="38"/>
      <c r="CV110" s="38"/>
    </row>
    <row r="111" spans="1:100" ht="21" x14ac:dyDescent="0.3">
      <c r="A111" s="38"/>
      <c r="B111" s="38"/>
      <c r="C111" s="38"/>
      <c r="D111" s="38"/>
      <c r="E111" s="38"/>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38"/>
      <c r="BA111" s="38"/>
      <c r="BB111" s="38"/>
      <c r="BC111" s="38"/>
      <c r="BD111" s="38"/>
      <c r="BE111" s="38"/>
      <c r="BF111" s="38"/>
      <c r="BG111" s="38"/>
      <c r="BH111" s="38"/>
      <c r="BI111" s="42"/>
      <c r="BJ111" s="42"/>
      <c r="BK111" s="42"/>
      <c r="BL111" s="42"/>
      <c r="BM111" s="42"/>
      <c r="BN111" s="42"/>
      <c r="BO111" s="38"/>
      <c r="BP111" s="38"/>
      <c r="BQ111" s="38"/>
      <c r="BR111" s="38"/>
      <c r="BS111" s="38"/>
      <c r="BT111" s="38"/>
      <c r="BU111" s="38"/>
      <c r="BV111" s="38"/>
      <c r="BW111" s="38"/>
      <c r="BX111" s="38"/>
      <c r="BY111" s="38"/>
      <c r="BZ111" s="38"/>
      <c r="CA111" s="38"/>
      <c r="CB111" s="38"/>
      <c r="CC111" s="38"/>
      <c r="CD111" s="38"/>
      <c r="CE111" s="38"/>
      <c r="CF111" s="38"/>
      <c r="CG111" s="38"/>
      <c r="CH111" s="38"/>
      <c r="CI111" s="38"/>
      <c r="CJ111" s="38"/>
      <c r="CK111" s="38"/>
      <c r="CL111" s="38"/>
      <c r="CM111" s="38"/>
      <c r="CN111" s="38"/>
      <c r="CO111" s="38"/>
      <c r="CP111" s="38"/>
      <c r="CQ111" s="38"/>
      <c r="CR111" s="38"/>
      <c r="CS111" s="38"/>
      <c r="CT111" s="38"/>
      <c r="CU111" s="38"/>
      <c r="CV111" s="38"/>
    </row>
    <row r="112" spans="1:100" ht="21" x14ac:dyDescent="0.3">
      <c r="A112" s="38"/>
      <c r="B112" s="38"/>
      <c r="C112" s="38"/>
      <c r="D112" s="38"/>
      <c r="E112" s="38"/>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38"/>
      <c r="BA112" s="38"/>
      <c r="BB112" s="38"/>
      <c r="BC112" s="38"/>
      <c r="BD112" s="38"/>
      <c r="BE112" s="38"/>
      <c r="BF112" s="38"/>
      <c r="BG112" s="38"/>
      <c r="BH112" s="38"/>
      <c r="BI112" s="42"/>
      <c r="BJ112" s="42"/>
      <c r="BK112" s="42"/>
      <c r="BL112" s="42"/>
      <c r="BM112" s="42"/>
      <c r="BN112" s="42"/>
      <c r="BO112" s="38"/>
      <c r="BP112" s="38"/>
      <c r="BQ112" s="38"/>
      <c r="BR112" s="38"/>
      <c r="BS112" s="38"/>
      <c r="BT112" s="38"/>
      <c r="BU112" s="38"/>
      <c r="BV112" s="38"/>
      <c r="BW112" s="38"/>
      <c r="BX112" s="38"/>
      <c r="BY112" s="38"/>
      <c r="BZ112" s="38"/>
      <c r="CA112" s="38"/>
      <c r="CB112" s="38"/>
      <c r="CC112" s="38"/>
      <c r="CD112" s="38"/>
      <c r="CE112" s="38"/>
      <c r="CF112" s="38"/>
      <c r="CG112" s="38"/>
      <c r="CH112" s="38"/>
      <c r="CI112" s="38"/>
      <c r="CJ112" s="38"/>
      <c r="CK112" s="38"/>
      <c r="CL112" s="38"/>
      <c r="CM112" s="38"/>
      <c r="CN112" s="38"/>
      <c r="CO112" s="38"/>
      <c r="CP112" s="38"/>
      <c r="CQ112" s="38"/>
      <c r="CR112" s="38"/>
      <c r="CS112" s="38"/>
      <c r="CT112" s="38"/>
      <c r="CU112" s="38"/>
      <c r="CV112" s="38"/>
    </row>
    <row r="113" spans="1:100" x14ac:dyDescent="0.3">
      <c r="A113" s="38"/>
      <c r="B113" s="38"/>
      <c r="C113" s="38"/>
      <c r="D113" s="38"/>
      <c r="E113" s="38"/>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38"/>
      <c r="BA113" s="38"/>
      <c r="BB113" s="38"/>
      <c r="BC113" s="38"/>
      <c r="BD113" s="38"/>
      <c r="BE113" s="38"/>
      <c r="BF113" s="38"/>
      <c r="BG113" s="38"/>
      <c r="BH113" s="38"/>
      <c r="BI113" s="38"/>
      <c r="BJ113" s="38"/>
      <c r="BK113" s="38"/>
      <c r="BL113" s="38"/>
      <c r="BM113" s="38"/>
      <c r="BN113" s="38"/>
      <c r="BO113" s="38"/>
      <c r="BP113" s="38"/>
      <c r="BQ113" s="38"/>
      <c r="BR113" s="38"/>
      <c r="BS113" s="38"/>
      <c r="BT113" s="38"/>
      <c r="BU113" s="38"/>
      <c r="BV113" s="38"/>
      <c r="BW113" s="38"/>
      <c r="BX113" s="38"/>
      <c r="BY113" s="38"/>
      <c r="BZ113" s="38"/>
      <c r="CA113" s="38"/>
      <c r="CB113" s="38"/>
      <c r="CC113" s="38"/>
      <c r="CD113" s="38"/>
      <c r="CE113" s="38"/>
      <c r="CF113" s="38"/>
      <c r="CG113" s="38"/>
      <c r="CH113" s="38"/>
      <c r="CI113" s="38"/>
      <c r="CJ113" s="38"/>
      <c r="CK113" s="38"/>
      <c r="CL113" s="38"/>
      <c r="CM113" s="38"/>
      <c r="CN113" s="38"/>
      <c r="CO113" s="38"/>
      <c r="CP113" s="38"/>
      <c r="CQ113" s="38"/>
      <c r="CR113" s="38"/>
      <c r="CS113" s="38"/>
      <c r="CT113" s="38"/>
      <c r="CU113" s="38"/>
      <c r="CV113" s="38"/>
    </row>
    <row r="114" spans="1:100" x14ac:dyDescent="0.3">
      <c r="A114" s="38"/>
      <c r="B114" s="38"/>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38"/>
      <c r="BA114" s="38"/>
      <c r="BB114" s="38"/>
      <c r="BC114" s="38"/>
      <c r="BD114" s="38"/>
      <c r="BE114" s="38"/>
      <c r="BF114" s="38"/>
      <c r="BG114" s="38"/>
      <c r="BH114" s="38"/>
      <c r="BI114" s="38"/>
      <c r="BJ114" s="38"/>
      <c r="BK114" s="38"/>
      <c r="BL114" s="38"/>
      <c r="BM114" s="38"/>
      <c r="BN114" s="38"/>
      <c r="BO114" s="38"/>
      <c r="BP114" s="38"/>
      <c r="BQ114" s="38"/>
      <c r="BR114" s="38"/>
      <c r="BS114" s="38"/>
      <c r="BT114" s="38"/>
      <c r="BU114" s="38"/>
      <c r="BV114" s="38"/>
      <c r="BW114" s="38"/>
      <c r="BX114" s="38"/>
      <c r="BY114" s="38"/>
      <c r="BZ114" s="38"/>
      <c r="CA114" s="38"/>
      <c r="CB114" s="38"/>
      <c r="CC114" s="38"/>
      <c r="CD114" s="38"/>
      <c r="CE114" s="38"/>
      <c r="CF114" s="38"/>
      <c r="CG114" s="38"/>
      <c r="CH114" s="38"/>
      <c r="CI114" s="38"/>
      <c r="CJ114" s="38"/>
      <c r="CK114" s="38"/>
      <c r="CL114" s="38"/>
      <c r="CM114" s="38"/>
      <c r="CN114" s="38"/>
      <c r="CO114" s="38"/>
      <c r="CP114" s="38"/>
      <c r="CQ114" s="38"/>
      <c r="CR114" s="38"/>
      <c r="CS114" s="38"/>
      <c r="CT114" s="38"/>
      <c r="CU114" s="38"/>
      <c r="CV114" s="38"/>
    </row>
    <row r="115" spans="1:100" x14ac:dyDescent="0.3">
      <c r="A115" s="38"/>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38"/>
      <c r="BA115" s="38"/>
      <c r="BB115" s="38"/>
      <c r="BC115" s="38"/>
      <c r="BD115" s="38"/>
      <c r="BE115" s="38"/>
      <c r="BF115" s="38"/>
      <c r="BG115" s="38"/>
      <c r="BH115" s="38"/>
      <c r="BI115" s="38"/>
      <c r="BJ115" s="38"/>
      <c r="BK115" s="38"/>
      <c r="BL115" s="38"/>
      <c r="BM115" s="38"/>
      <c r="BN115" s="38"/>
      <c r="BO115" s="38"/>
      <c r="BP115" s="38"/>
      <c r="BQ115" s="38"/>
      <c r="BR115" s="38"/>
      <c r="BS115" s="38"/>
      <c r="BT115" s="38"/>
      <c r="BU115" s="38"/>
      <c r="BV115" s="38"/>
      <c r="BW115" s="38"/>
      <c r="BX115" s="38"/>
      <c r="BY115" s="38"/>
      <c r="BZ115" s="38"/>
      <c r="CA115" s="38"/>
      <c r="CB115" s="38"/>
      <c r="CC115" s="38"/>
      <c r="CD115" s="38"/>
      <c r="CE115" s="38"/>
      <c r="CF115" s="38"/>
      <c r="CG115" s="38"/>
      <c r="CH115" s="38"/>
      <c r="CI115" s="38"/>
      <c r="CJ115" s="38"/>
      <c r="CK115" s="38"/>
      <c r="CL115" s="38"/>
      <c r="CM115" s="38"/>
      <c r="CN115" s="38"/>
      <c r="CO115" s="38"/>
      <c r="CP115" s="38"/>
      <c r="CQ115" s="38"/>
      <c r="CR115" s="38"/>
      <c r="CS115" s="38"/>
      <c r="CT115" s="38"/>
      <c r="CU115" s="38"/>
      <c r="CV115" s="38"/>
    </row>
    <row r="116" spans="1:100" x14ac:dyDescent="0.3">
      <c r="A116" s="38"/>
      <c r="B116" s="38"/>
      <c r="C116" s="38"/>
      <c r="D116" s="38"/>
      <c r="E116" s="38"/>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38"/>
      <c r="BA116" s="38"/>
      <c r="BB116" s="38"/>
      <c r="BC116" s="38"/>
      <c r="BD116" s="38"/>
      <c r="BE116" s="38"/>
      <c r="BF116" s="38"/>
      <c r="BG116" s="38"/>
      <c r="BH116" s="38"/>
      <c r="BI116" s="38"/>
      <c r="BJ116" s="38"/>
      <c r="BK116" s="38"/>
      <c r="BL116" s="38"/>
      <c r="BM116" s="38"/>
      <c r="BN116" s="38"/>
      <c r="BO116" s="38"/>
      <c r="BP116" s="38"/>
      <c r="BQ116" s="38"/>
      <c r="BR116" s="38"/>
      <c r="BS116" s="38"/>
      <c r="BT116" s="38"/>
      <c r="BU116" s="38"/>
      <c r="BV116" s="38"/>
      <c r="BW116" s="38"/>
      <c r="BX116" s="38"/>
      <c r="BY116" s="38"/>
      <c r="BZ116" s="38"/>
      <c r="CA116" s="38"/>
      <c r="CB116" s="38"/>
      <c r="CC116" s="38"/>
      <c r="CD116" s="38"/>
      <c r="CE116" s="38"/>
      <c r="CF116" s="38"/>
      <c r="CG116" s="38"/>
      <c r="CH116" s="38"/>
      <c r="CI116" s="38"/>
      <c r="CJ116" s="38"/>
      <c r="CK116" s="38"/>
      <c r="CL116" s="38"/>
      <c r="CM116" s="38"/>
      <c r="CN116" s="38"/>
      <c r="CO116" s="38"/>
      <c r="CP116" s="38"/>
      <c r="CQ116" s="38"/>
      <c r="CR116" s="38"/>
      <c r="CS116" s="38"/>
      <c r="CT116" s="38"/>
      <c r="CU116" s="38"/>
      <c r="CV116" s="38"/>
    </row>
    <row r="117" spans="1:100" x14ac:dyDescent="0.3">
      <c r="A117" s="38"/>
      <c r="B117" s="38"/>
      <c r="C117" s="38"/>
      <c r="D117" s="38"/>
      <c r="E117" s="38"/>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38"/>
      <c r="AY117" s="38"/>
      <c r="AZ117" s="38"/>
      <c r="BA117" s="38"/>
      <c r="BB117" s="38"/>
      <c r="BC117" s="38"/>
      <c r="BD117" s="38"/>
      <c r="BE117" s="38"/>
      <c r="BF117" s="38"/>
      <c r="BG117" s="38"/>
      <c r="BH117" s="38"/>
      <c r="BI117" s="38"/>
      <c r="BJ117" s="38"/>
      <c r="BK117" s="38"/>
      <c r="BL117" s="38"/>
      <c r="BM117" s="38"/>
      <c r="BN117" s="38"/>
      <c r="BO117" s="38"/>
      <c r="BP117" s="38"/>
      <c r="BQ117" s="38"/>
      <c r="BR117" s="38"/>
      <c r="BS117" s="38"/>
      <c r="BT117" s="38"/>
      <c r="BU117" s="38"/>
      <c r="BV117" s="38"/>
      <c r="BW117" s="38"/>
      <c r="BX117" s="38"/>
      <c r="BY117" s="38"/>
      <c r="BZ117" s="38"/>
      <c r="CA117" s="38"/>
      <c r="CB117" s="38"/>
      <c r="CC117" s="38"/>
      <c r="CD117" s="38"/>
      <c r="CE117" s="38"/>
      <c r="CF117" s="38"/>
      <c r="CG117" s="38"/>
      <c r="CH117" s="38"/>
      <c r="CI117" s="38"/>
      <c r="CJ117" s="38"/>
      <c r="CK117" s="38"/>
      <c r="CL117" s="38"/>
      <c r="CM117" s="38"/>
      <c r="CN117" s="38"/>
      <c r="CO117" s="38"/>
      <c r="CP117" s="38"/>
      <c r="CQ117" s="38"/>
      <c r="CR117" s="38"/>
      <c r="CS117" s="38"/>
      <c r="CT117" s="38"/>
      <c r="CU117" s="38"/>
      <c r="CV117" s="38"/>
    </row>
    <row r="118" spans="1:100" x14ac:dyDescent="0.3">
      <c r="A118" s="38"/>
      <c r="B118" s="38"/>
      <c r="C118" s="38"/>
      <c r="D118" s="38"/>
      <c r="E118" s="38"/>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38"/>
      <c r="BA118" s="38"/>
      <c r="BB118" s="38"/>
      <c r="BC118" s="38"/>
      <c r="BD118" s="38"/>
      <c r="BE118" s="38"/>
      <c r="BF118" s="38"/>
      <c r="BG118" s="38"/>
      <c r="BH118" s="38"/>
      <c r="BI118" s="38"/>
      <c r="BJ118" s="38"/>
      <c r="BK118" s="38"/>
      <c r="BL118" s="38"/>
      <c r="BM118" s="38"/>
      <c r="BN118" s="38"/>
      <c r="BO118" s="38"/>
      <c r="BP118" s="38"/>
      <c r="BQ118" s="38"/>
      <c r="BR118" s="38"/>
      <c r="BS118" s="38"/>
      <c r="BT118" s="38"/>
      <c r="BU118" s="38"/>
      <c r="BV118" s="38"/>
      <c r="BW118" s="38"/>
      <c r="BX118" s="38"/>
      <c r="BY118" s="38"/>
      <c r="BZ118" s="38"/>
      <c r="CA118" s="38"/>
      <c r="CB118" s="38"/>
      <c r="CC118" s="38"/>
      <c r="CD118" s="38"/>
      <c r="CE118" s="38"/>
      <c r="CF118" s="38"/>
      <c r="CG118" s="38"/>
      <c r="CH118" s="38"/>
      <c r="CI118" s="38"/>
      <c r="CJ118" s="38"/>
      <c r="CK118" s="38"/>
      <c r="CL118" s="38"/>
      <c r="CM118" s="38"/>
      <c r="CN118" s="38"/>
      <c r="CO118" s="38"/>
      <c r="CP118" s="38"/>
      <c r="CQ118" s="38"/>
      <c r="CR118" s="38"/>
      <c r="CS118" s="38"/>
      <c r="CT118" s="38"/>
      <c r="CU118" s="38"/>
      <c r="CV118" s="38"/>
    </row>
    <row r="119" spans="1:100" x14ac:dyDescent="0.3">
      <c r="A119" s="38"/>
      <c r="B119" s="38"/>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38"/>
      <c r="BA119" s="38"/>
      <c r="BB119" s="38"/>
      <c r="BC119" s="38"/>
      <c r="BD119" s="38"/>
      <c r="BE119" s="38"/>
      <c r="BF119" s="38"/>
      <c r="BG119" s="38"/>
      <c r="BH119" s="38"/>
      <c r="BI119" s="38"/>
      <c r="BJ119" s="38"/>
      <c r="BK119" s="38"/>
      <c r="BL119" s="38"/>
      <c r="BM119" s="38"/>
      <c r="BN119" s="38"/>
      <c r="BO119" s="38"/>
      <c r="BP119" s="38"/>
      <c r="BQ119" s="38"/>
      <c r="BR119" s="38"/>
      <c r="BS119" s="38"/>
      <c r="BT119" s="38"/>
      <c r="BU119" s="38"/>
      <c r="BV119" s="38"/>
      <c r="BW119" s="38"/>
      <c r="BX119" s="38"/>
      <c r="BY119" s="38"/>
      <c r="BZ119" s="38"/>
      <c r="CA119" s="38"/>
      <c r="CB119" s="38"/>
      <c r="CC119" s="38"/>
      <c r="CD119" s="38"/>
      <c r="CE119" s="38"/>
      <c r="CF119" s="38"/>
      <c r="CG119" s="38"/>
      <c r="CH119" s="38"/>
      <c r="CI119" s="38"/>
      <c r="CJ119" s="38"/>
      <c r="CK119" s="38"/>
      <c r="CL119" s="38"/>
      <c r="CM119" s="38"/>
      <c r="CN119" s="38"/>
      <c r="CO119" s="38"/>
      <c r="CP119" s="38"/>
      <c r="CQ119" s="38"/>
      <c r="CR119" s="38"/>
      <c r="CS119" s="38"/>
      <c r="CT119" s="38"/>
      <c r="CU119" s="38"/>
      <c r="CV119" s="38"/>
    </row>
    <row r="120" spans="1:100" x14ac:dyDescent="0.3">
      <c r="A120" s="38"/>
      <c r="B120" s="38"/>
      <c r="C120" s="38"/>
      <c r="D120" s="38"/>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c r="BK120" s="38"/>
      <c r="BL120" s="38"/>
      <c r="BM120" s="38"/>
      <c r="BN120" s="38"/>
      <c r="BO120" s="38"/>
      <c r="BP120" s="38"/>
      <c r="BQ120" s="38"/>
      <c r="BR120" s="38"/>
      <c r="BS120" s="38"/>
      <c r="BT120" s="38"/>
      <c r="BU120" s="38"/>
      <c r="BV120" s="38"/>
      <c r="BW120" s="38"/>
      <c r="BX120" s="38"/>
      <c r="BY120" s="38"/>
      <c r="BZ120" s="38"/>
      <c r="CA120" s="38"/>
      <c r="CB120" s="38"/>
      <c r="CC120" s="38"/>
      <c r="CD120" s="38"/>
      <c r="CE120" s="38"/>
      <c r="CF120" s="38"/>
      <c r="CG120" s="38"/>
      <c r="CH120" s="38"/>
      <c r="CI120" s="38"/>
      <c r="CJ120" s="38"/>
      <c r="CK120" s="38"/>
      <c r="CL120" s="38"/>
      <c r="CM120" s="38"/>
      <c r="CN120" s="38"/>
      <c r="CO120" s="38"/>
      <c r="CP120" s="38"/>
      <c r="CQ120" s="38"/>
      <c r="CR120" s="38"/>
      <c r="CS120" s="38"/>
      <c r="CT120" s="38"/>
      <c r="CU120" s="38"/>
      <c r="CV120" s="38"/>
    </row>
    <row r="121" spans="1:100" x14ac:dyDescent="0.3">
      <c r="A121" s="38"/>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38"/>
      <c r="BA121" s="38"/>
      <c r="BB121" s="38"/>
      <c r="BC121" s="38"/>
      <c r="BD121" s="38"/>
      <c r="BE121" s="38"/>
      <c r="BF121" s="38"/>
      <c r="BG121" s="38"/>
      <c r="BH121" s="38"/>
      <c r="BI121" s="38"/>
      <c r="BJ121" s="38"/>
      <c r="BK121" s="38"/>
      <c r="BL121" s="38"/>
      <c r="BM121" s="38"/>
      <c r="BN121" s="38"/>
      <c r="BO121" s="38"/>
      <c r="BP121" s="38"/>
      <c r="BQ121" s="38"/>
      <c r="BR121" s="38"/>
      <c r="BS121" s="38"/>
      <c r="BT121" s="38"/>
      <c r="BU121" s="38"/>
      <c r="BV121" s="38"/>
      <c r="BW121" s="38"/>
      <c r="BX121" s="38"/>
      <c r="BY121" s="38"/>
      <c r="BZ121" s="38"/>
      <c r="CA121" s="38"/>
      <c r="CB121" s="38"/>
      <c r="CC121" s="38"/>
      <c r="CD121" s="38"/>
      <c r="CE121" s="38"/>
      <c r="CF121" s="38"/>
      <c r="CG121" s="38"/>
      <c r="CH121" s="38"/>
      <c r="CI121" s="38"/>
      <c r="CJ121" s="38"/>
      <c r="CK121" s="38"/>
      <c r="CL121" s="38"/>
      <c r="CM121" s="38"/>
      <c r="CN121" s="38"/>
      <c r="CO121" s="38"/>
      <c r="CP121" s="38"/>
      <c r="CQ121" s="38"/>
      <c r="CR121" s="38"/>
      <c r="CS121" s="38"/>
      <c r="CT121" s="38"/>
      <c r="CU121" s="38"/>
      <c r="CV121" s="38"/>
    </row>
    <row r="122" spans="1:100" x14ac:dyDescent="0.3">
      <c r="A122" s="38"/>
      <c r="B122" s="38"/>
      <c r="C122" s="38"/>
      <c r="D122" s="38"/>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38"/>
      <c r="BA122" s="38"/>
      <c r="BB122" s="38"/>
      <c r="BC122" s="38"/>
      <c r="BD122" s="38"/>
      <c r="BE122" s="38"/>
      <c r="BF122" s="38"/>
      <c r="BG122" s="38"/>
      <c r="BH122" s="38"/>
      <c r="BI122" s="38"/>
      <c r="BJ122" s="38"/>
      <c r="BK122" s="38"/>
      <c r="BL122" s="38"/>
      <c r="BM122" s="38"/>
      <c r="BN122" s="38"/>
      <c r="BO122" s="38"/>
      <c r="BP122" s="38"/>
      <c r="BQ122" s="38"/>
      <c r="BR122" s="38"/>
      <c r="BS122" s="38"/>
      <c r="BT122" s="38"/>
      <c r="BU122" s="38"/>
      <c r="BV122" s="38"/>
      <c r="BW122" s="38"/>
      <c r="BX122" s="38"/>
      <c r="BY122" s="38"/>
      <c r="BZ122" s="38"/>
      <c r="CA122" s="38"/>
      <c r="CB122" s="38"/>
      <c r="CC122" s="38"/>
      <c r="CD122" s="38"/>
      <c r="CE122" s="38"/>
      <c r="CF122" s="38"/>
      <c r="CG122" s="38"/>
      <c r="CH122" s="38"/>
      <c r="CI122" s="38"/>
      <c r="CJ122" s="38"/>
      <c r="CK122" s="38"/>
      <c r="CL122" s="38"/>
      <c r="CM122" s="38"/>
      <c r="CN122" s="38"/>
      <c r="CO122" s="38"/>
      <c r="CP122" s="38"/>
      <c r="CQ122" s="38"/>
      <c r="CR122" s="38"/>
      <c r="CS122" s="38"/>
      <c r="CT122" s="38"/>
      <c r="CU122" s="38"/>
      <c r="CV122" s="38"/>
    </row>
    <row r="123" spans="1:100" x14ac:dyDescent="0.3">
      <c r="A123" s="38"/>
      <c r="B123" s="38"/>
      <c r="C123" s="38"/>
      <c r="D123" s="38"/>
      <c r="E123" s="38"/>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38"/>
      <c r="BA123" s="38"/>
      <c r="BB123" s="38"/>
      <c r="BC123" s="38"/>
      <c r="BD123" s="38"/>
      <c r="BE123" s="38"/>
      <c r="BF123" s="38"/>
      <c r="BG123" s="38"/>
      <c r="BH123" s="38"/>
      <c r="BI123" s="38"/>
      <c r="BJ123" s="38"/>
      <c r="BK123" s="38"/>
      <c r="BL123" s="38"/>
      <c r="BM123" s="38"/>
      <c r="BN123" s="38"/>
      <c r="BO123" s="38"/>
      <c r="BP123" s="38"/>
      <c r="BQ123" s="38"/>
      <c r="BR123" s="38"/>
      <c r="BS123" s="38"/>
      <c r="BT123" s="38"/>
      <c r="BU123" s="38"/>
      <c r="BV123" s="38"/>
      <c r="BW123" s="38"/>
      <c r="BX123" s="38"/>
      <c r="BY123" s="38"/>
      <c r="BZ123" s="38"/>
      <c r="CA123" s="38"/>
      <c r="CB123" s="38"/>
      <c r="CC123" s="38"/>
      <c r="CD123" s="38"/>
      <c r="CE123" s="38"/>
      <c r="CF123" s="38"/>
      <c r="CG123" s="38"/>
      <c r="CH123" s="38"/>
      <c r="CI123" s="38"/>
      <c r="CJ123" s="38"/>
      <c r="CK123" s="38"/>
      <c r="CL123" s="38"/>
      <c r="CM123" s="38"/>
      <c r="CN123" s="38"/>
      <c r="CO123" s="38"/>
      <c r="CP123" s="38"/>
      <c r="CQ123" s="38"/>
      <c r="CR123" s="38"/>
      <c r="CS123" s="38"/>
      <c r="CT123" s="38"/>
      <c r="CU123" s="38"/>
      <c r="CV123" s="38"/>
    </row>
    <row r="124" spans="1:100" x14ac:dyDescent="0.3">
      <c r="A124" s="38"/>
      <c r="B124" s="38"/>
      <c r="C124" s="38"/>
      <c r="D124" s="38"/>
      <c r="E124" s="38"/>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38"/>
      <c r="BA124" s="38"/>
      <c r="BB124" s="38"/>
      <c r="BC124" s="38"/>
      <c r="BD124" s="38"/>
      <c r="BE124" s="38"/>
      <c r="BF124" s="38"/>
      <c r="BG124" s="38"/>
      <c r="BH124" s="38"/>
      <c r="BI124" s="38"/>
      <c r="BJ124" s="38"/>
      <c r="BK124" s="38"/>
      <c r="BL124" s="38"/>
      <c r="BM124" s="38"/>
      <c r="BN124" s="38"/>
      <c r="BO124" s="38"/>
      <c r="BP124" s="38"/>
      <c r="BQ124" s="38"/>
      <c r="BR124" s="38"/>
      <c r="BS124" s="38"/>
      <c r="BT124" s="38"/>
      <c r="BU124" s="38"/>
      <c r="BV124" s="38"/>
      <c r="BW124" s="38"/>
      <c r="BX124" s="38"/>
      <c r="BY124" s="38"/>
      <c r="BZ124" s="38"/>
      <c r="CA124" s="38"/>
      <c r="CB124" s="38"/>
      <c r="CC124" s="38"/>
      <c r="CD124" s="38"/>
      <c r="CE124" s="38"/>
      <c r="CF124" s="38"/>
      <c r="CG124" s="38"/>
      <c r="CH124" s="38"/>
      <c r="CI124" s="38"/>
      <c r="CJ124" s="38"/>
      <c r="CK124" s="38"/>
      <c r="CL124" s="38"/>
      <c r="CM124" s="38"/>
      <c r="CN124" s="38"/>
      <c r="CO124" s="38"/>
      <c r="CP124" s="38"/>
      <c r="CQ124" s="38"/>
      <c r="CR124" s="38"/>
      <c r="CS124" s="38"/>
      <c r="CT124" s="38"/>
      <c r="CU124" s="38"/>
      <c r="CV124" s="38"/>
    </row>
    <row r="125" spans="1:100" x14ac:dyDescent="0.3">
      <c r="A125" s="38"/>
      <c r="B125" s="38"/>
      <c r="C125" s="38"/>
      <c r="D125" s="38"/>
      <c r="E125" s="38"/>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38"/>
      <c r="BA125" s="38"/>
      <c r="BB125" s="38"/>
      <c r="BC125" s="38"/>
      <c r="BD125" s="38"/>
      <c r="BE125" s="38"/>
      <c r="BF125" s="38"/>
      <c r="BG125" s="38"/>
      <c r="BH125" s="38"/>
      <c r="BI125" s="38"/>
      <c r="BJ125" s="38"/>
      <c r="BK125" s="38"/>
      <c r="BL125" s="38"/>
      <c r="BM125" s="38"/>
      <c r="BN125" s="38"/>
      <c r="BO125" s="38"/>
      <c r="BP125" s="38"/>
      <c r="BQ125" s="38"/>
      <c r="BR125" s="38"/>
      <c r="BS125" s="38"/>
      <c r="BT125" s="38"/>
      <c r="BU125" s="38"/>
      <c r="BV125" s="38"/>
      <c r="BW125" s="38"/>
      <c r="BX125" s="38"/>
      <c r="BY125" s="38"/>
      <c r="BZ125" s="38"/>
      <c r="CA125" s="38"/>
      <c r="CB125" s="38"/>
      <c r="CC125" s="38"/>
      <c r="CD125" s="38"/>
      <c r="CE125" s="38"/>
      <c r="CF125" s="38"/>
      <c r="CG125" s="38"/>
      <c r="CH125" s="38"/>
      <c r="CI125" s="38"/>
      <c r="CJ125" s="38"/>
      <c r="CK125" s="38"/>
      <c r="CL125" s="38"/>
      <c r="CM125" s="38"/>
      <c r="CN125" s="38"/>
      <c r="CO125" s="38"/>
      <c r="CP125" s="38"/>
      <c r="CQ125" s="38"/>
      <c r="CR125" s="38"/>
      <c r="CS125" s="38"/>
      <c r="CT125" s="38"/>
      <c r="CU125" s="38"/>
      <c r="CV125" s="38"/>
    </row>
    <row r="126" spans="1:100" x14ac:dyDescent="0.3">
      <c r="A126" s="38"/>
      <c r="B126" s="38"/>
      <c r="C126" s="38"/>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c r="BJ126" s="38"/>
      <c r="BK126" s="38"/>
      <c r="BL126" s="38"/>
      <c r="BM126" s="38"/>
      <c r="BN126" s="38"/>
      <c r="BO126" s="38"/>
      <c r="BP126" s="38"/>
      <c r="BQ126" s="38"/>
      <c r="BR126" s="38"/>
      <c r="BS126" s="38"/>
      <c r="BT126" s="38"/>
      <c r="BU126" s="38"/>
      <c r="BV126" s="38"/>
      <c r="BW126" s="38"/>
      <c r="BX126" s="38"/>
      <c r="BY126" s="38"/>
      <c r="BZ126" s="38"/>
      <c r="CA126" s="38"/>
      <c r="CB126" s="38"/>
      <c r="CC126" s="38"/>
      <c r="CD126" s="38"/>
      <c r="CE126" s="38"/>
      <c r="CF126" s="38"/>
      <c r="CG126" s="38"/>
      <c r="CH126" s="38"/>
      <c r="CI126" s="38"/>
      <c r="CJ126" s="38"/>
      <c r="CK126" s="38"/>
      <c r="CL126" s="38"/>
      <c r="CM126" s="38"/>
      <c r="CN126" s="38"/>
      <c r="CO126" s="38"/>
      <c r="CP126" s="38"/>
      <c r="CQ126" s="38"/>
      <c r="CR126" s="38"/>
      <c r="CS126" s="38"/>
      <c r="CT126" s="38"/>
      <c r="CU126" s="38"/>
      <c r="CV126" s="38"/>
    </row>
    <row r="127" spans="1:100" x14ac:dyDescent="0.3">
      <c r="A127" s="38"/>
      <c r="B127" s="38"/>
      <c r="C127" s="38"/>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c r="BE127" s="38"/>
      <c r="BF127" s="38"/>
      <c r="BG127" s="38"/>
      <c r="BH127" s="38"/>
      <c r="BI127" s="38"/>
      <c r="BJ127" s="38"/>
      <c r="BK127" s="38"/>
      <c r="BL127" s="38"/>
      <c r="BM127" s="38"/>
      <c r="BN127" s="38"/>
      <c r="BO127" s="38"/>
      <c r="BP127" s="38"/>
      <c r="BQ127" s="38"/>
      <c r="BR127" s="38"/>
      <c r="BS127" s="38"/>
      <c r="BT127" s="38"/>
      <c r="BU127" s="38"/>
      <c r="BV127" s="38"/>
      <c r="BW127" s="38"/>
      <c r="BX127" s="38"/>
      <c r="BY127" s="38"/>
      <c r="BZ127" s="38"/>
      <c r="CA127" s="38"/>
      <c r="CB127" s="38"/>
      <c r="CC127" s="38"/>
      <c r="CD127" s="38"/>
      <c r="CE127" s="38"/>
      <c r="CF127" s="38"/>
      <c r="CG127" s="38"/>
      <c r="CH127" s="38"/>
      <c r="CI127" s="38"/>
      <c r="CJ127" s="38"/>
      <c r="CK127" s="38"/>
      <c r="CL127" s="38"/>
      <c r="CM127" s="38"/>
      <c r="CN127" s="38"/>
      <c r="CO127" s="38"/>
      <c r="CP127" s="38"/>
      <c r="CQ127" s="38"/>
      <c r="CR127" s="38"/>
      <c r="CS127" s="38"/>
      <c r="CT127" s="38"/>
      <c r="CU127" s="38"/>
      <c r="CV127" s="38"/>
    </row>
    <row r="128" spans="1:100" x14ac:dyDescent="0.3">
      <c r="A128" s="38"/>
      <c r="B128" s="38"/>
      <c r="C128" s="38"/>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8"/>
      <c r="BF128" s="38"/>
      <c r="BG128" s="38"/>
      <c r="BH128" s="38"/>
      <c r="BI128" s="38"/>
      <c r="BJ128" s="38"/>
      <c r="BK128" s="38"/>
      <c r="BL128" s="38"/>
      <c r="BM128" s="38"/>
      <c r="BN128" s="38"/>
      <c r="BO128" s="38"/>
      <c r="BP128" s="38"/>
      <c r="BQ128" s="38"/>
      <c r="BR128" s="38"/>
      <c r="BS128" s="38"/>
      <c r="BT128" s="38"/>
      <c r="BU128" s="38"/>
      <c r="BV128" s="38"/>
      <c r="BW128" s="38"/>
      <c r="BX128" s="38"/>
      <c r="BY128" s="38"/>
      <c r="BZ128" s="38"/>
      <c r="CA128" s="38"/>
      <c r="CB128" s="38"/>
      <c r="CC128" s="38"/>
      <c r="CD128" s="38"/>
      <c r="CE128" s="38"/>
      <c r="CF128" s="38"/>
      <c r="CG128" s="38"/>
      <c r="CH128" s="38"/>
      <c r="CI128" s="38"/>
      <c r="CJ128" s="38"/>
      <c r="CK128" s="38"/>
      <c r="CL128" s="38"/>
      <c r="CM128" s="38"/>
      <c r="CN128" s="38"/>
      <c r="CO128" s="38"/>
      <c r="CP128" s="38"/>
      <c r="CQ128" s="38"/>
      <c r="CR128" s="38"/>
      <c r="CS128" s="38"/>
      <c r="CT128" s="38"/>
      <c r="CU128" s="38"/>
      <c r="CV128" s="38"/>
    </row>
    <row r="129" spans="1:83" x14ac:dyDescent="0.3">
      <c r="A129" s="38"/>
      <c r="B129" s="38"/>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38"/>
      <c r="BA129" s="38"/>
      <c r="BB129" s="38"/>
      <c r="BC129" s="38"/>
      <c r="BD129" s="38"/>
      <c r="BE129" s="38"/>
      <c r="BF129" s="38"/>
      <c r="BG129" s="38"/>
      <c r="BH129" s="38"/>
      <c r="BI129" s="38"/>
      <c r="BJ129" s="38"/>
      <c r="BK129" s="38"/>
      <c r="BL129" s="38"/>
      <c r="BM129" s="38"/>
      <c r="BN129" s="38"/>
      <c r="BO129" s="38"/>
      <c r="BP129" s="38"/>
      <c r="BQ129" s="38"/>
      <c r="BR129" s="38"/>
      <c r="BS129" s="38"/>
      <c r="BT129" s="38"/>
      <c r="BU129" s="38"/>
      <c r="BV129" s="38"/>
      <c r="BW129" s="38"/>
      <c r="BX129" s="38"/>
      <c r="BY129" s="38"/>
      <c r="BZ129" s="38"/>
      <c r="CA129" s="38"/>
      <c r="CB129" s="38"/>
      <c r="CC129" s="38"/>
      <c r="CD129" s="38"/>
      <c r="CE129" s="38"/>
    </row>
    <row r="130" spans="1:83" x14ac:dyDescent="0.3">
      <c r="A130" s="38"/>
      <c r="B130" s="38"/>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38"/>
      <c r="BA130" s="38"/>
      <c r="BB130" s="38"/>
      <c r="BC130" s="38"/>
      <c r="BD130" s="38"/>
      <c r="BE130" s="38"/>
      <c r="BF130" s="38"/>
      <c r="BG130" s="38"/>
      <c r="BH130" s="38"/>
      <c r="BI130" s="38"/>
      <c r="BJ130" s="38"/>
      <c r="BK130" s="38"/>
      <c r="BL130" s="38"/>
      <c r="BM130" s="38"/>
      <c r="BN130" s="38"/>
      <c r="BO130" s="38"/>
      <c r="BP130" s="38"/>
      <c r="BQ130" s="38"/>
      <c r="BR130" s="38"/>
      <c r="BS130" s="38"/>
      <c r="BT130" s="38"/>
      <c r="BU130" s="38"/>
      <c r="BV130" s="38"/>
      <c r="BW130" s="38"/>
      <c r="BX130" s="38"/>
      <c r="BY130" s="38"/>
      <c r="BZ130" s="38"/>
      <c r="CA130" s="38"/>
      <c r="CB130" s="38"/>
      <c r="CC130" s="38"/>
      <c r="CD130" s="38"/>
      <c r="CE130" s="38"/>
    </row>
    <row r="131" spans="1:83" x14ac:dyDescent="0.3">
      <c r="A131" s="38"/>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8"/>
      <c r="AZ131" s="38"/>
      <c r="BA131" s="38"/>
      <c r="BB131" s="38"/>
      <c r="BC131" s="38"/>
      <c r="BD131" s="38"/>
      <c r="BE131" s="38"/>
      <c r="BF131" s="38"/>
      <c r="BG131" s="38"/>
      <c r="BH131" s="38"/>
      <c r="BI131" s="38"/>
      <c r="BJ131" s="38"/>
      <c r="BK131" s="38"/>
      <c r="BL131" s="38"/>
      <c r="BM131" s="38"/>
      <c r="BN131" s="38"/>
      <c r="BO131" s="38"/>
      <c r="BP131" s="38"/>
      <c r="BQ131" s="38"/>
      <c r="BR131" s="38"/>
      <c r="BS131" s="38"/>
      <c r="BT131" s="38"/>
      <c r="BU131" s="38"/>
      <c r="BV131" s="38"/>
      <c r="BW131" s="38"/>
      <c r="BX131" s="38"/>
      <c r="BY131" s="38"/>
      <c r="BZ131" s="38"/>
      <c r="CA131" s="38"/>
      <c r="CB131" s="38"/>
      <c r="CC131" s="38"/>
      <c r="CD131" s="38"/>
      <c r="CE131" s="38"/>
    </row>
    <row r="132" spans="1:83" x14ac:dyDescent="0.3">
      <c r="A132" s="38"/>
      <c r="B132" s="38"/>
      <c r="C132" s="38"/>
      <c r="D132" s="38"/>
      <c r="E132" s="38"/>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38"/>
      <c r="BA132" s="38"/>
      <c r="BB132" s="38"/>
      <c r="BC132" s="38"/>
      <c r="BD132" s="38"/>
      <c r="BE132" s="38"/>
      <c r="BF132" s="38"/>
      <c r="BG132" s="38"/>
      <c r="BH132" s="38"/>
      <c r="BI132" s="38"/>
      <c r="BJ132" s="38"/>
      <c r="BK132" s="38"/>
      <c r="BL132" s="38"/>
      <c r="BM132" s="38"/>
      <c r="BN132" s="38"/>
      <c r="BO132" s="38"/>
      <c r="BP132" s="38"/>
      <c r="BQ132" s="38"/>
      <c r="BR132" s="38"/>
      <c r="BS132" s="38"/>
      <c r="BT132" s="38"/>
      <c r="BU132" s="38"/>
      <c r="BV132" s="38"/>
      <c r="BW132" s="38"/>
      <c r="BX132" s="38"/>
      <c r="BY132" s="38"/>
      <c r="BZ132" s="38"/>
      <c r="CA132" s="38"/>
      <c r="CB132" s="38"/>
      <c r="CC132" s="38"/>
      <c r="CD132" s="38"/>
      <c r="CE132" s="38"/>
    </row>
    <row r="133" spans="1:83" x14ac:dyDescent="0.3">
      <c r="A133" s="38"/>
      <c r="B133" s="38"/>
      <c r="C133" s="38"/>
      <c r="D133" s="38"/>
      <c r="E133" s="38"/>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38"/>
      <c r="BA133" s="38"/>
      <c r="BB133" s="38"/>
      <c r="BC133" s="38"/>
      <c r="BD133" s="38"/>
      <c r="BE133" s="38"/>
      <c r="BF133" s="38"/>
      <c r="BG133" s="38"/>
      <c r="BH133" s="38"/>
      <c r="BI133" s="38"/>
      <c r="BJ133" s="38"/>
      <c r="BK133" s="38"/>
      <c r="BL133" s="38"/>
      <c r="BM133" s="38"/>
      <c r="BN133" s="38"/>
      <c r="BO133" s="38"/>
      <c r="BP133" s="38"/>
      <c r="BQ133" s="38"/>
      <c r="BR133" s="38"/>
      <c r="BS133" s="38"/>
      <c r="BT133" s="38"/>
      <c r="BU133" s="38"/>
      <c r="BV133" s="38"/>
      <c r="BW133" s="38"/>
      <c r="BX133" s="38"/>
      <c r="BY133" s="38"/>
      <c r="BZ133" s="38"/>
      <c r="CA133" s="38"/>
      <c r="CB133" s="38"/>
      <c r="CC133" s="38"/>
      <c r="CD133" s="38"/>
      <c r="CE133" s="38"/>
    </row>
    <row r="134" spans="1:83" x14ac:dyDescent="0.3">
      <c r="A134" s="38"/>
      <c r="B134" s="38"/>
      <c r="C134" s="38"/>
      <c r="D134" s="38"/>
      <c r="E134" s="38"/>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38"/>
      <c r="BA134" s="38"/>
      <c r="BB134" s="38"/>
      <c r="BC134" s="38"/>
      <c r="BD134" s="38"/>
      <c r="BE134" s="38"/>
      <c r="BF134" s="38"/>
      <c r="BG134" s="38"/>
      <c r="BH134" s="38"/>
      <c r="BI134" s="38"/>
      <c r="BJ134" s="38"/>
      <c r="BK134" s="38"/>
      <c r="BL134" s="38"/>
      <c r="BM134" s="38"/>
      <c r="BN134" s="38"/>
      <c r="BO134" s="38"/>
      <c r="BP134" s="38"/>
      <c r="BQ134" s="38"/>
      <c r="BR134" s="38"/>
      <c r="BS134" s="38"/>
      <c r="BT134" s="38"/>
      <c r="BU134" s="38"/>
      <c r="BV134" s="38"/>
      <c r="BW134" s="38"/>
      <c r="BX134" s="38"/>
      <c r="BY134" s="38"/>
      <c r="BZ134" s="38"/>
      <c r="CA134" s="38"/>
      <c r="CB134" s="38"/>
      <c r="CC134" s="38"/>
      <c r="CD134" s="38"/>
      <c r="CE134" s="38"/>
    </row>
    <row r="135" spans="1:83" x14ac:dyDescent="0.3">
      <c r="A135" s="38"/>
      <c r="B135" s="38"/>
      <c r="C135" s="38"/>
      <c r="D135" s="38"/>
      <c r="E135" s="38"/>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38"/>
      <c r="BA135" s="38"/>
      <c r="BB135" s="38"/>
      <c r="BC135" s="38"/>
      <c r="BD135" s="38"/>
      <c r="BE135" s="38"/>
      <c r="BF135" s="38"/>
      <c r="BG135" s="38"/>
      <c r="BH135" s="38"/>
      <c r="BI135" s="38"/>
      <c r="BJ135" s="38"/>
      <c r="BK135" s="38"/>
      <c r="BL135" s="38"/>
      <c r="BM135" s="38"/>
      <c r="BN135" s="38"/>
      <c r="BO135" s="38"/>
      <c r="BP135" s="38"/>
      <c r="BQ135" s="38"/>
      <c r="BR135" s="38"/>
      <c r="BS135" s="38"/>
      <c r="BT135" s="38"/>
      <c r="BU135" s="38"/>
      <c r="BV135" s="38"/>
      <c r="BW135" s="38"/>
      <c r="BX135" s="38"/>
      <c r="BY135" s="38"/>
      <c r="BZ135" s="38"/>
      <c r="CA135" s="38"/>
      <c r="CB135" s="38"/>
      <c r="CC135" s="38"/>
      <c r="CD135" s="38"/>
      <c r="CE135" s="38"/>
    </row>
    <row r="136" spans="1:83" x14ac:dyDescent="0.3">
      <c r="A136" s="38"/>
      <c r="B136" s="38"/>
      <c r="C136" s="38"/>
      <c r="D136" s="38"/>
      <c r="E136" s="38"/>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38"/>
      <c r="BA136" s="38"/>
      <c r="BB136" s="38"/>
      <c r="BC136" s="38"/>
      <c r="BD136" s="38"/>
      <c r="BE136" s="38"/>
      <c r="BF136" s="38"/>
      <c r="BG136" s="38"/>
      <c r="BH136" s="38"/>
      <c r="BI136" s="38"/>
      <c r="BJ136" s="38"/>
      <c r="BK136" s="38"/>
      <c r="BL136" s="38"/>
      <c r="BM136" s="38"/>
      <c r="BN136" s="38"/>
      <c r="BO136" s="38"/>
      <c r="BP136" s="38"/>
      <c r="BQ136" s="38"/>
      <c r="BR136" s="38"/>
      <c r="BS136" s="38"/>
      <c r="BT136" s="38"/>
      <c r="BU136" s="38"/>
      <c r="BV136" s="38"/>
      <c r="BW136" s="38"/>
      <c r="BX136" s="38"/>
      <c r="BY136" s="38"/>
      <c r="BZ136" s="38"/>
      <c r="CA136" s="38"/>
      <c r="CB136" s="38"/>
      <c r="CC136" s="38"/>
      <c r="CD136" s="38"/>
      <c r="CE136" s="38"/>
    </row>
    <row r="137" spans="1:83" x14ac:dyDescent="0.3">
      <c r="A137" s="38"/>
      <c r="B137" s="38"/>
      <c r="C137" s="38"/>
      <c r="D137" s="38"/>
      <c r="E137" s="38"/>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38"/>
      <c r="BA137" s="38"/>
      <c r="BB137" s="38"/>
      <c r="BC137" s="38"/>
      <c r="BD137" s="38"/>
      <c r="BE137" s="38"/>
      <c r="BF137" s="38"/>
      <c r="BG137" s="38"/>
      <c r="BH137" s="38"/>
      <c r="BI137" s="38"/>
      <c r="BJ137" s="38"/>
      <c r="BK137" s="38"/>
      <c r="BL137" s="38"/>
      <c r="BM137" s="38"/>
      <c r="BN137" s="38"/>
      <c r="BO137" s="38"/>
      <c r="BP137" s="38"/>
      <c r="BQ137" s="38"/>
      <c r="BR137" s="38"/>
      <c r="BS137" s="38"/>
      <c r="BT137" s="38"/>
      <c r="BU137" s="38"/>
      <c r="BV137" s="38"/>
      <c r="BW137" s="38"/>
      <c r="BX137" s="38"/>
      <c r="BY137" s="38"/>
      <c r="BZ137" s="38"/>
      <c r="CA137" s="38"/>
      <c r="CB137" s="38"/>
      <c r="CC137" s="38"/>
      <c r="CD137" s="38"/>
      <c r="CE137" s="38"/>
    </row>
    <row r="138" spans="1:83" x14ac:dyDescent="0.3">
      <c r="A138" s="38"/>
      <c r="B138" s="38"/>
      <c r="C138" s="38"/>
      <c r="D138" s="38"/>
      <c r="E138" s="38"/>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c r="AD138" s="38"/>
      <c r="AE138" s="38"/>
      <c r="AF138" s="38"/>
      <c r="AG138" s="38"/>
      <c r="AH138" s="38"/>
      <c r="AI138" s="38"/>
      <c r="AJ138" s="38"/>
      <c r="AK138" s="38"/>
      <c r="AL138" s="38"/>
      <c r="AM138" s="38"/>
      <c r="AN138" s="38"/>
      <c r="AO138" s="38"/>
      <c r="AP138" s="38"/>
      <c r="AQ138" s="38"/>
      <c r="AR138" s="38"/>
      <c r="AS138" s="38"/>
      <c r="AT138" s="38"/>
      <c r="AU138" s="38"/>
      <c r="AV138" s="38"/>
      <c r="AW138" s="38"/>
      <c r="AX138" s="38"/>
      <c r="AY138" s="38"/>
      <c r="AZ138" s="38"/>
      <c r="BA138" s="38"/>
      <c r="BB138" s="38"/>
      <c r="BC138" s="38"/>
      <c r="BD138" s="38"/>
      <c r="BE138" s="38"/>
      <c r="BF138" s="38"/>
      <c r="BG138" s="38"/>
      <c r="BH138" s="38"/>
      <c r="BI138" s="38"/>
      <c r="BJ138" s="38"/>
      <c r="BK138" s="38"/>
      <c r="BL138" s="38"/>
      <c r="BM138" s="38"/>
      <c r="BN138" s="38"/>
      <c r="BO138" s="38"/>
      <c r="BP138" s="38"/>
      <c r="BQ138" s="38"/>
      <c r="BR138" s="38"/>
      <c r="BS138" s="38"/>
      <c r="BT138" s="38"/>
      <c r="BU138" s="38"/>
      <c r="BV138" s="38"/>
      <c r="BW138" s="38"/>
      <c r="BX138" s="38"/>
      <c r="BY138" s="38"/>
      <c r="BZ138" s="38"/>
      <c r="CA138" s="38"/>
      <c r="CB138" s="38"/>
      <c r="CC138" s="38"/>
      <c r="CD138" s="38"/>
      <c r="CE138" s="38"/>
    </row>
    <row r="139" spans="1:83" x14ac:dyDescent="0.3">
      <c r="A139" s="38"/>
      <c r="B139" s="38"/>
      <c r="C139" s="38"/>
      <c r="D139" s="38"/>
      <c r="E139" s="38"/>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c r="AP139" s="38"/>
      <c r="AQ139" s="38"/>
      <c r="AR139" s="38"/>
      <c r="AS139" s="38"/>
      <c r="AT139" s="38"/>
      <c r="AU139" s="38"/>
      <c r="AV139" s="38"/>
      <c r="AW139" s="38"/>
      <c r="AX139" s="38"/>
      <c r="AY139" s="38"/>
      <c r="AZ139" s="38"/>
      <c r="BA139" s="38"/>
      <c r="BB139" s="38"/>
      <c r="BC139" s="38"/>
      <c r="BD139" s="38"/>
      <c r="BE139" s="38"/>
      <c r="BF139" s="38"/>
      <c r="BG139" s="38"/>
      <c r="BH139" s="38"/>
      <c r="BI139" s="38"/>
      <c r="BJ139" s="38"/>
      <c r="BK139" s="38"/>
      <c r="BL139" s="38"/>
      <c r="BM139" s="38"/>
      <c r="BN139" s="38"/>
      <c r="BO139" s="38"/>
      <c r="BP139" s="38"/>
      <c r="BQ139" s="38"/>
      <c r="BR139" s="38"/>
      <c r="BS139" s="38"/>
      <c r="BT139" s="38"/>
      <c r="BU139" s="38"/>
      <c r="BV139" s="38"/>
      <c r="BW139" s="38"/>
      <c r="BX139" s="38"/>
      <c r="BY139" s="38"/>
      <c r="BZ139" s="38"/>
      <c r="CA139" s="38"/>
      <c r="CB139" s="38"/>
      <c r="CC139" s="38"/>
      <c r="CD139" s="38"/>
      <c r="CE139" s="38"/>
    </row>
    <row r="140" spans="1:83" x14ac:dyDescent="0.3">
      <c r="A140" s="38"/>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c r="AD140" s="38"/>
      <c r="AE140" s="38"/>
      <c r="AF140" s="38"/>
      <c r="AG140" s="38"/>
      <c r="AH140" s="38"/>
      <c r="AI140" s="38"/>
      <c r="AJ140" s="38"/>
      <c r="AK140" s="38"/>
      <c r="AL140" s="38"/>
      <c r="AM140" s="38"/>
      <c r="AN140" s="38"/>
      <c r="AO140" s="38"/>
      <c r="AP140" s="38"/>
      <c r="AQ140" s="38"/>
      <c r="AR140" s="38"/>
      <c r="AS140" s="38"/>
      <c r="AT140" s="38"/>
      <c r="AU140" s="38"/>
      <c r="AV140" s="38"/>
      <c r="AW140" s="38"/>
      <c r="AX140" s="38"/>
      <c r="AY140" s="38"/>
      <c r="AZ140" s="38"/>
      <c r="BA140" s="38"/>
      <c r="BB140" s="38"/>
      <c r="BC140" s="38"/>
      <c r="BD140" s="38"/>
      <c r="BE140" s="38"/>
      <c r="BF140" s="38"/>
      <c r="BG140" s="38"/>
      <c r="BH140" s="38"/>
      <c r="BI140" s="38"/>
      <c r="BJ140" s="38"/>
      <c r="BK140" s="38"/>
      <c r="BL140" s="38"/>
      <c r="BM140" s="38"/>
      <c r="BN140" s="38"/>
      <c r="BO140" s="38"/>
      <c r="BP140" s="38"/>
      <c r="BQ140" s="38"/>
      <c r="BR140" s="38"/>
      <c r="BS140" s="38"/>
      <c r="BT140" s="38"/>
      <c r="BU140" s="38"/>
      <c r="BV140" s="38"/>
      <c r="BW140" s="38"/>
      <c r="BX140" s="38"/>
      <c r="BY140" s="38"/>
      <c r="BZ140" s="38"/>
      <c r="CA140" s="38"/>
      <c r="CB140" s="38"/>
      <c r="CC140" s="38"/>
      <c r="CD140" s="38"/>
      <c r="CE140" s="38"/>
    </row>
    <row r="141" spans="1:83" x14ac:dyDescent="0.3">
      <c r="A141" s="38"/>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c r="AM141" s="38"/>
      <c r="AN141" s="38"/>
      <c r="AO141" s="38"/>
      <c r="AP141" s="38"/>
      <c r="AQ141" s="38"/>
      <c r="AR141" s="38"/>
      <c r="AS141" s="38"/>
      <c r="AT141" s="38"/>
      <c r="AU141" s="38"/>
      <c r="AV141" s="38"/>
      <c r="AW141" s="38"/>
      <c r="AX141" s="38"/>
      <c r="AY141" s="38"/>
      <c r="AZ141" s="38"/>
      <c r="BA141" s="38"/>
      <c r="BB141" s="38"/>
      <c r="BC141" s="38"/>
      <c r="BD141" s="38"/>
      <c r="BE141" s="38"/>
      <c r="BF141" s="38"/>
      <c r="BG141" s="38"/>
      <c r="BH141" s="38"/>
      <c r="BI141" s="38"/>
      <c r="BJ141" s="38"/>
      <c r="BK141" s="38"/>
      <c r="BL141" s="38"/>
      <c r="BM141" s="38"/>
      <c r="BN141" s="38"/>
      <c r="BO141" s="38"/>
      <c r="BP141" s="38"/>
      <c r="BQ141" s="38"/>
      <c r="BR141" s="38"/>
      <c r="BS141" s="38"/>
      <c r="BT141" s="38"/>
      <c r="BU141" s="38"/>
      <c r="BV141" s="38"/>
      <c r="BW141" s="38"/>
      <c r="BX141" s="38"/>
      <c r="BY141" s="38"/>
      <c r="BZ141" s="38"/>
      <c r="CA141" s="38"/>
      <c r="CB141" s="38"/>
      <c r="CC141" s="38"/>
      <c r="CD141" s="38"/>
      <c r="CE141" s="38"/>
    </row>
    <row r="142" spans="1:83" x14ac:dyDescent="0.3">
      <c r="A142" s="38"/>
      <c r="B142" s="38"/>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c r="AB142" s="38"/>
      <c r="AC142" s="38"/>
      <c r="AD142" s="38"/>
      <c r="AE142" s="38"/>
      <c r="AF142" s="38"/>
      <c r="AG142" s="38"/>
      <c r="AH142" s="38"/>
      <c r="AI142" s="38"/>
      <c r="AJ142" s="38"/>
      <c r="AK142" s="38"/>
      <c r="AL142" s="38"/>
      <c r="AM142" s="38"/>
      <c r="AN142" s="38"/>
      <c r="AO142" s="38"/>
      <c r="AP142" s="38"/>
      <c r="AQ142" s="38"/>
      <c r="AR142" s="38"/>
      <c r="AS142" s="38"/>
      <c r="AT142" s="38"/>
      <c r="AU142" s="38"/>
      <c r="AV142" s="38"/>
      <c r="AW142" s="38"/>
      <c r="AX142" s="38"/>
      <c r="AY142" s="38"/>
      <c r="AZ142" s="38"/>
      <c r="BA142" s="38"/>
      <c r="BB142" s="38"/>
      <c r="BC142" s="38"/>
      <c r="BD142" s="38"/>
      <c r="BE142" s="38"/>
      <c r="BF142" s="38"/>
      <c r="BG142" s="38"/>
      <c r="BH142" s="38"/>
      <c r="BI142" s="38"/>
      <c r="BJ142" s="38"/>
      <c r="BK142" s="38"/>
      <c r="BL142" s="38"/>
      <c r="BM142" s="38"/>
      <c r="BN142" s="38"/>
      <c r="BO142" s="38"/>
      <c r="BP142" s="38"/>
      <c r="BQ142" s="38"/>
      <c r="BR142" s="38"/>
      <c r="BS142" s="38"/>
      <c r="BT142" s="38"/>
      <c r="BU142" s="38"/>
      <c r="BV142" s="38"/>
      <c r="BW142" s="38"/>
      <c r="BX142" s="38"/>
      <c r="BY142" s="38"/>
      <c r="BZ142" s="38"/>
      <c r="CA142" s="38"/>
      <c r="CB142" s="38"/>
      <c r="CC142" s="38"/>
      <c r="CD142" s="38"/>
      <c r="CE142" s="38"/>
    </row>
    <row r="143" spans="1:83" x14ac:dyDescent="0.3">
      <c r="A143" s="38"/>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38"/>
      <c r="AE143" s="38"/>
      <c r="AF143" s="38"/>
      <c r="AG143" s="38"/>
      <c r="AH143" s="38"/>
      <c r="AI143" s="38"/>
      <c r="AJ143" s="38"/>
      <c r="AK143" s="38"/>
      <c r="AL143" s="38"/>
      <c r="AM143" s="38"/>
      <c r="AN143" s="38"/>
      <c r="AO143" s="38"/>
      <c r="AP143" s="38"/>
      <c r="AQ143" s="38"/>
      <c r="AR143" s="38"/>
      <c r="AS143" s="38"/>
      <c r="AT143" s="38"/>
      <c r="AU143" s="38"/>
      <c r="AV143" s="38"/>
      <c r="AW143" s="38"/>
      <c r="AX143" s="38"/>
      <c r="AY143" s="38"/>
      <c r="AZ143" s="38"/>
      <c r="BA143" s="38"/>
      <c r="BB143" s="38"/>
      <c r="BC143" s="38"/>
      <c r="BD143" s="38"/>
      <c r="BE143" s="38"/>
      <c r="BF143" s="38"/>
      <c r="BG143" s="38"/>
      <c r="BH143" s="38"/>
      <c r="BI143" s="38"/>
      <c r="BJ143" s="38"/>
      <c r="BK143" s="38"/>
      <c r="BL143" s="38"/>
      <c r="BM143" s="38"/>
      <c r="BN143" s="38"/>
      <c r="BO143" s="38"/>
      <c r="BP143" s="38"/>
      <c r="BQ143" s="38"/>
      <c r="BR143" s="38"/>
      <c r="BS143" s="38"/>
      <c r="BT143" s="38"/>
      <c r="BU143" s="38"/>
      <c r="BV143" s="38"/>
      <c r="BW143" s="38"/>
      <c r="BX143" s="38"/>
      <c r="BY143" s="38"/>
      <c r="BZ143" s="38"/>
      <c r="CA143" s="38"/>
      <c r="CB143" s="38"/>
      <c r="CC143" s="38"/>
      <c r="CD143" s="38"/>
      <c r="CE143" s="38"/>
    </row>
    <row r="144" spans="1:83" x14ac:dyDescent="0.3">
      <c r="A144" s="38"/>
      <c r="B144" s="38"/>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c r="AD144" s="38"/>
      <c r="AE144" s="38"/>
      <c r="AF144" s="38"/>
      <c r="AG144" s="38"/>
      <c r="AH144" s="38"/>
      <c r="AI144" s="38"/>
      <c r="AJ144" s="38"/>
      <c r="AK144" s="38"/>
      <c r="AL144" s="38"/>
      <c r="AM144" s="38"/>
      <c r="AN144" s="38"/>
      <c r="AO144" s="38"/>
      <c r="AP144" s="38"/>
      <c r="AQ144" s="38"/>
      <c r="AR144" s="38"/>
      <c r="AS144" s="38"/>
      <c r="AT144" s="38"/>
      <c r="AU144" s="38"/>
      <c r="AV144" s="38"/>
      <c r="AW144" s="38"/>
      <c r="AX144" s="38"/>
      <c r="AY144" s="38"/>
      <c r="AZ144" s="38"/>
      <c r="BA144" s="38"/>
      <c r="BB144" s="38"/>
      <c r="BC144" s="38"/>
      <c r="BD144" s="38"/>
      <c r="BE144" s="38"/>
      <c r="BF144" s="38"/>
      <c r="BG144" s="38"/>
      <c r="BH144" s="38"/>
      <c r="BI144" s="38"/>
      <c r="BJ144" s="38"/>
      <c r="BK144" s="38"/>
      <c r="BL144" s="38"/>
      <c r="BM144" s="38"/>
      <c r="BN144" s="38"/>
      <c r="BO144" s="38"/>
      <c r="BP144" s="38"/>
      <c r="BQ144" s="38"/>
      <c r="BR144" s="38"/>
      <c r="BS144" s="38"/>
      <c r="BT144" s="38"/>
      <c r="BU144" s="38"/>
      <c r="BV144" s="38"/>
      <c r="BW144" s="38"/>
      <c r="BX144" s="38"/>
      <c r="BY144" s="38"/>
      <c r="BZ144" s="38"/>
      <c r="CA144" s="38"/>
      <c r="CB144" s="38"/>
      <c r="CC144" s="38"/>
      <c r="CD144" s="38"/>
      <c r="CE144" s="38"/>
    </row>
    <row r="145" spans="1:83" x14ac:dyDescent="0.3">
      <c r="A145" s="38"/>
      <c r="B145" s="38"/>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38"/>
      <c r="AE145" s="38"/>
      <c r="AF145" s="38"/>
      <c r="AG145" s="38"/>
      <c r="AH145" s="38"/>
      <c r="AI145" s="38"/>
      <c r="AJ145" s="38"/>
      <c r="AK145" s="38"/>
      <c r="AL145" s="38"/>
      <c r="AM145" s="38"/>
      <c r="AN145" s="38"/>
      <c r="AO145" s="38"/>
      <c r="AP145" s="38"/>
      <c r="AQ145" s="38"/>
      <c r="AR145" s="38"/>
      <c r="AS145" s="38"/>
      <c r="AT145" s="38"/>
      <c r="AU145" s="38"/>
      <c r="AV145" s="38"/>
      <c r="AW145" s="38"/>
      <c r="AX145" s="38"/>
      <c r="AY145" s="38"/>
      <c r="AZ145" s="38"/>
      <c r="BA145" s="38"/>
      <c r="BB145" s="38"/>
      <c r="BC145" s="38"/>
      <c r="BD145" s="38"/>
      <c r="BE145" s="38"/>
      <c r="BF145" s="38"/>
      <c r="BG145" s="38"/>
      <c r="BH145" s="38"/>
      <c r="BI145" s="38"/>
      <c r="BJ145" s="38"/>
      <c r="BK145" s="38"/>
      <c r="BL145" s="38"/>
      <c r="BM145" s="38"/>
      <c r="BN145" s="38"/>
      <c r="BO145" s="38"/>
      <c r="BP145" s="38"/>
      <c r="BQ145" s="38"/>
      <c r="BR145" s="38"/>
      <c r="BS145" s="38"/>
      <c r="BT145" s="38"/>
      <c r="BU145" s="38"/>
      <c r="BV145" s="38"/>
      <c r="BW145" s="38"/>
      <c r="BX145" s="38"/>
      <c r="BY145" s="38"/>
      <c r="BZ145" s="38"/>
      <c r="CA145" s="38"/>
      <c r="CB145" s="38"/>
      <c r="CC145" s="38"/>
      <c r="CD145" s="38"/>
      <c r="CE145" s="38"/>
    </row>
    <row r="146" spans="1:83" x14ac:dyDescent="0.3">
      <c r="A146" s="38"/>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38"/>
      <c r="AE146" s="38"/>
      <c r="AF146" s="38"/>
      <c r="AG146" s="38"/>
      <c r="AH146" s="38"/>
      <c r="AI146" s="38"/>
      <c r="AJ146" s="38"/>
      <c r="AK146" s="38"/>
      <c r="AL146" s="38"/>
      <c r="AM146" s="38"/>
      <c r="AN146" s="38"/>
      <c r="AO146" s="38"/>
      <c r="AP146" s="38"/>
      <c r="AQ146" s="38"/>
      <c r="AR146" s="38"/>
      <c r="AS146" s="38"/>
      <c r="AT146" s="38"/>
      <c r="AU146" s="38"/>
      <c r="AV146" s="38"/>
      <c r="AW146" s="38"/>
      <c r="AX146" s="38"/>
      <c r="AY146" s="38"/>
      <c r="AZ146" s="38"/>
      <c r="BA146" s="38"/>
      <c r="BB146" s="38"/>
      <c r="BC146" s="38"/>
      <c r="BD146" s="38"/>
      <c r="BE146" s="38"/>
      <c r="BF146" s="38"/>
      <c r="BG146" s="38"/>
      <c r="BH146" s="38"/>
      <c r="BI146" s="38"/>
      <c r="BJ146" s="38"/>
      <c r="BK146" s="38"/>
      <c r="BL146" s="38"/>
      <c r="BM146" s="38"/>
      <c r="BN146" s="38"/>
      <c r="BO146" s="38"/>
      <c r="BP146" s="38"/>
      <c r="BQ146" s="38"/>
      <c r="BR146" s="38"/>
      <c r="BS146" s="38"/>
      <c r="BT146" s="38"/>
      <c r="BU146" s="38"/>
      <c r="BV146" s="38"/>
      <c r="BW146" s="38"/>
      <c r="BX146" s="38"/>
      <c r="BY146" s="38"/>
      <c r="BZ146" s="38"/>
      <c r="CA146" s="38"/>
      <c r="CB146" s="38"/>
      <c r="CC146" s="38"/>
      <c r="CD146" s="38"/>
      <c r="CE146" s="38"/>
    </row>
    <row r="147" spans="1:83" x14ac:dyDescent="0.3">
      <c r="A147" s="38"/>
      <c r="B147" s="38"/>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38"/>
      <c r="BA147" s="38"/>
      <c r="BB147" s="38"/>
      <c r="BC147" s="38"/>
      <c r="BD147" s="38"/>
      <c r="BE147" s="38"/>
      <c r="BF147" s="38"/>
      <c r="BG147" s="38"/>
      <c r="BH147" s="38"/>
      <c r="BI147" s="38"/>
      <c r="BJ147" s="38"/>
      <c r="BK147" s="38"/>
      <c r="BL147" s="38"/>
      <c r="BM147" s="38"/>
      <c r="BN147" s="38"/>
      <c r="BO147" s="38"/>
      <c r="BP147" s="38"/>
      <c r="BQ147" s="38"/>
      <c r="BR147" s="38"/>
      <c r="BS147" s="38"/>
      <c r="BT147" s="38"/>
      <c r="BU147" s="38"/>
      <c r="BV147" s="38"/>
      <c r="BW147" s="38"/>
      <c r="BX147" s="38"/>
      <c r="BY147" s="38"/>
      <c r="BZ147" s="38"/>
      <c r="CA147" s="38"/>
      <c r="CB147" s="38"/>
      <c r="CC147" s="38"/>
      <c r="CD147" s="38"/>
      <c r="CE147" s="38"/>
    </row>
    <row r="148" spans="1:83" x14ac:dyDescent="0.3">
      <c r="A148" s="38"/>
      <c r="B148" s="38"/>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38"/>
      <c r="AE148" s="38"/>
      <c r="AF148" s="38"/>
      <c r="AG148" s="38"/>
      <c r="AH148" s="38"/>
      <c r="AI148" s="38"/>
      <c r="AJ148" s="38"/>
      <c r="AK148" s="38"/>
      <c r="AL148" s="38"/>
      <c r="AM148" s="38"/>
      <c r="AN148" s="38"/>
      <c r="AO148" s="38"/>
      <c r="AP148" s="38"/>
      <c r="AQ148" s="38"/>
      <c r="AR148" s="38"/>
      <c r="AS148" s="38"/>
      <c r="AT148" s="38"/>
      <c r="AU148" s="38"/>
      <c r="AV148" s="38"/>
      <c r="AW148" s="38"/>
      <c r="AX148" s="38"/>
      <c r="AY148" s="38"/>
      <c r="AZ148" s="38"/>
      <c r="BA148" s="38"/>
      <c r="BB148" s="38"/>
      <c r="BC148" s="38"/>
      <c r="BD148" s="38"/>
      <c r="BE148" s="38"/>
      <c r="BF148" s="38"/>
      <c r="BG148" s="38"/>
      <c r="BH148" s="38"/>
      <c r="BI148" s="38"/>
      <c r="BJ148" s="38"/>
      <c r="BK148" s="38"/>
      <c r="BL148" s="38"/>
      <c r="BM148" s="38"/>
      <c r="BN148" s="38"/>
      <c r="BO148" s="38"/>
      <c r="BP148" s="38"/>
      <c r="BQ148" s="38"/>
      <c r="BR148" s="38"/>
      <c r="BS148" s="38"/>
      <c r="BT148" s="38"/>
      <c r="BU148" s="38"/>
      <c r="BV148" s="38"/>
      <c r="BW148" s="38"/>
      <c r="BX148" s="38"/>
      <c r="BY148" s="38"/>
      <c r="BZ148" s="38"/>
      <c r="CA148" s="38"/>
      <c r="CB148" s="38"/>
      <c r="CC148" s="38"/>
      <c r="CD148" s="38"/>
      <c r="CE148" s="38"/>
    </row>
    <row r="149" spans="1:83" x14ac:dyDescent="0.3">
      <c r="A149" s="38"/>
      <c r="B149" s="3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38"/>
      <c r="AE149" s="38"/>
      <c r="AF149" s="38"/>
      <c r="AG149" s="38"/>
      <c r="AH149" s="38"/>
      <c r="AI149" s="38"/>
      <c r="AJ149" s="38"/>
      <c r="AK149" s="38"/>
      <c r="AL149" s="38"/>
      <c r="AM149" s="38"/>
      <c r="AN149" s="38"/>
      <c r="AO149" s="38"/>
      <c r="AP149" s="38"/>
      <c r="AQ149" s="38"/>
      <c r="AR149" s="38"/>
      <c r="AS149" s="38"/>
      <c r="AT149" s="38"/>
      <c r="AU149" s="38"/>
      <c r="AV149" s="38"/>
      <c r="AW149" s="38"/>
      <c r="AX149" s="38"/>
      <c r="AY149" s="38"/>
      <c r="AZ149" s="38"/>
      <c r="BA149" s="38"/>
      <c r="BB149" s="38"/>
      <c r="BC149" s="38"/>
      <c r="BD149" s="38"/>
      <c r="BE149" s="38"/>
      <c r="BF149" s="38"/>
      <c r="BG149" s="38"/>
      <c r="BH149" s="38"/>
      <c r="BI149" s="38"/>
      <c r="BJ149" s="38"/>
      <c r="BK149" s="38"/>
      <c r="BL149" s="38"/>
      <c r="BM149" s="38"/>
      <c r="BN149" s="38"/>
      <c r="BO149" s="38"/>
      <c r="BP149" s="38"/>
      <c r="BQ149" s="38"/>
      <c r="BR149" s="38"/>
      <c r="BS149" s="38"/>
      <c r="BT149" s="38"/>
      <c r="BU149" s="38"/>
      <c r="BV149" s="38"/>
      <c r="BW149" s="38"/>
      <c r="BX149" s="38"/>
      <c r="BY149" s="38"/>
      <c r="BZ149" s="38"/>
      <c r="CA149" s="38"/>
      <c r="CB149" s="38"/>
      <c r="CC149" s="38"/>
      <c r="CD149" s="38"/>
      <c r="CE149" s="38"/>
    </row>
    <row r="150" spans="1:83" x14ac:dyDescent="0.3">
      <c r="A150" s="38"/>
      <c r="B150" s="38"/>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38"/>
      <c r="AE150" s="38"/>
      <c r="AF150" s="38"/>
      <c r="AG150" s="38"/>
      <c r="AH150" s="38"/>
      <c r="AI150" s="38"/>
      <c r="AJ150" s="38"/>
      <c r="AK150" s="38"/>
      <c r="AL150" s="38"/>
      <c r="AM150" s="38"/>
      <c r="AN150" s="38"/>
      <c r="AO150" s="38"/>
      <c r="AP150" s="38"/>
      <c r="AQ150" s="38"/>
      <c r="AR150" s="38"/>
      <c r="AS150" s="38"/>
      <c r="AT150" s="38"/>
      <c r="AU150" s="38"/>
      <c r="AV150" s="38"/>
      <c r="AW150" s="38"/>
      <c r="AX150" s="38"/>
      <c r="AY150" s="38"/>
      <c r="AZ150" s="38"/>
      <c r="BA150" s="38"/>
      <c r="BB150" s="38"/>
      <c r="BC150" s="38"/>
      <c r="BD150" s="38"/>
      <c r="BE150" s="38"/>
      <c r="BF150" s="38"/>
      <c r="BG150" s="38"/>
      <c r="BH150" s="38"/>
      <c r="BI150" s="38"/>
      <c r="BJ150" s="38"/>
      <c r="BK150" s="38"/>
      <c r="BL150" s="38"/>
      <c r="BM150" s="38"/>
      <c r="BN150" s="38"/>
      <c r="BO150" s="38"/>
      <c r="BP150" s="38"/>
      <c r="BQ150" s="38"/>
      <c r="BR150" s="38"/>
      <c r="BS150" s="38"/>
      <c r="BT150" s="38"/>
      <c r="BU150" s="38"/>
      <c r="BV150" s="38"/>
      <c r="BW150" s="38"/>
      <c r="BX150" s="38"/>
      <c r="BY150" s="38"/>
      <c r="BZ150" s="38"/>
      <c r="CA150" s="38"/>
      <c r="CB150" s="38"/>
      <c r="CC150" s="38"/>
      <c r="CD150" s="38"/>
      <c r="CE150" s="38"/>
    </row>
    <row r="151" spans="1:83" x14ac:dyDescent="0.3">
      <c r="A151" s="38"/>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38"/>
      <c r="AE151" s="38"/>
      <c r="AF151" s="38"/>
      <c r="AG151" s="38"/>
      <c r="AH151" s="38"/>
      <c r="AI151" s="38"/>
      <c r="AJ151" s="38"/>
      <c r="AK151" s="38"/>
      <c r="AL151" s="38"/>
      <c r="AM151" s="38"/>
      <c r="AN151" s="38"/>
      <c r="AO151" s="38"/>
      <c r="AP151" s="38"/>
      <c r="AQ151" s="38"/>
      <c r="AR151" s="38"/>
      <c r="AS151" s="38"/>
      <c r="AT151" s="38"/>
      <c r="AU151" s="38"/>
      <c r="AV151" s="38"/>
      <c r="AW151" s="38"/>
      <c r="AX151" s="38"/>
      <c r="AY151" s="38"/>
      <c r="AZ151" s="38"/>
      <c r="BA151" s="38"/>
      <c r="BB151" s="38"/>
      <c r="BC151" s="38"/>
      <c r="BD151" s="38"/>
      <c r="BE151" s="38"/>
      <c r="BF151" s="38"/>
      <c r="BG151" s="38"/>
      <c r="BH151" s="38"/>
      <c r="BI151" s="38"/>
      <c r="BJ151" s="38"/>
      <c r="BK151" s="38"/>
      <c r="BL151" s="38"/>
      <c r="BM151" s="38"/>
      <c r="BN151" s="38"/>
      <c r="BO151" s="38"/>
      <c r="BP151" s="38"/>
      <c r="BQ151" s="38"/>
      <c r="BR151" s="38"/>
      <c r="BS151" s="38"/>
      <c r="BT151" s="38"/>
      <c r="BU151" s="38"/>
      <c r="BV151" s="38"/>
      <c r="BW151" s="38"/>
      <c r="BX151" s="38"/>
      <c r="BY151" s="38"/>
      <c r="BZ151" s="38"/>
      <c r="CA151" s="38"/>
      <c r="CB151" s="38"/>
      <c r="CC151" s="38"/>
      <c r="CD151" s="38"/>
      <c r="CE151" s="38"/>
    </row>
    <row r="152" spans="1:83" x14ac:dyDescent="0.3">
      <c r="A152" s="38"/>
      <c r="B152" s="38"/>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38"/>
      <c r="AE152" s="38"/>
      <c r="AF152" s="38"/>
      <c r="AG152" s="38"/>
      <c r="AH152" s="38"/>
      <c r="AI152" s="38"/>
      <c r="AJ152" s="38"/>
      <c r="AK152" s="38"/>
      <c r="AL152" s="38"/>
      <c r="AM152" s="38"/>
      <c r="AN152" s="38"/>
      <c r="AO152" s="38"/>
      <c r="AP152" s="38"/>
      <c r="AQ152" s="38"/>
      <c r="AR152" s="38"/>
      <c r="AS152" s="38"/>
      <c r="AT152" s="38"/>
      <c r="AU152" s="38"/>
      <c r="AV152" s="38"/>
      <c r="AW152" s="38"/>
      <c r="AX152" s="38"/>
      <c r="AY152" s="38"/>
      <c r="AZ152" s="38"/>
      <c r="BA152" s="38"/>
      <c r="BB152" s="38"/>
      <c r="BC152" s="38"/>
      <c r="BD152" s="38"/>
      <c r="BE152" s="38"/>
      <c r="BF152" s="38"/>
      <c r="BG152" s="38"/>
      <c r="BH152" s="38"/>
      <c r="BI152" s="38"/>
      <c r="BJ152" s="38"/>
      <c r="BK152" s="38"/>
      <c r="BL152" s="38"/>
      <c r="BM152" s="38"/>
      <c r="BN152" s="38"/>
      <c r="BO152" s="38"/>
      <c r="BP152" s="38"/>
      <c r="BQ152" s="38"/>
      <c r="BR152" s="38"/>
      <c r="BS152" s="38"/>
      <c r="BT152" s="38"/>
      <c r="BU152" s="38"/>
      <c r="BV152" s="38"/>
      <c r="BW152" s="38"/>
      <c r="BX152" s="38"/>
      <c r="BY152" s="38"/>
      <c r="BZ152" s="38"/>
      <c r="CA152" s="38"/>
      <c r="CB152" s="38"/>
      <c r="CC152" s="38"/>
      <c r="CD152" s="38"/>
      <c r="CE152" s="38"/>
    </row>
    <row r="153" spans="1:83" x14ac:dyDescent="0.3">
      <c r="A153" s="38"/>
      <c r="B153" s="38"/>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8"/>
      <c r="AL153" s="38"/>
      <c r="AM153" s="38"/>
      <c r="AN153" s="38"/>
      <c r="AO153" s="38"/>
      <c r="AP153" s="38"/>
      <c r="AQ153" s="38"/>
      <c r="AR153" s="38"/>
      <c r="AS153" s="38"/>
      <c r="AT153" s="38"/>
      <c r="AU153" s="38"/>
      <c r="AV153" s="38"/>
      <c r="AW153" s="38"/>
      <c r="AX153" s="38"/>
      <c r="AY153" s="38"/>
      <c r="AZ153" s="38"/>
      <c r="BA153" s="38"/>
      <c r="BB153" s="38"/>
      <c r="BC153" s="38"/>
      <c r="BD153" s="38"/>
      <c r="BE153" s="38"/>
      <c r="BF153" s="38"/>
      <c r="BG153" s="38"/>
      <c r="BH153" s="38"/>
      <c r="BI153" s="38"/>
      <c r="BJ153" s="38"/>
      <c r="BK153" s="38"/>
      <c r="BL153" s="38"/>
      <c r="BM153" s="38"/>
      <c r="BN153" s="38"/>
      <c r="BO153" s="38"/>
      <c r="BP153" s="38"/>
      <c r="BQ153" s="38"/>
      <c r="BR153" s="38"/>
      <c r="BS153" s="38"/>
      <c r="BT153" s="38"/>
      <c r="BU153" s="38"/>
      <c r="BV153" s="38"/>
      <c r="BW153" s="38"/>
      <c r="BX153" s="38"/>
      <c r="BY153" s="38"/>
      <c r="BZ153" s="38"/>
      <c r="CA153" s="38"/>
      <c r="CB153" s="38"/>
      <c r="CC153" s="38"/>
      <c r="CD153" s="38"/>
      <c r="CE153" s="38"/>
    </row>
    <row r="154" spans="1:83" x14ac:dyDescent="0.3">
      <c r="A154" s="38"/>
      <c r="B154" s="38"/>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38"/>
      <c r="AE154" s="38"/>
      <c r="AF154" s="38"/>
      <c r="AG154" s="38"/>
      <c r="AH154" s="38"/>
      <c r="AI154" s="38"/>
      <c r="AJ154" s="38"/>
      <c r="AK154" s="38"/>
      <c r="AL154" s="38"/>
      <c r="AM154" s="38"/>
      <c r="AN154" s="38"/>
      <c r="AO154" s="38"/>
      <c r="AP154" s="38"/>
      <c r="AQ154" s="38"/>
      <c r="AR154" s="38"/>
      <c r="AS154" s="38"/>
      <c r="AT154" s="38"/>
      <c r="AU154" s="38"/>
      <c r="AV154" s="38"/>
      <c r="AW154" s="38"/>
      <c r="AX154" s="38"/>
      <c r="AY154" s="38"/>
      <c r="AZ154" s="38"/>
      <c r="BA154" s="38"/>
      <c r="BB154" s="38"/>
      <c r="BC154" s="38"/>
      <c r="BD154" s="38"/>
      <c r="BE154" s="38"/>
      <c r="BF154" s="38"/>
      <c r="BG154" s="38"/>
      <c r="BH154" s="38"/>
      <c r="BI154" s="38"/>
      <c r="BJ154" s="38"/>
      <c r="BK154" s="38"/>
      <c r="BL154" s="38"/>
      <c r="BM154" s="38"/>
      <c r="BN154" s="38"/>
      <c r="BO154" s="38"/>
      <c r="BP154" s="38"/>
      <c r="BQ154" s="38"/>
      <c r="BR154" s="38"/>
      <c r="BS154" s="38"/>
      <c r="BT154" s="38"/>
      <c r="BU154" s="38"/>
      <c r="BV154" s="38"/>
      <c r="BW154" s="38"/>
      <c r="BX154" s="38"/>
      <c r="BY154" s="38"/>
      <c r="BZ154" s="38"/>
      <c r="CA154" s="38"/>
      <c r="CB154" s="38"/>
      <c r="CC154" s="38"/>
      <c r="CD154" s="38"/>
      <c r="CE154" s="38"/>
    </row>
    <row r="155" spans="1:83" x14ac:dyDescent="0.3">
      <c r="A155" s="38"/>
      <c r="B155" s="38"/>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c r="AR155" s="38"/>
      <c r="AS155" s="38"/>
      <c r="AT155" s="38"/>
      <c r="AU155" s="38"/>
      <c r="AV155" s="38"/>
      <c r="AW155" s="38"/>
      <c r="AX155" s="38"/>
      <c r="AY155" s="38"/>
      <c r="AZ155" s="38"/>
      <c r="BA155" s="38"/>
      <c r="BB155" s="38"/>
      <c r="BC155" s="38"/>
      <c r="BD155" s="38"/>
      <c r="BE155" s="38"/>
      <c r="BF155" s="38"/>
      <c r="BG155" s="38"/>
      <c r="BH155" s="38"/>
      <c r="BI155" s="38"/>
      <c r="BJ155" s="38"/>
      <c r="BK155" s="38"/>
      <c r="BL155" s="38"/>
      <c r="BM155" s="38"/>
      <c r="BN155" s="38"/>
      <c r="BO155" s="38"/>
      <c r="BP155" s="38"/>
      <c r="BQ155" s="38"/>
      <c r="BR155" s="38"/>
      <c r="BS155" s="38"/>
      <c r="BT155" s="38"/>
      <c r="BU155" s="38"/>
      <c r="BV155" s="38"/>
      <c r="BW155" s="38"/>
      <c r="BX155" s="38"/>
      <c r="BY155" s="38"/>
      <c r="BZ155" s="38"/>
      <c r="CA155" s="38"/>
      <c r="CB155" s="38"/>
      <c r="CC155" s="38"/>
      <c r="CD155" s="38"/>
      <c r="CE155" s="38"/>
    </row>
    <row r="156" spans="1:83" x14ac:dyDescent="0.3">
      <c r="A156" s="38"/>
      <c r="B156" s="38"/>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38"/>
      <c r="AE156" s="38"/>
      <c r="AF156" s="38"/>
      <c r="AG156" s="38"/>
      <c r="AH156" s="38"/>
      <c r="AI156" s="38"/>
      <c r="AJ156" s="38"/>
      <c r="AK156" s="38"/>
      <c r="AL156" s="38"/>
      <c r="AM156" s="38"/>
      <c r="AN156" s="38"/>
      <c r="AO156" s="38"/>
      <c r="AP156" s="38"/>
      <c r="AQ156" s="38"/>
      <c r="AR156" s="38"/>
      <c r="AS156" s="38"/>
      <c r="AT156" s="38"/>
      <c r="AU156" s="38"/>
      <c r="AV156" s="38"/>
      <c r="AW156" s="38"/>
      <c r="AX156" s="38"/>
      <c r="AY156" s="38"/>
      <c r="AZ156" s="38"/>
      <c r="BA156" s="38"/>
      <c r="BB156" s="38"/>
      <c r="BC156" s="38"/>
      <c r="BD156" s="38"/>
      <c r="BE156" s="38"/>
      <c r="BF156" s="38"/>
      <c r="BG156" s="38"/>
      <c r="BH156" s="38"/>
      <c r="BI156" s="38"/>
      <c r="BJ156" s="38"/>
      <c r="BK156" s="38"/>
      <c r="BL156" s="38"/>
      <c r="BM156" s="38"/>
      <c r="BN156" s="38"/>
      <c r="BO156" s="38"/>
      <c r="BP156" s="38"/>
      <c r="BQ156" s="38"/>
      <c r="BR156" s="38"/>
      <c r="BS156" s="38"/>
      <c r="BT156" s="38"/>
      <c r="BU156" s="38"/>
      <c r="BV156" s="38"/>
      <c r="BW156" s="38"/>
      <c r="BX156" s="38"/>
      <c r="BY156" s="38"/>
      <c r="BZ156" s="38"/>
      <c r="CA156" s="38"/>
      <c r="CB156" s="38"/>
      <c r="CC156" s="38"/>
      <c r="CD156" s="38"/>
      <c r="CE156" s="38"/>
    </row>
    <row r="157" spans="1:83" x14ac:dyDescent="0.3">
      <c r="A157" s="38"/>
      <c r="B157" s="38"/>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38"/>
      <c r="AE157" s="38"/>
      <c r="AF157" s="38"/>
      <c r="AG157" s="38"/>
      <c r="AH157" s="38"/>
      <c r="AI157" s="38"/>
      <c r="AJ157" s="38"/>
      <c r="AK157" s="38"/>
      <c r="AL157" s="38"/>
      <c r="AM157" s="38"/>
      <c r="AN157" s="38"/>
      <c r="AO157" s="38"/>
      <c r="AP157" s="38"/>
      <c r="AQ157" s="38"/>
      <c r="AR157" s="38"/>
      <c r="AS157" s="38"/>
      <c r="AT157" s="38"/>
      <c r="AU157" s="38"/>
      <c r="AV157" s="38"/>
      <c r="AW157" s="38"/>
      <c r="AX157" s="38"/>
      <c r="AY157" s="38"/>
      <c r="AZ157" s="38"/>
      <c r="BA157" s="38"/>
      <c r="BB157" s="38"/>
      <c r="BC157" s="38"/>
      <c r="BD157" s="38"/>
      <c r="BE157" s="38"/>
      <c r="BF157" s="38"/>
      <c r="BG157" s="38"/>
      <c r="BH157" s="38"/>
      <c r="BI157" s="38"/>
      <c r="BJ157" s="38"/>
      <c r="BK157" s="38"/>
      <c r="BL157" s="38"/>
      <c r="BM157" s="38"/>
      <c r="BN157" s="38"/>
      <c r="BO157" s="38"/>
      <c r="BP157" s="38"/>
      <c r="BQ157" s="38"/>
      <c r="BR157" s="38"/>
      <c r="BS157" s="38"/>
      <c r="BT157" s="38"/>
      <c r="BU157" s="38"/>
      <c r="BV157" s="38"/>
      <c r="BW157" s="38"/>
      <c r="BX157" s="38"/>
      <c r="BY157" s="38"/>
      <c r="BZ157" s="38"/>
      <c r="CA157" s="38"/>
      <c r="CB157" s="38"/>
      <c r="CC157" s="38"/>
      <c r="CD157" s="38"/>
      <c r="CE157" s="38"/>
    </row>
    <row r="158" spans="1:83" x14ac:dyDescent="0.3">
      <c r="A158" s="38"/>
      <c r="B158" s="38"/>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38"/>
      <c r="AE158" s="38"/>
      <c r="AF158" s="38"/>
      <c r="AG158" s="38"/>
      <c r="AH158" s="38"/>
      <c r="AI158" s="38"/>
      <c r="AJ158" s="38"/>
      <c r="AK158" s="38"/>
      <c r="AL158" s="38"/>
      <c r="AM158" s="38"/>
      <c r="AN158" s="38"/>
      <c r="AO158" s="38"/>
      <c r="AP158" s="38"/>
      <c r="AQ158" s="38"/>
      <c r="AR158" s="38"/>
      <c r="AS158" s="38"/>
      <c r="AT158" s="38"/>
      <c r="AU158" s="38"/>
      <c r="AV158" s="38"/>
      <c r="AW158" s="38"/>
      <c r="AX158" s="38"/>
      <c r="AY158" s="38"/>
      <c r="AZ158" s="38"/>
      <c r="BA158" s="38"/>
      <c r="BB158" s="38"/>
      <c r="BC158" s="38"/>
      <c r="BD158" s="38"/>
      <c r="BE158" s="38"/>
      <c r="BF158" s="38"/>
      <c r="BG158" s="38"/>
      <c r="BH158" s="38"/>
      <c r="BI158" s="38"/>
      <c r="BJ158" s="38"/>
      <c r="BK158" s="38"/>
      <c r="BL158" s="38"/>
      <c r="BM158" s="38"/>
      <c r="BN158" s="38"/>
      <c r="BO158" s="38"/>
      <c r="BP158" s="38"/>
      <c r="BQ158" s="38"/>
      <c r="BR158" s="38"/>
      <c r="BS158" s="38"/>
      <c r="BT158" s="38"/>
      <c r="BU158" s="38"/>
      <c r="BV158" s="38"/>
      <c r="BW158" s="38"/>
      <c r="BX158" s="38"/>
      <c r="BY158" s="38"/>
      <c r="BZ158" s="38"/>
      <c r="CA158" s="38"/>
      <c r="CB158" s="38"/>
      <c r="CC158" s="38"/>
      <c r="CD158" s="38"/>
      <c r="CE158" s="38"/>
    </row>
    <row r="159" spans="1:83" x14ac:dyDescent="0.3">
      <c r="A159" s="38"/>
      <c r="B159" s="38"/>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38"/>
      <c r="AE159" s="38"/>
      <c r="AF159" s="38"/>
      <c r="AG159" s="38"/>
      <c r="AH159" s="38"/>
      <c r="AI159" s="38"/>
      <c r="AJ159" s="38"/>
      <c r="AK159" s="38"/>
      <c r="AL159" s="38"/>
      <c r="AM159" s="38"/>
      <c r="AN159" s="38"/>
      <c r="AO159" s="38"/>
      <c r="AP159" s="38"/>
      <c r="AQ159" s="38"/>
      <c r="AR159" s="38"/>
      <c r="AS159" s="38"/>
      <c r="AT159" s="38"/>
      <c r="AU159" s="38"/>
      <c r="AV159" s="38"/>
      <c r="AW159" s="38"/>
      <c r="AX159" s="38"/>
      <c r="AY159" s="38"/>
      <c r="AZ159" s="38"/>
      <c r="BA159" s="38"/>
      <c r="BB159" s="38"/>
      <c r="BC159" s="38"/>
      <c r="BD159" s="38"/>
      <c r="BE159" s="38"/>
      <c r="BF159" s="38"/>
      <c r="BG159" s="38"/>
      <c r="BH159" s="38"/>
      <c r="BI159" s="38"/>
      <c r="BJ159" s="38"/>
      <c r="BK159" s="38"/>
      <c r="BL159" s="38"/>
      <c r="BM159" s="38"/>
      <c r="BN159" s="38"/>
      <c r="BO159" s="38"/>
      <c r="BP159" s="38"/>
      <c r="BQ159" s="38"/>
      <c r="BR159" s="38"/>
      <c r="BS159" s="38"/>
      <c r="BT159" s="38"/>
      <c r="BU159" s="38"/>
      <c r="BV159" s="38"/>
      <c r="BW159" s="38"/>
      <c r="BX159" s="38"/>
      <c r="BY159" s="38"/>
      <c r="BZ159" s="38"/>
      <c r="CA159" s="38"/>
      <c r="CB159" s="38"/>
      <c r="CC159" s="38"/>
      <c r="CD159" s="38"/>
      <c r="CE159" s="38"/>
    </row>
    <row r="160" spans="1:83" x14ac:dyDescent="0.3">
      <c r="A160" s="38"/>
      <c r="B160" s="38"/>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c r="AK160" s="38"/>
      <c r="AL160" s="38"/>
      <c r="AM160" s="38"/>
      <c r="AN160" s="38"/>
      <c r="AO160" s="38"/>
      <c r="AP160" s="38"/>
      <c r="AQ160" s="38"/>
      <c r="AR160" s="38"/>
      <c r="AS160" s="38"/>
      <c r="AT160" s="38"/>
      <c r="AU160" s="38"/>
      <c r="AV160" s="38"/>
      <c r="AW160" s="38"/>
      <c r="AX160" s="38"/>
      <c r="AY160" s="38"/>
      <c r="AZ160" s="38"/>
      <c r="BA160" s="38"/>
      <c r="BB160" s="38"/>
      <c r="BC160" s="38"/>
      <c r="BD160" s="38"/>
      <c r="BE160" s="38"/>
      <c r="BF160" s="38"/>
      <c r="BG160" s="38"/>
      <c r="BH160" s="38"/>
      <c r="BI160" s="38"/>
      <c r="BJ160" s="38"/>
      <c r="BK160" s="38"/>
      <c r="BL160" s="38"/>
      <c r="BM160" s="38"/>
      <c r="BN160" s="38"/>
      <c r="BO160" s="38"/>
      <c r="BP160" s="38"/>
      <c r="BQ160" s="38"/>
      <c r="BR160" s="38"/>
      <c r="BS160" s="38"/>
      <c r="BT160" s="38"/>
      <c r="BU160" s="38"/>
      <c r="BV160" s="38"/>
      <c r="BW160" s="38"/>
      <c r="BX160" s="38"/>
      <c r="BY160" s="38"/>
      <c r="BZ160" s="38"/>
      <c r="CA160" s="38"/>
      <c r="CB160" s="38"/>
      <c r="CC160" s="38"/>
      <c r="CD160" s="38"/>
      <c r="CE160" s="38"/>
    </row>
    <row r="161" spans="1:83" x14ac:dyDescent="0.3">
      <c r="A161" s="38"/>
      <c r="B161" s="38"/>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38"/>
      <c r="AE161" s="38"/>
      <c r="AF161" s="38"/>
      <c r="AG161" s="38"/>
      <c r="AH161" s="38"/>
      <c r="AI161" s="38"/>
      <c r="AJ161" s="38"/>
      <c r="AK161" s="38"/>
      <c r="AL161" s="38"/>
      <c r="AM161" s="38"/>
      <c r="AN161" s="38"/>
      <c r="AO161" s="38"/>
      <c r="AP161" s="38"/>
      <c r="AQ161" s="38"/>
      <c r="AR161" s="38"/>
      <c r="AS161" s="38"/>
      <c r="AT161" s="38"/>
      <c r="AU161" s="38"/>
      <c r="AV161" s="38"/>
      <c r="AW161" s="38"/>
      <c r="AX161" s="38"/>
      <c r="AY161" s="38"/>
      <c r="AZ161" s="38"/>
      <c r="BA161" s="38"/>
      <c r="BB161" s="38"/>
      <c r="BC161" s="38"/>
      <c r="BD161" s="38"/>
      <c r="BE161" s="38"/>
      <c r="BF161" s="38"/>
      <c r="BG161" s="38"/>
      <c r="BH161" s="38"/>
      <c r="BI161" s="38"/>
      <c r="BJ161" s="38"/>
      <c r="BK161" s="38"/>
      <c r="BL161" s="38"/>
      <c r="BM161" s="38"/>
      <c r="BN161" s="38"/>
      <c r="BO161" s="38"/>
      <c r="BP161" s="38"/>
      <c r="BQ161" s="38"/>
      <c r="BR161" s="38"/>
      <c r="BS161" s="38"/>
      <c r="BT161" s="38"/>
      <c r="BU161" s="38"/>
      <c r="BV161" s="38"/>
      <c r="BW161" s="38"/>
      <c r="BX161" s="38"/>
      <c r="BY161" s="38"/>
      <c r="BZ161" s="38"/>
      <c r="CA161" s="38"/>
      <c r="CB161" s="38"/>
      <c r="CC161" s="38"/>
      <c r="CD161" s="38"/>
      <c r="CE161" s="38"/>
    </row>
    <row r="162" spans="1:83" x14ac:dyDescent="0.3">
      <c r="A162" s="38"/>
      <c r="B162" s="38"/>
      <c r="C162" s="38"/>
      <c r="D162" s="38"/>
      <c r="E162" s="38"/>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8"/>
      <c r="AY162" s="38"/>
      <c r="AZ162" s="38"/>
      <c r="BA162" s="38"/>
      <c r="BB162" s="38"/>
      <c r="BC162" s="38"/>
      <c r="BD162" s="38"/>
      <c r="BE162" s="38"/>
      <c r="BF162" s="38"/>
      <c r="BG162" s="38"/>
      <c r="BH162" s="38"/>
      <c r="BI162" s="38"/>
      <c r="BJ162" s="38"/>
      <c r="BK162" s="38"/>
      <c r="BL162" s="38"/>
      <c r="BM162" s="38"/>
      <c r="BN162" s="38"/>
      <c r="BO162" s="38"/>
      <c r="BP162" s="38"/>
      <c r="BQ162" s="38"/>
      <c r="BR162" s="38"/>
      <c r="BS162" s="38"/>
      <c r="BT162" s="38"/>
      <c r="BU162" s="38"/>
      <c r="BV162" s="38"/>
      <c r="BW162" s="38"/>
      <c r="BX162" s="38"/>
      <c r="BY162" s="38"/>
      <c r="BZ162" s="38"/>
      <c r="CA162" s="38"/>
      <c r="CB162" s="38"/>
      <c r="CC162" s="38"/>
      <c r="CD162" s="38"/>
      <c r="CE162" s="38"/>
    </row>
    <row r="163" spans="1:83" x14ac:dyDescent="0.3">
      <c r="A163" s="38"/>
      <c r="B163" s="38"/>
      <c r="C163" s="38"/>
      <c r="D163" s="38"/>
      <c r="E163" s="38"/>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38"/>
      <c r="AE163" s="38"/>
      <c r="AF163" s="38"/>
      <c r="AG163" s="38"/>
      <c r="AH163" s="38"/>
      <c r="AI163" s="38"/>
      <c r="AJ163" s="38"/>
      <c r="AK163" s="38"/>
      <c r="AL163" s="38"/>
      <c r="AM163" s="38"/>
      <c r="AN163" s="38"/>
      <c r="AO163" s="38"/>
      <c r="AP163" s="38"/>
      <c r="AQ163" s="38"/>
      <c r="AR163" s="38"/>
      <c r="AS163" s="38"/>
      <c r="AT163" s="38"/>
      <c r="AU163" s="38"/>
      <c r="AV163" s="38"/>
      <c r="AW163" s="38"/>
      <c r="AX163" s="38"/>
      <c r="AY163" s="38"/>
      <c r="AZ163" s="38"/>
      <c r="BA163" s="38"/>
      <c r="BB163" s="38"/>
      <c r="BC163" s="38"/>
      <c r="BD163" s="38"/>
      <c r="BE163" s="38"/>
      <c r="BF163" s="38"/>
      <c r="BG163" s="38"/>
      <c r="BH163" s="38"/>
      <c r="BI163" s="38"/>
      <c r="BJ163" s="38"/>
      <c r="BK163" s="38"/>
      <c r="BL163" s="38"/>
      <c r="BM163" s="38"/>
      <c r="BN163" s="38"/>
      <c r="BO163" s="38"/>
      <c r="BP163" s="38"/>
      <c r="BQ163" s="38"/>
      <c r="BR163" s="38"/>
      <c r="BS163" s="38"/>
      <c r="BT163" s="38"/>
      <c r="BU163" s="38"/>
      <c r="BV163" s="38"/>
      <c r="BW163" s="38"/>
      <c r="BX163" s="38"/>
      <c r="BY163" s="38"/>
      <c r="BZ163" s="38"/>
      <c r="CA163" s="38"/>
      <c r="CB163" s="38"/>
      <c r="CC163" s="38"/>
      <c r="CD163" s="38"/>
      <c r="CE163" s="38"/>
    </row>
    <row r="164" spans="1:83" x14ac:dyDescent="0.3">
      <c r="A164" s="38"/>
      <c r="B164" s="38"/>
      <c r="C164" s="38"/>
      <c r="D164" s="38"/>
      <c r="E164" s="38"/>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38"/>
      <c r="AE164" s="38"/>
      <c r="AF164" s="38"/>
      <c r="AG164" s="38"/>
      <c r="AH164" s="38"/>
      <c r="AI164" s="38"/>
      <c r="AJ164" s="38"/>
      <c r="AK164" s="38"/>
      <c r="AL164" s="38"/>
      <c r="AM164" s="38"/>
      <c r="AN164" s="38"/>
      <c r="AO164" s="38"/>
      <c r="AP164" s="38"/>
      <c r="AQ164" s="38"/>
      <c r="AR164" s="38"/>
      <c r="AS164" s="38"/>
      <c r="AT164" s="38"/>
      <c r="AU164" s="38"/>
      <c r="AV164" s="38"/>
      <c r="AW164" s="38"/>
      <c r="AX164" s="38"/>
      <c r="AY164" s="38"/>
      <c r="AZ164" s="38"/>
      <c r="BA164" s="38"/>
      <c r="BB164" s="38"/>
      <c r="BC164" s="38"/>
      <c r="BD164" s="38"/>
      <c r="BE164" s="38"/>
      <c r="BF164" s="38"/>
      <c r="BG164" s="38"/>
      <c r="BH164" s="38"/>
      <c r="BI164" s="38"/>
      <c r="BJ164" s="38"/>
      <c r="BK164" s="38"/>
      <c r="BL164" s="38"/>
      <c r="BM164" s="38"/>
      <c r="BN164" s="38"/>
      <c r="BO164" s="38"/>
      <c r="BP164" s="38"/>
      <c r="BQ164" s="38"/>
      <c r="BR164" s="38"/>
      <c r="BS164" s="38"/>
      <c r="BT164" s="38"/>
      <c r="BU164" s="38"/>
      <c r="BV164" s="38"/>
      <c r="BW164" s="38"/>
      <c r="BX164" s="38"/>
      <c r="BY164" s="38"/>
      <c r="BZ164" s="38"/>
      <c r="CA164" s="38"/>
      <c r="CB164" s="38"/>
      <c r="CC164" s="38"/>
      <c r="CD164" s="38"/>
      <c r="CE164" s="38"/>
    </row>
    <row r="165" spans="1:83" x14ac:dyDescent="0.3">
      <c r="A165" s="38"/>
      <c r="B165" s="38"/>
      <c r="C165" s="38"/>
      <c r="D165" s="38"/>
      <c r="E165" s="38"/>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38"/>
      <c r="AE165" s="38"/>
      <c r="AF165" s="38"/>
      <c r="AG165" s="38"/>
      <c r="AH165" s="38"/>
      <c r="AI165" s="38"/>
      <c r="AJ165" s="38"/>
      <c r="AK165" s="38"/>
      <c r="AL165" s="38"/>
      <c r="AM165" s="38"/>
      <c r="AN165" s="38"/>
      <c r="AO165" s="38"/>
      <c r="AP165" s="38"/>
      <c r="AQ165" s="38"/>
      <c r="AR165" s="38"/>
      <c r="AS165" s="38"/>
      <c r="AT165" s="38"/>
      <c r="AU165" s="38"/>
      <c r="AV165" s="38"/>
      <c r="AW165" s="38"/>
      <c r="AX165" s="38"/>
      <c r="AY165" s="38"/>
      <c r="AZ165" s="38"/>
      <c r="BA165" s="38"/>
      <c r="BB165" s="38"/>
      <c r="BC165" s="38"/>
      <c r="BD165" s="38"/>
      <c r="BE165" s="38"/>
      <c r="BF165" s="38"/>
      <c r="BG165" s="38"/>
      <c r="BH165" s="38"/>
      <c r="BI165" s="38"/>
      <c r="BJ165" s="38"/>
      <c r="BK165" s="38"/>
      <c r="BL165" s="38"/>
      <c r="BM165" s="38"/>
      <c r="BN165" s="38"/>
      <c r="BO165" s="38"/>
      <c r="BP165" s="38"/>
      <c r="BQ165" s="38"/>
      <c r="BR165" s="38"/>
      <c r="BS165" s="38"/>
      <c r="BT165" s="38"/>
      <c r="BU165" s="38"/>
      <c r="BV165" s="38"/>
      <c r="BW165" s="38"/>
      <c r="BX165" s="38"/>
      <c r="BY165" s="38"/>
      <c r="BZ165" s="38"/>
      <c r="CA165" s="38"/>
      <c r="CB165" s="38"/>
      <c r="CC165" s="38"/>
      <c r="CD165" s="38"/>
      <c r="CE165" s="38"/>
    </row>
    <row r="166" spans="1:83" x14ac:dyDescent="0.3">
      <c r="A166" s="38"/>
      <c r="B166" s="38"/>
      <c r="C166" s="38"/>
      <c r="D166" s="38"/>
      <c r="E166" s="38"/>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8"/>
      <c r="AL166" s="38"/>
      <c r="AM166" s="38"/>
      <c r="AN166" s="38"/>
      <c r="AO166" s="38"/>
      <c r="AP166" s="38"/>
      <c r="AQ166" s="38"/>
      <c r="AR166" s="38"/>
      <c r="AS166" s="38"/>
      <c r="AT166" s="38"/>
      <c r="AU166" s="38"/>
      <c r="AV166" s="38"/>
      <c r="AW166" s="38"/>
      <c r="AX166" s="38"/>
      <c r="AY166" s="38"/>
      <c r="AZ166" s="38"/>
      <c r="BA166" s="38"/>
      <c r="BB166" s="38"/>
      <c r="BC166" s="38"/>
      <c r="BD166" s="38"/>
      <c r="BE166" s="38"/>
      <c r="BF166" s="38"/>
      <c r="BG166" s="38"/>
      <c r="BH166" s="38"/>
      <c r="BI166" s="38"/>
      <c r="BJ166" s="38"/>
      <c r="BK166" s="38"/>
      <c r="BL166" s="38"/>
      <c r="BM166" s="38"/>
      <c r="BN166" s="38"/>
      <c r="BO166" s="38"/>
      <c r="BP166" s="38"/>
      <c r="BQ166" s="38"/>
      <c r="BR166" s="38"/>
      <c r="BS166" s="38"/>
      <c r="BT166" s="38"/>
      <c r="BU166" s="38"/>
      <c r="BV166" s="38"/>
      <c r="BW166" s="38"/>
      <c r="BX166" s="38"/>
      <c r="BY166" s="38"/>
      <c r="BZ166" s="38"/>
      <c r="CA166" s="38"/>
      <c r="CB166" s="38"/>
      <c r="CC166" s="38"/>
      <c r="CD166" s="38"/>
      <c r="CE166" s="38"/>
    </row>
    <row r="167" spans="1:83" x14ac:dyDescent="0.3">
      <c r="A167" s="38"/>
      <c r="B167" s="38"/>
      <c r="C167" s="38"/>
      <c r="D167" s="38"/>
      <c r="E167" s="38"/>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8"/>
      <c r="AZ167" s="38"/>
      <c r="BA167" s="38"/>
      <c r="BB167" s="38"/>
      <c r="BC167" s="38"/>
      <c r="BD167" s="38"/>
      <c r="BE167" s="38"/>
      <c r="BF167" s="38"/>
      <c r="BG167" s="38"/>
      <c r="BH167" s="38"/>
      <c r="BI167" s="38"/>
      <c r="BJ167" s="38"/>
      <c r="BK167" s="38"/>
      <c r="BL167" s="38"/>
      <c r="BM167" s="38"/>
      <c r="BN167" s="38"/>
      <c r="BO167" s="38"/>
      <c r="BP167" s="38"/>
      <c r="BQ167" s="38"/>
      <c r="BR167" s="38"/>
      <c r="BS167" s="38"/>
      <c r="BT167" s="38"/>
      <c r="BU167" s="38"/>
      <c r="BV167" s="38"/>
      <c r="BW167" s="38"/>
      <c r="BX167" s="38"/>
      <c r="BY167" s="38"/>
      <c r="BZ167" s="38"/>
      <c r="CA167" s="38"/>
      <c r="CB167" s="38"/>
      <c r="CC167" s="38"/>
      <c r="CD167" s="38"/>
      <c r="CE167" s="38"/>
    </row>
    <row r="168" spans="1:83" x14ac:dyDescent="0.3">
      <c r="A168" s="38"/>
      <c r="B168" s="38"/>
      <c r="C168" s="38"/>
      <c r="D168" s="38"/>
      <c r="E168" s="38"/>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38"/>
      <c r="AE168" s="38"/>
      <c r="AF168" s="38"/>
      <c r="AG168" s="38"/>
      <c r="AH168" s="38"/>
      <c r="AI168" s="38"/>
      <c r="AJ168" s="38"/>
      <c r="AK168" s="38"/>
      <c r="AL168" s="38"/>
      <c r="AM168" s="38"/>
      <c r="AN168" s="38"/>
      <c r="AO168" s="38"/>
      <c r="AP168" s="38"/>
      <c r="AQ168" s="38"/>
      <c r="AR168" s="38"/>
      <c r="AS168" s="38"/>
      <c r="AT168" s="38"/>
      <c r="AU168" s="38"/>
      <c r="AV168" s="38"/>
      <c r="AW168" s="38"/>
      <c r="AX168" s="38"/>
      <c r="AY168" s="38"/>
      <c r="AZ168" s="38"/>
      <c r="BA168" s="38"/>
      <c r="BB168" s="38"/>
      <c r="BC168" s="38"/>
      <c r="BD168" s="38"/>
      <c r="BE168" s="38"/>
      <c r="BF168" s="38"/>
      <c r="BG168" s="38"/>
      <c r="BH168" s="38"/>
      <c r="BI168" s="38"/>
      <c r="BJ168" s="38"/>
      <c r="BK168" s="38"/>
      <c r="BL168" s="38"/>
      <c r="BM168" s="38"/>
      <c r="BN168" s="38"/>
      <c r="BO168" s="38"/>
      <c r="BP168" s="38"/>
      <c r="BQ168" s="38"/>
      <c r="BR168" s="38"/>
      <c r="BS168" s="38"/>
      <c r="BT168" s="38"/>
      <c r="BU168" s="38"/>
      <c r="BV168" s="38"/>
      <c r="BW168" s="38"/>
      <c r="BX168" s="38"/>
      <c r="BY168" s="38"/>
      <c r="BZ168" s="38"/>
      <c r="CA168" s="38"/>
      <c r="CB168" s="38"/>
      <c r="CC168" s="38"/>
      <c r="CD168" s="38"/>
      <c r="CE168" s="38"/>
    </row>
    <row r="169" spans="1:83" x14ac:dyDescent="0.3">
      <c r="A169" s="38"/>
      <c r="B169" s="38"/>
      <c r="C169" s="38"/>
      <c r="D169" s="38"/>
      <c r="E169" s="38"/>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8"/>
      <c r="AZ169" s="38"/>
      <c r="BA169" s="38"/>
      <c r="BB169" s="38"/>
      <c r="BC169" s="38"/>
      <c r="BD169" s="38"/>
      <c r="BE169" s="38"/>
      <c r="BF169" s="38"/>
      <c r="BG169" s="38"/>
      <c r="BH169" s="38"/>
      <c r="BI169" s="38"/>
      <c r="BJ169" s="38"/>
      <c r="BK169" s="38"/>
      <c r="BL169" s="38"/>
      <c r="BM169" s="38"/>
      <c r="BN169" s="38"/>
      <c r="BO169" s="38"/>
      <c r="BP169" s="38"/>
      <c r="BQ169" s="38"/>
      <c r="BR169" s="38"/>
      <c r="BS169" s="38"/>
      <c r="BT169" s="38"/>
      <c r="BU169" s="38"/>
      <c r="BV169" s="38"/>
      <c r="BW169" s="38"/>
      <c r="BX169" s="38"/>
      <c r="BY169" s="38"/>
      <c r="BZ169" s="38"/>
      <c r="CA169" s="38"/>
      <c r="CB169" s="38"/>
      <c r="CC169" s="38"/>
      <c r="CD169" s="38"/>
      <c r="CE169" s="38"/>
    </row>
    <row r="170" spans="1:83" x14ac:dyDescent="0.3">
      <c r="A170" s="38"/>
      <c r="B170" s="38"/>
      <c r="C170" s="38"/>
      <c r="D170" s="3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8"/>
      <c r="AZ170" s="38"/>
      <c r="BA170" s="38"/>
      <c r="BB170" s="38"/>
      <c r="BC170" s="38"/>
      <c r="BD170" s="38"/>
      <c r="BE170" s="38"/>
      <c r="BF170" s="38"/>
      <c r="BG170" s="38"/>
      <c r="BH170" s="38"/>
      <c r="BI170" s="38"/>
      <c r="BJ170" s="38"/>
      <c r="BK170" s="38"/>
      <c r="BL170" s="38"/>
      <c r="BM170" s="38"/>
      <c r="BN170" s="38"/>
      <c r="BO170" s="38"/>
      <c r="BP170" s="38"/>
      <c r="BQ170" s="38"/>
      <c r="BR170" s="38"/>
      <c r="BS170" s="38"/>
      <c r="BT170" s="38"/>
      <c r="BU170" s="38"/>
      <c r="BV170" s="38"/>
      <c r="BW170" s="38"/>
      <c r="BX170" s="38"/>
      <c r="BY170" s="38"/>
      <c r="BZ170" s="38"/>
      <c r="CA170" s="38"/>
      <c r="CB170" s="38"/>
      <c r="CC170" s="38"/>
      <c r="CD170" s="38"/>
      <c r="CE170" s="38"/>
    </row>
    <row r="171" spans="1:83" x14ac:dyDescent="0.3">
      <c r="A171" s="38"/>
      <c r="B171" s="38"/>
      <c r="C171" s="38"/>
      <c r="D171" s="38"/>
      <c r="E171" s="38"/>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38"/>
      <c r="AE171" s="38"/>
      <c r="AF171" s="38"/>
      <c r="AG171" s="38"/>
      <c r="AH171" s="38"/>
      <c r="AI171" s="38"/>
      <c r="AJ171" s="38"/>
      <c r="AK171" s="38"/>
      <c r="AL171" s="38"/>
      <c r="AM171" s="38"/>
      <c r="AN171" s="38"/>
      <c r="AO171" s="38"/>
      <c r="AP171" s="38"/>
      <c r="AQ171" s="38"/>
      <c r="AR171" s="38"/>
      <c r="AS171" s="38"/>
      <c r="AT171" s="38"/>
      <c r="AU171" s="38"/>
      <c r="AV171" s="38"/>
      <c r="AW171" s="38"/>
      <c r="AX171" s="38"/>
      <c r="AY171" s="38"/>
      <c r="AZ171" s="38"/>
      <c r="BA171" s="38"/>
      <c r="BB171" s="38"/>
      <c r="BC171" s="38"/>
      <c r="BD171" s="38"/>
      <c r="BE171" s="38"/>
      <c r="BF171" s="38"/>
      <c r="BG171" s="38"/>
      <c r="BH171" s="38"/>
      <c r="BI171" s="38"/>
      <c r="BJ171" s="38"/>
      <c r="BK171" s="38"/>
      <c r="BL171" s="38"/>
      <c r="BM171" s="38"/>
      <c r="BN171" s="38"/>
      <c r="BO171" s="38"/>
      <c r="BP171" s="38"/>
      <c r="BQ171" s="38"/>
      <c r="BR171" s="38"/>
      <c r="BS171" s="38"/>
      <c r="BT171" s="38"/>
      <c r="BU171" s="38"/>
      <c r="BV171" s="38"/>
      <c r="BW171" s="38"/>
      <c r="BX171" s="38"/>
      <c r="BY171" s="38"/>
      <c r="BZ171" s="38"/>
      <c r="CA171" s="38"/>
      <c r="CB171" s="38"/>
      <c r="CC171" s="38"/>
      <c r="CD171" s="38"/>
      <c r="CE171" s="38"/>
    </row>
    <row r="172" spans="1:83" x14ac:dyDescent="0.3">
      <c r="B172" s="38"/>
      <c r="C172" s="38"/>
      <c r="D172" s="38"/>
      <c r="E172" s="38"/>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38"/>
      <c r="BA172" s="38"/>
      <c r="BB172" s="38"/>
      <c r="BC172" s="38"/>
      <c r="BD172" s="38"/>
      <c r="BE172" s="38"/>
      <c r="BF172" s="38"/>
      <c r="BG172" s="38"/>
      <c r="BH172" s="38"/>
      <c r="BI172" s="38"/>
      <c r="BJ172" s="38"/>
      <c r="BK172" s="38"/>
      <c r="BL172" s="38"/>
      <c r="BM172" s="38"/>
      <c r="BN172" s="38"/>
      <c r="BO172" s="38"/>
      <c r="BP172" s="38"/>
      <c r="BQ172" s="38"/>
      <c r="BR172" s="38"/>
      <c r="BS172" s="38"/>
      <c r="BT172" s="38"/>
      <c r="BU172" s="38"/>
      <c r="BV172" s="38"/>
      <c r="BW172" s="38"/>
      <c r="BX172" s="38"/>
      <c r="BY172" s="38"/>
      <c r="BZ172" s="38"/>
      <c r="CA172" s="38"/>
      <c r="CB172" s="38"/>
      <c r="CC172" s="38"/>
      <c r="CD172" s="38"/>
      <c r="CE172" s="38"/>
    </row>
    <row r="173" spans="1:83" x14ac:dyDescent="0.3">
      <c r="B173" s="38"/>
      <c r="C173" s="38"/>
      <c r="D173" s="38"/>
      <c r="E173" s="38"/>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38"/>
      <c r="BA173" s="38"/>
      <c r="BB173" s="38"/>
      <c r="BC173" s="38"/>
      <c r="BD173" s="38"/>
      <c r="BE173" s="38"/>
      <c r="BF173" s="38"/>
      <c r="BG173" s="38"/>
      <c r="BH173" s="38"/>
      <c r="BI173" s="38"/>
      <c r="BJ173" s="38"/>
      <c r="BK173" s="38"/>
      <c r="BL173" s="38"/>
      <c r="BM173" s="38"/>
      <c r="BN173" s="38"/>
      <c r="BO173" s="38"/>
      <c r="BP173" s="38"/>
      <c r="BQ173" s="38"/>
      <c r="BR173" s="38"/>
      <c r="BS173" s="38"/>
      <c r="BT173" s="38"/>
      <c r="BU173" s="38"/>
      <c r="BV173" s="38"/>
      <c r="BW173" s="38"/>
      <c r="BX173" s="38"/>
      <c r="BY173" s="38"/>
      <c r="BZ173" s="38"/>
      <c r="CA173" s="38"/>
      <c r="CB173" s="38"/>
      <c r="CC173" s="38"/>
      <c r="CD173" s="38"/>
      <c r="CE173" s="38"/>
    </row>
    <row r="174" spans="1:83" x14ac:dyDescent="0.3">
      <c r="B174" s="38"/>
      <c r="C174" s="38"/>
      <c r="D174" s="38"/>
      <c r="E174" s="38"/>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38"/>
      <c r="AE174" s="38"/>
      <c r="AF174" s="38"/>
      <c r="AG174" s="38"/>
      <c r="AH174" s="38"/>
      <c r="AI174" s="38"/>
      <c r="AJ174" s="38"/>
      <c r="AK174" s="38"/>
      <c r="AL174" s="38"/>
      <c r="AM174" s="38"/>
      <c r="AN174" s="38"/>
      <c r="AO174" s="38"/>
      <c r="AP174" s="38"/>
      <c r="AQ174" s="38"/>
      <c r="AR174" s="38"/>
      <c r="AS174" s="38"/>
      <c r="AT174" s="38"/>
      <c r="AU174" s="38"/>
      <c r="AV174" s="38"/>
      <c r="AW174" s="38"/>
      <c r="AX174" s="38"/>
      <c r="AY174" s="38"/>
      <c r="AZ174" s="38"/>
      <c r="BA174" s="38"/>
      <c r="BB174" s="38"/>
      <c r="BC174" s="38"/>
      <c r="BD174" s="38"/>
      <c r="BE174" s="38"/>
      <c r="BF174" s="38"/>
      <c r="BG174" s="38"/>
      <c r="BH174" s="38"/>
      <c r="BI174" s="38"/>
      <c r="BJ174" s="38"/>
      <c r="BK174" s="38"/>
      <c r="BL174" s="38"/>
      <c r="BM174" s="38"/>
      <c r="BN174" s="38"/>
      <c r="BO174" s="38"/>
      <c r="BP174" s="38"/>
      <c r="BQ174" s="38"/>
      <c r="BR174" s="38"/>
      <c r="BS174" s="38"/>
      <c r="BT174" s="38"/>
      <c r="BU174" s="38"/>
      <c r="BV174" s="38"/>
      <c r="BW174" s="38"/>
      <c r="BX174" s="38"/>
      <c r="BY174" s="38"/>
      <c r="BZ174" s="38"/>
      <c r="CA174" s="38"/>
      <c r="CB174" s="38"/>
      <c r="CC174" s="38"/>
      <c r="CD174" s="38"/>
      <c r="CE174" s="38"/>
    </row>
    <row r="175" spans="1:83" x14ac:dyDescent="0.3">
      <c r="B175" s="38"/>
      <c r="C175" s="38"/>
      <c r="D175" s="38"/>
      <c r="E175" s="38"/>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38"/>
      <c r="AE175" s="38"/>
      <c r="AF175" s="38"/>
      <c r="AG175" s="38"/>
      <c r="AH175" s="38"/>
      <c r="AI175" s="38"/>
      <c r="AJ175" s="38"/>
      <c r="AK175" s="38"/>
      <c r="AL175" s="38"/>
      <c r="AM175" s="38"/>
      <c r="AN175" s="38"/>
      <c r="AO175" s="38"/>
      <c r="AP175" s="38"/>
      <c r="AQ175" s="38"/>
      <c r="AR175" s="38"/>
      <c r="AS175" s="38"/>
      <c r="AT175" s="38"/>
      <c r="AU175" s="38"/>
      <c r="AV175" s="38"/>
      <c r="AW175" s="38"/>
      <c r="AX175" s="38"/>
      <c r="AY175" s="38"/>
      <c r="AZ175" s="38"/>
      <c r="BA175" s="38"/>
      <c r="BB175" s="38"/>
      <c r="BC175" s="38"/>
      <c r="BD175" s="38"/>
      <c r="BE175" s="38"/>
      <c r="BF175" s="38"/>
      <c r="BG175" s="38"/>
      <c r="BH175" s="38"/>
      <c r="BI175" s="38"/>
      <c r="BJ175" s="38"/>
      <c r="BK175" s="38"/>
      <c r="BL175" s="38"/>
      <c r="BM175" s="38"/>
      <c r="BN175" s="38"/>
      <c r="BO175" s="38"/>
      <c r="BP175" s="38"/>
      <c r="BQ175" s="38"/>
      <c r="BR175" s="38"/>
      <c r="BS175" s="38"/>
      <c r="BT175" s="38"/>
      <c r="BU175" s="38"/>
      <c r="BV175" s="38"/>
      <c r="BW175" s="38"/>
      <c r="BX175" s="38"/>
      <c r="BY175" s="38"/>
      <c r="BZ175" s="38"/>
      <c r="CA175" s="38"/>
      <c r="CB175" s="38"/>
      <c r="CC175" s="38"/>
      <c r="CD175" s="38"/>
      <c r="CE175" s="38"/>
    </row>
    <row r="176" spans="1:83" x14ac:dyDescent="0.3">
      <c r="B176" s="38"/>
      <c r="C176" s="38"/>
      <c r="D176" s="38"/>
      <c r="E176" s="38"/>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38"/>
      <c r="AE176" s="38"/>
      <c r="AF176" s="38"/>
      <c r="AG176" s="38"/>
      <c r="AH176" s="38"/>
      <c r="AI176" s="38"/>
      <c r="AJ176" s="38"/>
      <c r="AK176" s="38"/>
      <c r="AL176" s="38"/>
      <c r="AM176" s="38"/>
      <c r="AN176" s="38"/>
      <c r="AO176" s="38"/>
      <c r="AP176" s="38"/>
      <c r="AQ176" s="38"/>
      <c r="AR176" s="38"/>
      <c r="AS176" s="38"/>
      <c r="AT176" s="38"/>
      <c r="AU176" s="38"/>
      <c r="AV176" s="38"/>
      <c r="AW176" s="38"/>
      <c r="AX176" s="38"/>
      <c r="AY176" s="38"/>
      <c r="AZ176" s="38"/>
      <c r="BA176" s="38"/>
      <c r="BB176" s="38"/>
      <c r="BC176" s="38"/>
      <c r="BD176" s="38"/>
      <c r="BE176" s="38"/>
      <c r="BF176" s="38"/>
      <c r="BG176" s="38"/>
      <c r="BH176" s="38"/>
      <c r="BI176" s="38"/>
      <c r="BJ176" s="38"/>
      <c r="BK176" s="38"/>
      <c r="BL176" s="38"/>
      <c r="BM176" s="38"/>
      <c r="BN176" s="38"/>
      <c r="BO176" s="38"/>
      <c r="BP176" s="38"/>
      <c r="BQ176" s="38"/>
      <c r="BR176" s="38"/>
      <c r="BS176" s="38"/>
      <c r="BT176" s="38"/>
      <c r="BU176" s="38"/>
      <c r="BV176" s="38"/>
      <c r="BW176" s="38"/>
      <c r="BX176" s="38"/>
      <c r="BY176" s="38"/>
      <c r="BZ176" s="38"/>
      <c r="CA176" s="38"/>
      <c r="CB176" s="38"/>
      <c r="CC176" s="38"/>
      <c r="CD176" s="38"/>
      <c r="CE176" s="38"/>
    </row>
    <row r="177" spans="2:83" x14ac:dyDescent="0.3">
      <c r="B177" s="38"/>
      <c r="C177" s="38"/>
      <c r="D177" s="38"/>
      <c r="E177" s="38"/>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8"/>
      <c r="AZ177" s="38"/>
      <c r="BA177" s="38"/>
      <c r="BB177" s="38"/>
      <c r="BC177" s="38"/>
      <c r="BD177" s="38"/>
      <c r="BE177" s="38"/>
      <c r="BF177" s="38"/>
      <c r="BG177" s="38"/>
      <c r="BH177" s="38"/>
      <c r="BI177" s="38"/>
      <c r="BJ177" s="38"/>
      <c r="BK177" s="38"/>
      <c r="BL177" s="38"/>
      <c r="BM177" s="38"/>
      <c r="BN177" s="38"/>
      <c r="BO177" s="38"/>
      <c r="BP177" s="38"/>
      <c r="BQ177" s="38"/>
      <c r="BR177" s="38"/>
      <c r="BS177" s="38"/>
      <c r="BT177" s="38"/>
      <c r="BU177" s="38"/>
      <c r="BV177" s="38"/>
      <c r="BW177" s="38"/>
      <c r="BX177" s="38"/>
      <c r="BY177" s="38"/>
      <c r="BZ177" s="38"/>
      <c r="CA177" s="38"/>
      <c r="CB177" s="38"/>
      <c r="CC177" s="38"/>
      <c r="CD177" s="38"/>
      <c r="CE177" s="38"/>
    </row>
    <row r="178" spans="2:83" x14ac:dyDescent="0.3">
      <c r="B178" s="38"/>
      <c r="C178" s="38"/>
      <c r="D178" s="38"/>
      <c r="E178" s="38"/>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38"/>
      <c r="AE178" s="38"/>
      <c r="AF178" s="38"/>
      <c r="AG178" s="38"/>
      <c r="AH178" s="38"/>
      <c r="AI178" s="38"/>
      <c r="AJ178" s="38"/>
      <c r="AK178" s="38"/>
      <c r="AL178" s="38"/>
      <c r="AM178" s="38"/>
      <c r="AN178" s="38"/>
      <c r="AO178" s="38"/>
      <c r="AP178" s="38"/>
      <c r="AQ178" s="38"/>
      <c r="AR178" s="38"/>
      <c r="AS178" s="38"/>
      <c r="AT178" s="38"/>
      <c r="AU178" s="38"/>
      <c r="AV178" s="38"/>
      <c r="AW178" s="38"/>
      <c r="AX178" s="38"/>
      <c r="AY178" s="38"/>
      <c r="AZ178" s="38"/>
      <c r="BA178" s="38"/>
      <c r="BB178" s="38"/>
      <c r="BC178" s="38"/>
      <c r="BD178" s="38"/>
      <c r="BE178" s="38"/>
      <c r="BF178" s="38"/>
      <c r="BG178" s="38"/>
      <c r="BH178" s="38"/>
      <c r="BI178" s="38"/>
      <c r="BJ178" s="38"/>
      <c r="BK178" s="38"/>
      <c r="BL178" s="38"/>
      <c r="BM178" s="38"/>
      <c r="BN178" s="38"/>
      <c r="BO178" s="38"/>
      <c r="BP178" s="38"/>
      <c r="BQ178" s="38"/>
      <c r="BR178" s="38"/>
      <c r="BS178" s="38"/>
      <c r="BT178" s="38"/>
      <c r="BU178" s="38"/>
      <c r="BV178" s="38"/>
      <c r="BW178" s="38"/>
      <c r="BX178" s="38"/>
      <c r="BY178" s="38"/>
      <c r="BZ178" s="38"/>
      <c r="CA178" s="38"/>
      <c r="CB178" s="38"/>
      <c r="CC178" s="38"/>
      <c r="CD178" s="38"/>
      <c r="CE178" s="38"/>
    </row>
    <row r="179" spans="2:83" x14ac:dyDescent="0.3">
      <c r="B179" s="38"/>
      <c r="C179" s="38"/>
      <c r="D179" s="38"/>
      <c r="E179" s="38"/>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8"/>
      <c r="AL179" s="38"/>
      <c r="AM179" s="38"/>
      <c r="AN179" s="38"/>
      <c r="AO179" s="38"/>
      <c r="AP179" s="38"/>
      <c r="AQ179" s="38"/>
      <c r="AR179" s="38"/>
      <c r="AS179" s="38"/>
      <c r="AT179" s="38"/>
      <c r="AU179" s="38"/>
      <c r="AV179" s="38"/>
      <c r="AW179" s="38"/>
      <c r="AX179" s="38"/>
      <c r="AY179" s="38"/>
      <c r="AZ179" s="38"/>
      <c r="BA179" s="38"/>
      <c r="BB179" s="38"/>
      <c r="BC179" s="38"/>
      <c r="BD179" s="38"/>
      <c r="BE179" s="38"/>
      <c r="BF179" s="38"/>
      <c r="BG179" s="38"/>
      <c r="BH179" s="38"/>
      <c r="BI179" s="38"/>
      <c r="BJ179" s="38"/>
      <c r="BK179" s="38"/>
      <c r="BL179" s="38"/>
      <c r="BM179" s="38"/>
      <c r="BN179" s="38"/>
      <c r="BO179" s="38"/>
      <c r="BP179" s="38"/>
      <c r="BQ179" s="38"/>
      <c r="BR179" s="38"/>
      <c r="BS179" s="38"/>
      <c r="BT179" s="38"/>
      <c r="BU179" s="38"/>
      <c r="BV179" s="38"/>
      <c r="BW179" s="38"/>
      <c r="BX179" s="38"/>
      <c r="BY179" s="38"/>
      <c r="BZ179" s="38"/>
      <c r="CA179" s="38"/>
      <c r="CB179" s="38"/>
      <c r="CC179" s="38"/>
      <c r="CD179" s="38"/>
      <c r="CE179" s="38"/>
    </row>
    <row r="180" spans="2:83" x14ac:dyDescent="0.3">
      <c r="B180" s="38"/>
      <c r="C180" s="38"/>
      <c r="D180" s="38"/>
      <c r="E180" s="38"/>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38"/>
      <c r="AE180" s="38"/>
      <c r="AF180" s="38"/>
      <c r="AG180" s="38"/>
      <c r="AH180" s="38"/>
      <c r="AI180" s="38"/>
      <c r="AJ180" s="38"/>
      <c r="AK180" s="38"/>
      <c r="AL180" s="38"/>
      <c r="AM180" s="38"/>
      <c r="AN180" s="38"/>
      <c r="AO180" s="38"/>
      <c r="AP180" s="38"/>
      <c r="AQ180" s="38"/>
      <c r="AR180" s="38"/>
      <c r="AS180" s="38"/>
      <c r="AT180" s="38"/>
      <c r="AU180" s="38"/>
      <c r="AV180" s="38"/>
      <c r="AW180" s="38"/>
      <c r="AX180" s="38"/>
      <c r="AY180" s="38"/>
      <c r="AZ180" s="38"/>
      <c r="BA180" s="38"/>
      <c r="BB180" s="38"/>
      <c r="BC180" s="38"/>
      <c r="BD180" s="38"/>
      <c r="BE180" s="38"/>
      <c r="BF180" s="38"/>
      <c r="BG180" s="38"/>
      <c r="BH180" s="38"/>
      <c r="BI180" s="38"/>
      <c r="BJ180" s="38"/>
      <c r="BK180" s="38"/>
      <c r="BL180" s="38"/>
      <c r="BM180" s="38"/>
      <c r="BN180" s="38"/>
      <c r="BO180" s="38"/>
      <c r="BP180" s="38"/>
      <c r="BQ180" s="38"/>
      <c r="BR180" s="38"/>
      <c r="BS180" s="38"/>
      <c r="BT180" s="38"/>
      <c r="BU180" s="38"/>
      <c r="BV180" s="38"/>
      <c r="BW180" s="38"/>
      <c r="BX180" s="38"/>
      <c r="BY180" s="38"/>
      <c r="BZ180" s="38"/>
      <c r="CA180" s="38"/>
      <c r="CB180" s="38"/>
      <c r="CC180" s="38"/>
      <c r="CD180" s="38"/>
      <c r="CE180" s="38"/>
    </row>
    <row r="181" spans="2:83" x14ac:dyDescent="0.3">
      <c r="B181" s="38"/>
      <c r="C181" s="38"/>
      <c r="D181" s="38"/>
      <c r="E181" s="38"/>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38"/>
      <c r="AE181" s="38"/>
      <c r="AF181" s="38"/>
      <c r="AG181" s="38"/>
      <c r="AH181" s="38"/>
      <c r="AI181" s="38"/>
      <c r="AJ181" s="38"/>
      <c r="AK181" s="38"/>
      <c r="AL181" s="38"/>
      <c r="AM181" s="38"/>
      <c r="AN181" s="38"/>
      <c r="AO181" s="38"/>
      <c r="AP181" s="38"/>
      <c r="AQ181" s="38"/>
      <c r="AR181" s="38"/>
      <c r="AS181" s="38"/>
      <c r="AT181" s="38"/>
      <c r="AU181" s="38"/>
      <c r="AV181" s="38"/>
      <c r="AW181" s="38"/>
      <c r="AX181" s="38"/>
      <c r="AY181" s="38"/>
      <c r="AZ181" s="38"/>
      <c r="BA181" s="38"/>
      <c r="BB181" s="38"/>
      <c r="BC181" s="38"/>
      <c r="BD181" s="38"/>
      <c r="BE181" s="38"/>
      <c r="BF181" s="38"/>
      <c r="BG181" s="38"/>
      <c r="BH181" s="38"/>
      <c r="BI181" s="38"/>
      <c r="BJ181" s="38"/>
      <c r="BK181" s="38"/>
      <c r="BL181" s="38"/>
      <c r="BM181" s="38"/>
      <c r="BN181" s="38"/>
      <c r="BO181" s="38"/>
      <c r="BP181" s="38"/>
      <c r="BQ181" s="38"/>
      <c r="BR181" s="38"/>
      <c r="BS181" s="38"/>
      <c r="BT181" s="38"/>
      <c r="BU181" s="38"/>
      <c r="BV181" s="38"/>
      <c r="BW181" s="38"/>
      <c r="BX181" s="38"/>
      <c r="BY181" s="38"/>
      <c r="BZ181" s="38"/>
      <c r="CA181" s="38"/>
      <c r="CB181" s="38"/>
      <c r="CC181" s="38"/>
      <c r="CD181" s="38"/>
      <c r="CE181" s="38"/>
    </row>
    <row r="182" spans="2:83" x14ac:dyDescent="0.3">
      <c r="B182" s="38"/>
      <c r="C182" s="38"/>
      <c r="D182" s="38"/>
      <c r="E182" s="38"/>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38"/>
      <c r="BA182" s="38"/>
      <c r="BB182" s="38"/>
      <c r="BC182" s="38"/>
      <c r="BD182" s="38"/>
      <c r="BE182" s="38"/>
      <c r="BF182" s="38"/>
      <c r="BG182" s="38"/>
      <c r="BH182" s="38"/>
      <c r="BI182" s="38"/>
      <c r="BJ182" s="38"/>
      <c r="BK182" s="38"/>
      <c r="BL182" s="38"/>
      <c r="BM182" s="38"/>
      <c r="BN182" s="38"/>
      <c r="BO182" s="38"/>
      <c r="BP182" s="38"/>
      <c r="BQ182" s="38"/>
      <c r="BR182" s="38"/>
      <c r="BS182" s="38"/>
      <c r="BT182" s="38"/>
      <c r="BU182" s="38"/>
      <c r="BV182" s="38"/>
      <c r="BW182" s="38"/>
      <c r="BX182" s="38"/>
      <c r="BY182" s="38"/>
      <c r="BZ182" s="38"/>
      <c r="CA182" s="38"/>
      <c r="CB182" s="38"/>
      <c r="CC182" s="38"/>
      <c r="CD182" s="38"/>
      <c r="CE182" s="38"/>
    </row>
    <row r="183" spans="2:83" x14ac:dyDescent="0.3">
      <c r="B183" s="38"/>
      <c r="C183" s="38"/>
      <c r="D183" s="38"/>
      <c r="E183" s="38"/>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c r="AO183" s="38"/>
      <c r="AP183" s="38"/>
      <c r="AQ183" s="38"/>
      <c r="AR183" s="38"/>
      <c r="AS183" s="38"/>
      <c r="AT183" s="38"/>
      <c r="AU183" s="38"/>
      <c r="AV183" s="38"/>
      <c r="AW183" s="38"/>
      <c r="AX183" s="38"/>
      <c r="AY183" s="38"/>
      <c r="AZ183" s="38"/>
      <c r="BA183" s="38"/>
      <c r="BB183" s="38"/>
      <c r="BC183" s="38"/>
      <c r="BD183" s="38"/>
      <c r="BE183" s="38"/>
      <c r="BF183" s="38"/>
      <c r="BG183" s="38"/>
      <c r="BH183" s="38"/>
      <c r="BI183" s="38"/>
      <c r="BJ183" s="38"/>
      <c r="BK183" s="38"/>
      <c r="BL183" s="38"/>
      <c r="BM183" s="38"/>
      <c r="BN183" s="38"/>
      <c r="BO183" s="38"/>
      <c r="BP183" s="38"/>
      <c r="BQ183" s="38"/>
      <c r="BR183" s="38"/>
      <c r="BS183" s="38"/>
      <c r="BT183" s="38"/>
      <c r="BU183" s="38"/>
      <c r="BV183" s="38"/>
      <c r="BW183" s="38"/>
      <c r="BX183" s="38"/>
      <c r="BY183" s="38"/>
      <c r="BZ183" s="38"/>
      <c r="CA183" s="38"/>
      <c r="CB183" s="38"/>
      <c r="CC183" s="38"/>
      <c r="CD183" s="38"/>
      <c r="CE183" s="38"/>
    </row>
    <row r="184" spans="2:83" x14ac:dyDescent="0.3">
      <c r="B184" s="38"/>
      <c r="C184" s="38"/>
      <c r="D184" s="38"/>
      <c r="E184" s="38"/>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c r="AO184" s="38"/>
      <c r="AP184" s="38"/>
      <c r="AQ184" s="38"/>
      <c r="AR184" s="38"/>
      <c r="AS184" s="38"/>
      <c r="AT184" s="38"/>
      <c r="AU184" s="38"/>
      <c r="AV184" s="38"/>
      <c r="AW184" s="38"/>
      <c r="AX184" s="38"/>
      <c r="AY184" s="38"/>
      <c r="AZ184" s="38"/>
      <c r="BA184" s="38"/>
      <c r="BB184" s="38"/>
      <c r="BC184" s="38"/>
      <c r="BD184" s="38"/>
      <c r="BE184" s="38"/>
      <c r="BF184" s="38"/>
      <c r="BG184" s="38"/>
      <c r="BH184" s="38"/>
      <c r="BI184" s="38"/>
      <c r="BJ184" s="38"/>
      <c r="BK184" s="38"/>
      <c r="BL184" s="38"/>
      <c r="BM184" s="38"/>
      <c r="BN184" s="38"/>
      <c r="BO184" s="38"/>
      <c r="BP184" s="38"/>
      <c r="BQ184" s="38"/>
      <c r="BR184" s="38"/>
      <c r="BS184" s="38"/>
      <c r="BT184" s="38"/>
      <c r="BU184" s="38"/>
      <c r="BV184" s="38"/>
      <c r="BW184" s="38"/>
      <c r="BX184" s="38"/>
      <c r="BY184" s="38"/>
      <c r="BZ184" s="38"/>
      <c r="CA184" s="38"/>
      <c r="CB184" s="38"/>
      <c r="CC184" s="38"/>
      <c r="CD184" s="38"/>
      <c r="CE184" s="38"/>
    </row>
    <row r="185" spans="2:83" x14ac:dyDescent="0.3">
      <c r="B185" s="38"/>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c r="AO185" s="38"/>
      <c r="AP185" s="38"/>
      <c r="AQ185" s="38"/>
      <c r="AR185" s="38"/>
      <c r="AS185" s="38"/>
      <c r="AT185" s="38"/>
      <c r="AU185" s="38"/>
      <c r="AV185" s="38"/>
      <c r="AW185" s="38"/>
      <c r="AX185" s="38"/>
      <c r="AY185" s="38"/>
      <c r="AZ185" s="38"/>
      <c r="BA185" s="38"/>
      <c r="BB185" s="38"/>
      <c r="BC185" s="38"/>
      <c r="BD185" s="38"/>
      <c r="BE185" s="38"/>
      <c r="BF185" s="38"/>
      <c r="BG185" s="38"/>
      <c r="BH185" s="38"/>
      <c r="BI185" s="38"/>
      <c r="BJ185" s="38"/>
      <c r="BK185" s="38"/>
      <c r="BL185" s="38"/>
      <c r="BM185" s="38"/>
      <c r="BN185" s="38"/>
      <c r="BO185" s="38"/>
      <c r="BP185" s="38"/>
      <c r="BQ185" s="38"/>
      <c r="BR185" s="38"/>
      <c r="BS185" s="38"/>
      <c r="BT185" s="38"/>
      <c r="BU185" s="38"/>
      <c r="BV185" s="38"/>
      <c r="BW185" s="38"/>
      <c r="BX185" s="38"/>
      <c r="BY185" s="38"/>
      <c r="BZ185" s="38"/>
      <c r="CA185" s="38"/>
      <c r="CB185" s="38"/>
      <c r="CC185" s="38"/>
      <c r="CD185" s="38"/>
      <c r="CE185" s="38"/>
    </row>
    <row r="186" spans="2:83" x14ac:dyDescent="0.3">
      <c r="B186" s="38"/>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c r="AO186" s="38"/>
      <c r="AP186" s="38"/>
      <c r="AQ186" s="38"/>
      <c r="AR186" s="38"/>
      <c r="AS186" s="38"/>
      <c r="AT186" s="38"/>
      <c r="AU186" s="38"/>
      <c r="AV186" s="38"/>
      <c r="AW186" s="38"/>
      <c r="AX186" s="38"/>
      <c r="AY186" s="38"/>
      <c r="AZ186" s="38"/>
      <c r="BA186" s="38"/>
      <c r="BB186" s="38"/>
      <c r="BC186" s="38"/>
      <c r="BD186" s="38"/>
      <c r="BE186" s="38"/>
      <c r="BF186" s="38"/>
      <c r="BG186" s="38"/>
      <c r="BH186" s="38"/>
      <c r="BI186" s="38"/>
      <c r="BJ186" s="38"/>
      <c r="BK186" s="38"/>
      <c r="BL186" s="38"/>
      <c r="BM186" s="38"/>
      <c r="BN186" s="38"/>
      <c r="BO186" s="38"/>
      <c r="BP186" s="38"/>
      <c r="BQ186" s="38"/>
      <c r="BR186" s="38"/>
      <c r="BS186" s="38"/>
      <c r="BT186" s="38"/>
      <c r="BU186" s="38"/>
      <c r="BV186" s="38"/>
      <c r="BW186" s="38"/>
      <c r="BX186" s="38"/>
      <c r="BY186" s="38"/>
      <c r="BZ186" s="38"/>
      <c r="CA186" s="38"/>
      <c r="CB186" s="38"/>
      <c r="CC186" s="38"/>
      <c r="CD186" s="38"/>
      <c r="CE186" s="38"/>
    </row>
    <row r="187" spans="2:83" x14ac:dyDescent="0.3">
      <c r="B187" s="38"/>
      <c r="C187" s="38"/>
      <c r="D187" s="38"/>
      <c r="E187" s="38"/>
      <c r="F187" s="38"/>
      <c r="G187" s="38"/>
      <c r="H187" s="38"/>
      <c r="I187" s="38"/>
      <c r="BI187" s="38"/>
      <c r="BJ187" s="38"/>
      <c r="BK187" s="38"/>
      <c r="BL187" s="38"/>
      <c r="BM187" s="38"/>
      <c r="BN187" s="38"/>
    </row>
    <row r="188" spans="2:83" x14ac:dyDescent="0.3">
      <c r="B188" s="38"/>
      <c r="C188" s="38"/>
      <c r="D188" s="38"/>
      <c r="E188" s="38"/>
      <c r="F188" s="38"/>
      <c r="G188" s="38"/>
      <c r="H188" s="38"/>
      <c r="I188" s="38"/>
      <c r="BI188" s="38"/>
      <c r="BJ188" s="38"/>
      <c r="BK188" s="38"/>
      <c r="BL188" s="38"/>
      <c r="BM188" s="38"/>
      <c r="BN188" s="38"/>
    </row>
    <row r="189" spans="2:83" x14ac:dyDescent="0.3">
      <c r="B189" s="38"/>
      <c r="C189" s="38"/>
      <c r="D189" s="38"/>
      <c r="E189" s="38"/>
      <c r="F189" s="38"/>
      <c r="G189" s="38"/>
      <c r="H189" s="38"/>
      <c r="I189" s="38"/>
      <c r="BI189" s="38"/>
      <c r="BJ189" s="38"/>
      <c r="BK189" s="38"/>
      <c r="BL189" s="38"/>
      <c r="BM189" s="38"/>
      <c r="BN189" s="38"/>
    </row>
    <row r="190" spans="2:83" x14ac:dyDescent="0.3">
      <c r="B190" s="38"/>
      <c r="C190" s="38"/>
      <c r="D190" s="38"/>
      <c r="E190" s="38"/>
      <c r="F190" s="38"/>
      <c r="G190" s="38"/>
      <c r="H190" s="38"/>
      <c r="I190" s="38"/>
      <c r="BI190" s="38"/>
      <c r="BJ190" s="38"/>
      <c r="BK190" s="38"/>
      <c r="BL190" s="38"/>
      <c r="BM190" s="38"/>
      <c r="BN190" s="38"/>
    </row>
    <row r="191" spans="2:83" x14ac:dyDescent="0.3">
      <c r="BI191" s="38"/>
      <c r="BJ191" s="38"/>
      <c r="BK191" s="38"/>
      <c r="BL191" s="38"/>
      <c r="BM191" s="38"/>
      <c r="BN191" s="38"/>
    </row>
    <row r="192" spans="2:83" x14ac:dyDescent="0.3">
      <c r="BI192" s="38"/>
      <c r="BJ192" s="38"/>
      <c r="BK192" s="38"/>
      <c r="BL192" s="38"/>
      <c r="BM192" s="38"/>
      <c r="BN192" s="38"/>
    </row>
    <row r="193" spans="61:66" x14ac:dyDescent="0.3">
      <c r="BI193" s="38"/>
      <c r="BJ193" s="38"/>
      <c r="BK193" s="38"/>
      <c r="BL193" s="38"/>
      <c r="BM193" s="38"/>
      <c r="BN193" s="38"/>
    </row>
    <row r="194" spans="61:66" x14ac:dyDescent="0.3">
      <c r="BI194" s="38"/>
      <c r="BJ194" s="38"/>
      <c r="BK194" s="38"/>
      <c r="BL194" s="38"/>
      <c r="BM194" s="38"/>
      <c r="BN194" s="38"/>
    </row>
  </sheetData>
  <mergeCells count="1142">
    <mergeCell ref="AL90:AM91"/>
    <mergeCell ref="AD80:AE81"/>
    <mergeCell ref="AF80:AG81"/>
    <mergeCell ref="AH80:AI81"/>
    <mergeCell ref="AJ80:AK81"/>
    <mergeCell ref="AD92:AE93"/>
    <mergeCell ref="AJ92:AK93"/>
    <mergeCell ref="AL92:AM93"/>
    <mergeCell ref="AD76:AE77"/>
    <mergeCell ref="AD86:AE87"/>
    <mergeCell ref="AF86:AG87"/>
    <mergeCell ref="AF90:AG91"/>
    <mergeCell ref="AH82:AI83"/>
    <mergeCell ref="AJ82:AK83"/>
    <mergeCell ref="X78:Y79"/>
    <mergeCell ref="V78:W79"/>
    <mergeCell ref="V80:W81"/>
    <mergeCell ref="X80:Y81"/>
    <mergeCell ref="V82:W83"/>
    <mergeCell ref="V90:W91"/>
    <mergeCell ref="V92:W93"/>
    <mergeCell ref="X82:Y83"/>
    <mergeCell ref="X90:Y91"/>
    <mergeCell ref="X92:Y93"/>
    <mergeCell ref="AB92:AC93"/>
    <mergeCell ref="AB90:AC91"/>
    <mergeCell ref="AB82:AC83"/>
    <mergeCell ref="AB80:AC81"/>
    <mergeCell ref="AB78:AC79"/>
    <mergeCell ref="AF92:AG93"/>
    <mergeCell ref="AH92:AI93"/>
    <mergeCell ref="AH90:AI91"/>
    <mergeCell ref="T78:U79"/>
    <mergeCell ref="J74:K75"/>
    <mergeCell ref="L74:M75"/>
    <mergeCell ref="J60:K61"/>
    <mergeCell ref="L60:M61"/>
    <mergeCell ref="J62:K63"/>
    <mergeCell ref="J64:K65"/>
    <mergeCell ref="J66:K67"/>
    <mergeCell ref="J56:K57"/>
    <mergeCell ref="L56:M57"/>
    <mergeCell ref="J2:BG4"/>
    <mergeCell ref="T74:U75"/>
    <mergeCell ref="Z74:AA75"/>
    <mergeCell ref="AB74:AC75"/>
    <mergeCell ref="R50:S51"/>
    <mergeCell ref="R42:S43"/>
    <mergeCell ref="Z56:AA57"/>
    <mergeCell ref="AF76:AG77"/>
    <mergeCell ref="AL76:AM77"/>
    <mergeCell ref="V72:W73"/>
    <mergeCell ref="X62:Y63"/>
    <mergeCell ref="AF70:AG71"/>
    <mergeCell ref="T64:U65"/>
    <mergeCell ref="T66:U67"/>
    <mergeCell ref="AB66:AC67"/>
    <mergeCell ref="AX64:AY65"/>
    <mergeCell ref="AB60:AC61"/>
    <mergeCell ref="T62:U63"/>
    <mergeCell ref="AZ64:BA65"/>
    <mergeCell ref="BB64:BC65"/>
    <mergeCell ref="BD64:BE65"/>
    <mergeCell ref="BF64:BG65"/>
    <mergeCell ref="AJ90:AK91"/>
    <mergeCell ref="E24:I41"/>
    <mergeCell ref="J6:K7"/>
    <mergeCell ref="T26:U27"/>
    <mergeCell ref="Z26:AA27"/>
    <mergeCell ref="AB26:AC27"/>
    <mergeCell ref="T34:U35"/>
    <mergeCell ref="T30:U31"/>
    <mergeCell ref="T28:U29"/>
    <mergeCell ref="J50:K51"/>
    <mergeCell ref="AJ62:AK63"/>
    <mergeCell ref="AJ64:AK65"/>
    <mergeCell ref="AF72:AG73"/>
    <mergeCell ref="AL48:AM49"/>
    <mergeCell ref="AF50:AG51"/>
    <mergeCell ref="AJ68:AK69"/>
    <mergeCell ref="AL68:AM69"/>
    <mergeCell ref="AD70:AE71"/>
    <mergeCell ref="J14:K15"/>
    <mergeCell ref="L50:M51"/>
    <mergeCell ref="P66:Q67"/>
    <mergeCell ref="P30:Q31"/>
    <mergeCell ref="P32:Q33"/>
    <mergeCell ref="P34:Q35"/>
    <mergeCell ref="N50:O51"/>
    <mergeCell ref="P48:Q49"/>
    <mergeCell ref="P50:Q51"/>
    <mergeCell ref="N56:O57"/>
    <mergeCell ref="P56:Q57"/>
    <mergeCell ref="P60:Q61"/>
    <mergeCell ref="R60:S61"/>
    <mergeCell ref="R56:S57"/>
    <mergeCell ref="B2:I4"/>
    <mergeCell ref="B6:D95"/>
    <mergeCell ref="L10:M11"/>
    <mergeCell ref="L12:M13"/>
    <mergeCell ref="T76:U77"/>
    <mergeCell ref="T80:U81"/>
    <mergeCell ref="T60:U61"/>
    <mergeCell ref="Z60:AA61"/>
    <mergeCell ref="T82:U83"/>
    <mergeCell ref="T90:U91"/>
    <mergeCell ref="AJ54:AK55"/>
    <mergeCell ref="AD78:AE79"/>
    <mergeCell ref="AJ78:AK79"/>
    <mergeCell ref="AL78:AM79"/>
    <mergeCell ref="AF78:AG79"/>
    <mergeCell ref="AH78:AI79"/>
    <mergeCell ref="AD62:AE63"/>
    <mergeCell ref="AF62:AG63"/>
    <mergeCell ref="AD64:AE65"/>
    <mergeCell ref="AD66:AE67"/>
    <mergeCell ref="AL62:AM63"/>
    <mergeCell ref="AL64:AM65"/>
    <mergeCell ref="AL66:AM67"/>
    <mergeCell ref="AF64:AG65"/>
    <mergeCell ref="AJ70:AK71"/>
    <mergeCell ref="AL70:AM71"/>
    <mergeCell ref="AD72:AE73"/>
    <mergeCell ref="AD90:AE91"/>
    <mergeCell ref="X84:Y85"/>
    <mergeCell ref="Z84:AA85"/>
    <mergeCell ref="AB84:AC85"/>
    <mergeCell ref="V86:W87"/>
    <mergeCell ref="BB94:BC95"/>
    <mergeCell ref="BD80:BE81"/>
    <mergeCell ref="BF80:BG81"/>
    <mergeCell ref="AX86:AY87"/>
    <mergeCell ref="AX80:AY81"/>
    <mergeCell ref="AZ80:BA81"/>
    <mergeCell ref="BB80:BC81"/>
    <mergeCell ref="AX94:AY95"/>
    <mergeCell ref="AZ94:BA95"/>
    <mergeCell ref="AL82:AM83"/>
    <mergeCell ref="L30:M31"/>
    <mergeCell ref="T32:U33"/>
    <mergeCell ref="Z32:AA33"/>
    <mergeCell ref="J32:K33"/>
    <mergeCell ref="L32:M33"/>
    <mergeCell ref="J30:K31"/>
    <mergeCell ref="J34:K35"/>
    <mergeCell ref="R30:S31"/>
    <mergeCell ref="R32:S33"/>
    <mergeCell ref="R34:S35"/>
    <mergeCell ref="T50:U51"/>
    <mergeCell ref="AB62:AC63"/>
    <mergeCell ref="V62:W63"/>
    <mergeCell ref="AB50:AC51"/>
    <mergeCell ref="T46:U47"/>
    <mergeCell ref="T48:U49"/>
    <mergeCell ref="AB48:AC49"/>
    <mergeCell ref="AB46:AC47"/>
    <mergeCell ref="V44:W45"/>
    <mergeCell ref="N30:O31"/>
    <mergeCell ref="N32:O33"/>
    <mergeCell ref="N34:O35"/>
    <mergeCell ref="BF50:BG51"/>
    <mergeCell ref="AX58:AY59"/>
    <mergeCell ref="AZ58:BA59"/>
    <mergeCell ref="BD58:BE59"/>
    <mergeCell ref="BF58:BG59"/>
    <mergeCell ref="BD92:BE93"/>
    <mergeCell ref="BF92:BG93"/>
    <mergeCell ref="BF78:BG79"/>
    <mergeCell ref="AX90:AY91"/>
    <mergeCell ref="BD90:BE91"/>
    <mergeCell ref="BF90:BG91"/>
    <mergeCell ref="AX82:AY83"/>
    <mergeCell ref="AZ82:BA83"/>
    <mergeCell ref="BB82:BC83"/>
    <mergeCell ref="BD82:BE83"/>
    <mergeCell ref="BF82:BG83"/>
    <mergeCell ref="AZ90:BA91"/>
    <mergeCell ref="BB90:BC91"/>
    <mergeCell ref="AZ92:BA93"/>
    <mergeCell ref="BB92:BC93"/>
    <mergeCell ref="AX92:AY93"/>
    <mergeCell ref="BF68:BG69"/>
    <mergeCell ref="BD70:BE71"/>
    <mergeCell ref="BF70:BG71"/>
    <mergeCell ref="AX72:AY73"/>
    <mergeCell ref="AZ72:BA73"/>
    <mergeCell ref="BB72:BC73"/>
    <mergeCell ref="BB76:BC77"/>
    <mergeCell ref="AX74:AY75"/>
    <mergeCell ref="BF34:BG35"/>
    <mergeCell ref="AX20:AY21"/>
    <mergeCell ref="AZ20:BA21"/>
    <mergeCell ref="BD76:BE77"/>
    <mergeCell ref="BF76:BG77"/>
    <mergeCell ref="BD72:BE73"/>
    <mergeCell ref="BF72:BG73"/>
    <mergeCell ref="AZ86:BA87"/>
    <mergeCell ref="BB86:BC87"/>
    <mergeCell ref="BD38:BE39"/>
    <mergeCell ref="BF38:BG39"/>
    <mergeCell ref="AX40:AY41"/>
    <mergeCell ref="AZ40:BA41"/>
    <mergeCell ref="BB40:BC41"/>
    <mergeCell ref="BD40:BE41"/>
    <mergeCell ref="BD46:BE47"/>
    <mergeCell ref="BF46:BG47"/>
    <mergeCell ref="AX48:AY49"/>
    <mergeCell ref="AZ48:BA49"/>
    <mergeCell ref="AZ60:BA61"/>
    <mergeCell ref="BB60:BC61"/>
    <mergeCell ref="BD42:BE43"/>
    <mergeCell ref="BF42:BG43"/>
    <mergeCell ref="BF40:BG41"/>
    <mergeCell ref="BD52:BE53"/>
    <mergeCell ref="BF52:BG53"/>
    <mergeCell ref="BD54:BE55"/>
    <mergeCell ref="BF54:BG55"/>
    <mergeCell ref="AZ62:BA63"/>
    <mergeCell ref="BB62:BC63"/>
    <mergeCell ref="BD62:BE63"/>
    <mergeCell ref="BF62:BG63"/>
    <mergeCell ref="AZ8:BA9"/>
    <mergeCell ref="AZ10:BA11"/>
    <mergeCell ref="AZ12:BA13"/>
    <mergeCell ref="AZ14:BA15"/>
    <mergeCell ref="BB24:BC25"/>
    <mergeCell ref="BD18:BE19"/>
    <mergeCell ref="BF18:BG19"/>
    <mergeCell ref="BD20:BE21"/>
    <mergeCell ref="BF20:BG21"/>
    <mergeCell ref="BD22:BE23"/>
    <mergeCell ref="BF22:BG23"/>
    <mergeCell ref="AZ16:BA17"/>
    <mergeCell ref="BB16:BC17"/>
    <mergeCell ref="AZ44:BA45"/>
    <mergeCell ref="AX44:AY45"/>
    <mergeCell ref="BD32:BE33"/>
    <mergeCell ref="BF32:BG33"/>
    <mergeCell ref="AX26:AY27"/>
    <mergeCell ref="BD26:BE27"/>
    <mergeCell ref="BF26:BG27"/>
    <mergeCell ref="AX28:AY29"/>
    <mergeCell ref="AZ28:BA29"/>
    <mergeCell ref="BB28:BC29"/>
    <mergeCell ref="BD28:BE29"/>
    <mergeCell ref="BF28:BG29"/>
    <mergeCell ref="AX30:AY31"/>
    <mergeCell ref="AZ30:BA31"/>
    <mergeCell ref="BB30:BC31"/>
    <mergeCell ref="BD30:BE31"/>
    <mergeCell ref="BF30:BG31"/>
    <mergeCell ref="AZ32:BA33"/>
    <mergeCell ref="BB26:BC27"/>
    <mergeCell ref="AV90:AW91"/>
    <mergeCell ref="AT80:AU81"/>
    <mergeCell ref="AV80:AW81"/>
    <mergeCell ref="AN82:AO83"/>
    <mergeCell ref="AP82:AQ83"/>
    <mergeCell ref="AR82:AS83"/>
    <mergeCell ref="AT82:AU83"/>
    <mergeCell ref="AV82:AW83"/>
    <mergeCell ref="AP92:AQ93"/>
    <mergeCell ref="AR92:AS93"/>
    <mergeCell ref="AR94:AS95"/>
    <mergeCell ref="AT94:AU95"/>
    <mergeCell ref="AV94:AW95"/>
    <mergeCell ref="BD24:BE25"/>
    <mergeCell ref="BF24:BG25"/>
    <mergeCell ref="AX6:AY7"/>
    <mergeCell ref="BD6:BE7"/>
    <mergeCell ref="BF6:BG7"/>
    <mergeCell ref="AX8:AY9"/>
    <mergeCell ref="BD8:BE9"/>
    <mergeCell ref="BF8:BG9"/>
    <mergeCell ref="BD16:BE17"/>
    <mergeCell ref="BD14:BE15"/>
    <mergeCell ref="BD12:BE13"/>
    <mergeCell ref="BD10:BE11"/>
    <mergeCell ref="BF16:BG17"/>
    <mergeCell ref="BF14:BG15"/>
    <mergeCell ref="BF12:BG13"/>
    <mergeCell ref="BF10:BG11"/>
    <mergeCell ref="AZ6:BA7"/>
    <mergeCell ref="BB6:BC7"/>
    <mergeCell ref="BB8:BC9"/>
    <mergeCell ref="AT92:AU93"/>
    <mergeCell ref="AV92:AW93"/>
    <mergeCell ref="AP78:AQ79"/>
    <mergeCell ref="AR78:AS79"/>
    <mergeCell ref="AN80:AO81"/>
    <mergeCell ref="AP80:AQ81"/>
    <mergeCell ref="AR80:AS81"/>
    <mergeCell ref="AN74:AO75"/>
    <mergeCell ref="AP90:AQ91"/>
    <mergeCell ref="AR90:AS91"/>
    <mergeCell ref="AP62:AQ63"/>
    <mergeCell ref="AR62:AS63"/>
    <mergeCell ref="AT62:AU63"/>
    <mergeCell ref="AV62:AW63"/>
    <mergeCell ref="AV84:AW85"/>
    <mergeCell ref="AN86:AO87"/>
    <mergeCell ref="AP86:AQ87"/>
    <mergeCell ref="AR86:AS87"/>
    <mergeCell ref="AN88:AO89"/>
    <mergeCell ref="AP88:AQ89"/>
    <mergeCell ref="AR88:AS89"/>
    <mergeCell ref="AP84:AQ85"/>
    <mergeCell ref="AR84:AS85"/>
    <mergeCell ref="AT84:AU85"/>
    <mergeCell ref="AV78:AW79"/>
    <mergeCell ref="AT88:AU89"/>
    <mergeCell ref="AV88:AW89"/>
    <mergeCell ref="AV68:AW69"/>
    <mergeCell ref="AN78:AO79"/>
    <mergeCell ref="AT78:AU79"/>
    <mergeCell ref="AN90:AO91"/>
    <mergeCell ref="AT90:AU91"/>
    <mergeCell ref="L6:M7"/>
    <mergeCell ref="L8:M9"/>
    <mergeCell ref="J8:K9"/>
    <mergeCell ref="E60:I77"/>
    <mergeCell ref="T8:U9"/>
    <mergeCell ref="Z8:AA9"/>
    <mergeCell ref="AB8:AC9"/>
    <mergeCell ref="AV6:AW7"/>
    <mergeCell ref="AN8:AO9"/>
    <mergeCell ref="AT8:AU9"/>
    <mergeCell ref="AV8:AW9"/>
    <mergeCell ref="AF6:AG7"/>
    <mergeCell ref="AH6:AI7"/>
    <mergeCell ref="AF8:AG9"/>
    <mergeCell ref="AH8:AI9"/>
    <mergeCell ref="AD10:AE11"/>
    <mergeCell ref="AF10:AG11"/>
    <mergeCell ref="AH10:AI11"/>
    <mergeCell ref="AJ10:AK11"/>
    <mergeCell ref="R6:S7"/>
    <mergeCell ref="P6:Q7"/>
    <mergeCell ref="J10:K11"/>
    <mergeCell ref="J12:K13"/>
    <mergeCell ref="AJ26:AK27"/>
    <mergeCell ref="AL26:AM27"/>
    <mergeCell ref="AT16:AU17"/>
    <mergeCell ref="AV16:AW17"/>
    <mergeCell ref="AF24:AG25"/>
    <mergeCell ref="AH24:AI25"/>
    <mergeCell ref="AF26:AG27"/>
    <mergeCell ref="AH26:AI27"/>
    <mergeCell ref="E6:I23"/>
    <mergeCell ref="BI14:BN31"/>
    <mergeCell ref="BI32:BN49"/>
    <mergeCell ref="BI50:BN67"/>
    <mergeCell ref="BI68:BN89"/>
    <mergeCell ref="E42:I59"/>
    <mergeCell ref="E78:I95"/>
    <mergeCell ref="J96:S101"/>
    <mergeCell ref="T96:AC101"/>
    <mergeCell ref="AD96:AM101"/>
    <mergeCell ref="Z24:AA25"/>
    <mergeCell ref="AB24:AC25"/>
    <mergeCell ref="AD6:AE7"/>
    <mergeCell ref="AJ6:AK7"/>
    <mergeCell ref="AL6:AM7"/>
    <mergeCell ref="AD8:AE9"/>
    <mergeCell ref="AJ8:AK9"/>
    <mergeCell ref="AL8:AM9"/>
    <mergeCell ref="Z6:AA7"/>
    <mergeCell ref="AB6:AC7"/>
    <mergeCell ref="AN6:AO7"/>
    <mergeCell ref="AT6:AU7"/>
    <mergeCell ref="AN24:AO25"/>
    <mergeCell ref="AL10:AM11"/>
    <mergeCell ref="AD12:AE13"/>
    <mergeCell ref="AF12:AG13"/>
    <mergeCell ref="AH12:AI13"/>
    <mergeCell ref="AJ12:AK13"/>
    <mergeCell ref="AL12:AM13"/>
    <mergeCell ref="N6:O7"/>
    <mergeCell ref="AN96:AW101"/>
    <mergeCell ref="AX96:BG101"/>
    <mergeCell ref="T6:U7"/>
    <mergeCell ref="J22:K23"/>
    <mergeCell ref="L22:M23"/>
    <mergeCell ref="N8:O9"/>
    <mergeCell ref="N10:O11"/>
    <mergeCell ref="N12:O13"/>
    <mergeCell ref="N14:O15"/>
    <mergeCell ref="P8:Q9"/>
    <mergeCell ref="P10:Q11"/>
    <mergeCell ref="P12:Q13"/>
    <mergeCell ref="P14:Q15"/>
    <mergeCell ref="R14:S15"/>
    <mergeCell ref="R12:S13"/>
    <mergeCell ref="R10:S11"/>
    <mergeCell ref="R8:S9"/>
    <mergeCell ref="P38:Q39"/>
    <mergeCell ref="R38:S39"/>
    <mergeCell ref="J40:K41"/>
    <mergeCell ref="L40:M41"/>
    <mergeCell ref="N40:O41"/>
    <mergeCell ref="P40:Q41"/>
    <mergeCell ref="R40:S41"/>
    <mergeCell ref="L14:M15"/>
    <mergeCell ref="N20:O21"/>
    <mergeCell ref="P20:Q21"/>
    <mergeCell ref="R20:S21"/>
    <mergeCell ref="L34:M35"/>
    <mergeCell ref="L20:M21"/>
    <mergeCell ref="J36:K37"/>
    <mergeCell ref="J84:K85"/>
    <mergeCell ref="L84:M85"/>
    <mergeCell ref="J16:K17"/>
    <mergeCell ref="L16:M17"/>
    <mergeCell ref="N16:O17"/>
    <mergeCell ref="P16:Q17"/>
    <mergeCell ref="R16:S17"/>
    <mergeCell ref="N24:O25"/>
    <mergeCell ref="P24:Q25"/>
    <mergeCell ref="R24:S25"/>
    <mergeCell ref="J28:K29"/>
    <mergeCell ref="L28:M29"/>
    <mergeCell ref="J24:K25"/>
    <mergeCell ref="L24:M25"/>
    <mergeCell ref="J26:K27"/>
    <mergeCell ref="L26:M27"/>
    <mergeCell ref="R26:S27"/>
    <mergeCell ref="P26:Q27"/>
    <mergeCell ref="N26:O27"/>
    <mergeCell ref="N28:O29"/>
    <mergeCell ref="P28:Q29"/>
    <mergeCell ref="R28:S29"/>
    <mergeCell ref="J18:K19"/>
    <mergeCell ref="L18:M19"/>
    <mergeCell ref="N18:O19"/>
    <mergeCell ref="P18:Q19"/>
    <mergeCell ref="N22:O23"/>
    <mergeCell ref="P22:Q23"/>
    <mergeCell ref="R22:S23"/>
    <mergeCell ref="R52:S53"/>
    <mergeCell ref="R18:S19"/>
    <mergeCell ref="J20:K21"/>
    <mergeCell ref="R92:S93"/>
    <mergeCell ref="P64:Q65"/>
    <mergeCell ref="R64:S65"/>
    <mergeCell ref="J80:K81"/>
    <mergeCell ref="J82:K83"/>
    <mergeCell ref="L80:M81"/>
    <mergeCell ref="L82:M83"/>
    <mergeCell ref="N80:O81"/>
    <mergeCell ref="N82:O83"/>
    <mergeCell ref="P78:Q79"/>
    <mergeCell ref="R78:S79"/>
    <mergeCell ref="N74:O75"/>
    <mergeCell ref="P74:Q75"/>
    <mergeCell ref="R74:S75"/>
    <mergeCell ref="R66:S67"/>
    <mergeCell ref="N78:O79"/>
    <mergeCell ref="L66:M67"/>
    <mergeCell ref="L64:M65"/>
    <mergeCell ref="N64:O65"/>
    <mergeCell ref="N90:O91"/>
    <mergeCell ref="N92:O93"/>
    <mergeCell ref="J76:K77"/>
    <mergeCell ref="L76:M77"/>
    <mergeCell ref="N76:O77"/>
    <mergeCell ref="J86:K87"/>
    <mergeCell ref="L90:M91"/>
    <mergeCell ref="L78:M79"/>
    <mergeCell ref="J90:K91"/>
    <mergeCell ref="J92:K93"/>
    <mergeCell ref="L92:M93"/>
    <mergeCell ref="J78:K79"/>
    <mergeCell ref="P80:Q81"/>
    <mergeCell ref="P82:Q83"/>
    <mergeCell ref="P90:Q91"/>
    <mergeCell ref="L62:M63"/>
    <mergeCell ref="N62:O63"/>
    <mergeCell ref="P62:Q63"/>
    <mergeCell ref="R62:S63"/>
    <mergeCell ref="L86:M87"/>
    <mergeCell ref="N86:O87"/>
    <mergeCell ref="N36:O37"/>
    <mergeCell ref="P36:Q37"/>
    <mergeCell ref="R36:S37"/>
    <mergeCell ref="P76:Q77"/>
    <mergeCell ref="R76:S77"/>
    <mergeCell ref="N60:O61"/>
    <mergeCell ref="N72:O73"/>
    <mergeCell ref="P72:Q73"/>
    <mergeCell ref="R72:S73"/>
    <mergeCell ref="R48:S49"/>
    <mergeCell ref="R80:S81"/>
    <mergeCell ref="R82:S83"/>
    <mergeCell ref="R90:S91"/>
    <mergeCell ref="N84:O85"/>
    <mergeCell ref="P84:Q85"/>
    <mergeCell ref="L44:M45"/>
    <mergeCell ref="L46:M47"/>
    <mergeCell ref="L48:M49"/>
    <mergeCell ref="N44:O45"/>
    <mergeCell ref="N46:O47"/>
    <mergeCell ref="P46:Q47"/>
    <mergeCell ref="N48:O49"/>
    <mergeCell ref="L36:M37"/>
    <mergeCell ref="N54:O55"/>
    <mergeCell ref="V6:W7"/>
    <mergeCell ref="X6:Y7"/>
    <mergeCell ref="V24:W25"/>
    <mergeCell ref="X24:Y25"/>
    <mergeCell ref="AB28:AC29"/>
    <mergeCell ref="T10:U11"/>
    <mergeCell ref="T12:U13"/>
    <mergeCell ref="T14:U15"/>
    <mergeCell ref="T16:U17"/>
    <mergeCell ref="AB10:AC11"/>
    <mergeCell ref="AB12:AC13"/>
    <mergeCell ref="AB14:AC15"/>
    <mergeCell ref="AB16:AC17"/>
    <mergeCell ref="V8:W9"/>
    <mergeCell ref="V10:W11"/>
    <mergeCell ref="V12:W13"/>
    <mergeCell ref="V14:W15"/>
    <mergeCell ref="V16:W17"/>
    <mergeCell ref="X8:Y9"/>
    <mergeCell ref="X10:Y11"/>
    <mergeCell ref="X12:Y13"/>
    <mergeCell ref="X14:Y15"/>
    <mergeCell ref="X16:Y17"/>
    <mergeCell ref="Z10:AA11"/>
    <mergeCell ref="Z12:AA13"/>
    <mergeCell ref="T18:U19"/>
    <mergeCell ref="Z14:AA15"/>
    <mergeCell ref="Z16:AA17"/>
    <mergeCell ref="Z28:AA29"/>
    <mergeCell ref="X20:Y21"/>
    <mergeCell ref="T20:U21"/>
    <mergeCell ref="T24:U25"/>
    <mergeCell ref="AR12:AS13"/>
    <mergeCell ref="AT12:AU13"/>
    <mergeCell ref="AV12:AW13"/>
    <mergeCell ref="AN14:AO15"/>
    <mergeCell ref="AP14:AQ15"/>
    <mergeCell ref="AR14:AS15"/>
    <mergeCell ref="AT14:AU15"/>
    <mergeCell ref="AV14:AW15"/>
    <mergeCell ref="AH30:AI31"/>
    <mergeCell ref="AJ30:AK31"/>
    <mergeCell ref="AL30:AM31"/>
    <mergeCell ref="AF32:AG33"/>
    <mergeCell ref="AH32:AI33"/>
    <mergeCell ref="AH14:AI15"/>
    <mergeCell ref="AJ14:AK15"/>
    <mergeCell ref="AL14:AM15"/>
    <mergeCell ref="AP22:AQ23"/>
    <mergeCell ref="AR22:AS23"/>
    <mergeCell ref="AF14:AG15"/>
    <mergeCell ref="AF18:AG19"/>
    <mergeCell ref="AH18:AI19"/>
    <mergeCell ref="AP20:AQ21"/>
    <mergeCell ref="AR20:AS21"/>
    <mergeCell ref="AT18:AU19"/>
    <mergeCell ref="AV18:AW19"/>
    <mergeCell ref="AF20:AG21"/>
    <mergeCell ref="AH20:AI21"/>
    <mergeCell ref="AJ20:AK21"/>
    <mergeCell ref="AT22:AU23"/>
    <mergeCell ref="AT24:AU25"/>
    <mergeCell ref="AP12:AQ13"/>
    <mergeCell ref="AN32:AO33"/>
    <mergeCell ref="Z78:AA79"/>
    <mergeCell ref="Z80:AA81"/>
    <mergeCell ref="Z82:AA83"/>
    <mergeCell ref="Z90:AA91"/>
    <mergeCell ref="Z92:AA93"/>
    <mergeCell ref="Z20:AA21"/>
    <mergeCell ref="AB20:AC21"/>
    <mergeCell ref="V84:W85"/>
    <mergeCell ref="AB18:AC19"/>
    <mergeCell ref="V18:W19"/>
    <mergeCell ref="X18:Y19"/>
    <mergeCell ref="Z18:AA19"/>
    <mergeCell ref="AN92:AO93"/>
    <mergeCell ref="AL80:AM81"/>
    <mergeCell ref="AD82:AE83"/>
    <mergeCell ref="AF82:AG83"/>
    <mergeCell ref="AZ36:BA37"/>
    <mergeCell ref="AX62:AY63"/>
    <mergeCell ref="AH36:AI37"/>
    <mergeCell ref="AJ36:AK37"/>
    <mergeCell ref="AT38:AU39"/>
    <mergeCell ref="AV38:AW39"/>
    <mergeCell ref="AT42:AU43"/>
    <mergeCell ref="AT58:AU59"/>
    <mergeCell ref="AV58:AW59"/>
    <mergeCell ref="AV76:AW77"/>
    <mergeCell ref="AD68:AE69"/>
    <mergeCell ref="AF36:AG37"/>
    <mergeCell ref="X48:Y49"/>
    <mergeCell ref="V66:W67"/>
    <mergeCell ref="V74:W75"/>
    <mergeCell ref="X64:Y65"/>
    <mergeCell ref="BB32:BC33"/>
    <mergeCell ref="AP6:AQ7"/>
    <mergeCell ref="AR6:AS7"/>
    <mergeCell ref="AP8:AQ9"/>
    <mergeCell ref="AR8:AS9"/>
    <mergeCell ref="AN10:AO11"/>
    <mergeCell ref="AP10:AQ11"/>
    <mergeCell ref="AR10:AS11"/>
    <mergeCell ref="AD16:AE17"/>
    <mergeCell ref="AF16:AG17"/>
    <mergeCell ref="AH16:AI17"/>
    <mergeCell ref="AJ16:AK17"/>
    <mergeCell ref="AL16:AM17"/>
    <mergeCell ref="AN16:AO17"/>
    <mergeCell ref="AP16:AQ17"/>
    <mergeCell ref="AR16:AS17"/>
    <mergeCell ref="AL18:AM19"/>
    <mergeCell ref="AN18:AO19"/>
    <mergeCell ref="AD18:AE19"/>
    <mergeCell ref="AD14:AE15"/>
    <mergeCell ref="AP18:AQ19"/>
    <mergeCell ref="AR18:AS19"/>
    <mergeCell ref="AJ18:AK19"/>
    <mergeCell ref="AJ24:AK25"/>
    <mergeCell ref="AL24:AM25"/>
    <mergeCell ref="AT10:AU11"/>
    <mergeCell ref="AV10:AW11"/>
    <mergeCell ref="AN12:AO13"/>
    <mergeCell ref="BB10:BC11"/>
    <mergeCell ref="BB12:BC13"/>
    <mergeCell ref="BB14:BC15"/>
    <mergeCell ref="AX10:AY11"/>
    <mergeCell ref="AX12:AY13"/>
    <mergeCell ref="AX14:AY15"/>
    <mergeCell ref="AX16:AY17"/>
    <mergeCell ref="AX24:AY25"/>
    <mergeCell ref="AX32:AY33"/>
    <mergeCell ref="BB18:BC19"/>
    <mergeCell ref="AZ78:BA79"/>
    <mergeCell ref="BB78:BC79"/>
    <mergeCell ref="BB66:BC67"/>
    <mergeCell ref="BB20:BC21"/>
    <mergeCell ref="AX22:AY23"/>
    <mergeCell ref="AZ22:BA23"/>
    <mergeCell ref="BB22:BC23"/>
    <mergeCell ref="AX42:AY43"/>
    <mergeCell ref="AZ42:BA43"/>
    <mergeCell ref="BB42:BC43"/>
    <mergeCell ref="AX52:AY53"/>
    <mergeCell ref="AZ52:BA53"/>
    <mergeCell ref="BB52:BC53"/>
    <mergeCell ref="AX54:AY55"/>
    <mergeCell ref="AZ54:BA55"/>
    <mergeCell ref="BB54:BC55"/>
    <mergeCell ref="AX38:AY39"/>
    <mergeCell ref="AZ38:BA39"/>
    <mergeCell ref="BB38:BC39"/>
    <mergeCell ref="AX66:AY67"/>
    <mergeCell ref="BB36:BC37"/>
    <mergeCell ref="AX18:AY19"/>
    <mergeCell ref="AZ18:BA19"/>
    <mergeCell ref="AX70:AY71"/>
    <mergeCell ref="AZ70:BA71"/>
    <mergeCell ref="BB70:BC71"/>
    <mergeCell ref="BD36:BE37"/>
    <mergeCell ref="BF36:BG37"/>
    <mergeCell ref="AX56:AY57"/>
    <mergeCell ref="BD56:BE57"/>
    <mergeCell ref="BF56:BG57"/>
    <mergeCell ref="AX60:AY61"/>
    <mergeCell ref="BD60:BE61"/>
    <mergeCell ref="BF60:BG61"/>
    <mergeCell ref="AX50:AY51"/>
    <mergeCell ref="AP34:AQ35"/>
    <mergeCell ref="AR34:AS35"/>
    <mergeCell ref="BB44:BC45"/>
    <mergeCell ref="BD44:BE45"/>
    <mergeCell ref="BF44:BG45"/>
    <mergeCell ref="AX46:AY47"/>
    <mergeCell ref="AZ46:BA47"/>
    <mergeCell ref="BB46:BC47"/>
    <mergeCell ref="AX34:AY35"/>
    <mergeCell ref="AZ34:BA35"/>
    <mergeCell ref="BB34:BC35"/>
    <mergeCell ref="AT46:AU47"/>
    <mergeCell ref="AV46:AW47"/>
    <mergeCell ref="AV54:AW55"/>
    <mergeCell ref="BB58:BC59"/>
    <mergeCell ref="BB48:BC49"/>
    <mergeCell ref="BD48:BE49"/>
    <mergeCell ref="BF48:BG49"/>
    <mergeCell ref="AV52:AW53"/>
    <mergeCell ref="AP56:AQ57"/>
    <mergeCell ref="AP60:AQ61"/>
    <mergeCell ref="AR60:AS61"/>
    <mergeCell ref="AX36:AY37"/>
    <mergeCell ref="AJ94:AK95"/>
    <mergeCell ref="AL94:AM95"/>
    <mergeCell ref="AN94:AO95"/>
    <mergeCell ref="AP94:AQ95"/>
    <mergeCell ref="BD34:BE35"/>
    <mergeCell ref="AP48:AQ49"/>
    <mergeCell ref="AR48:AS49"/>
    <mergeCell ref="AT48:AU49"/>
    <mergeCell ref="AV48:AW49"/>
    <mergeCell ref="AP50:AQ51"/>
    <mergeCell ref="AN64:AO65"/>
    <mergeCell ref="AP64:AQ65"/>
    <mergeCell ref="AR64:AS65"/>
    <mergeCell ref="AT64:AU65"/>
    <mergeCell ref="AV64:AW65"/>
    <mergeCell ref="AN66:AO67"/>
    <mergeCell ref="AX78:AY79"/>
    <mergeCell ref="AP66:AQ67"/>
    <mergeCell ref="AR66:AS67"/>
    <mergeCell ref="AT66:AU67"/>
    <mergeCell ref="BD78:BE79"/>
    <mergeCell ref="AJ38:AK39"/>
    <mergeCell ref="AL38:AM39"/>
    <mergeCell ref="AJ34:AK35"/>
    <mergeCell ref="AL34:AM35"/>
    <mergeCell ref="AR36:AS37"/>
    <mergeCell ref="AV66:AW67"/>
    <mergeCell ref="AN62:AO63"/>
    <mergeCell ref="AP58:AQ59"/>
    <mergeCell ref="AR58:AS59"/>
    <mergeCell ref="BD94:BE95"/>
    <mergeCell ref="AV70:AW71"/>
    <mergeCell ref="N94:O95"/>
    <mergeCell ref="P94:Q95"/>
    <mergeCell ref="R94:S95"/>
    <mergeCell ref="T94:U95"/>
    <mergeCell ref="V94:W95"/>
    <mergeCell ref="X94:Y95"/>
    <mergeCell ref="Z94:AA95"/>
    <mergeCell ref="AB94:AC95"/>
    <mergeCell ref="AD94:AE95"/>
    <mergeCell ref="AF94:AG95"/>
    <mergeCell ref="AH94:AI95"/>
    <mergeCell ref="AH38:AI39"/>
    <mergeCell ref="P92:Q93"/>
    <mergeCell ref="AH48:AI49"/>
    <mergeCell ref="AH54:AI55"/>
    <mergeCell ref="V76:W77"/>
    <mergeCell ref="X76:Y77"/>
    <mergeCell ref="Z76:AA77"/>
    <mergeCell ref="N66:O67"/>
    <mergeCell ref="AH76:AI77"/>
    <mergeCell ref="Z64:AA65"/>
    <mergeCell ref="V60:W61"/>
    <mergeCell ref="X60:Y61"/>
    <mergeCell ref="X72:Y73"/>
    <mergeCell ref="Z72:AA73"/>
    <mergeCell ref="AB72:AC73"/>
    <mergeCell ref="AB76:AC77"/>
    <mergeCell ref="T92:U93"/>
    <mergeCell ref="Z50:AA51"/>
    <mergeCell ref="R46:S47"/>
    <mergeCell ref="T86:U87"/>
    <mergeCell ref="T84:U85"/>
    <mergeCell ref="BF94:BG95"/>
    <mergeCell ref="J58:K59"/>
    <mergeCell ref="L58:M59"/>
    <mergeCell ref="N58:O59"/>
    <mergeCell ref="P58:Q59"/>
    <mergeCell ref="R58:S59"/>
    <mergeCell ref="T58:U59"/>
    <mergeCell ref="V58:W59"/>
    <mergeCell ref="X58:Y59"/>
    <mergeCell ref="Z58:AA59"/>
    <mergeCell ref="AB58:AC59"/>
    <mergeCell ref="AD58:AE59"/>
    <mergeCell ref="AF58:AG59"/>
    <mergeCell ref="AH58:AI59"/>
    <mergeCell ref="AJ58:AK59"/>
    <mergeCell ref="AL58:AM59"/>
    <mergeCell ref="AN58:AO59"/>
    <mergeCell ref="J94:K95"/>
    <mergeCell ref="AJ76:AK77"/>
    <mergeCell ref="L94:M95"/>
    <mergeCell ref="BD66:BE67"/>
    <mergeCell ref="BF66:BG67"/>
    <mergeCell ref="AZ74:BA75"/>
    <mergeCell ref="BB74:BC75"/>
    <mergeCell ref="AZ66:BA67"/>
    <mergeCell ref="BD74:BE75"/>
    <mergeCell ref="BF74:BG75"/>
    <mergeCell ref="AZ76:BA77"/>
    <mergeCell ref="AN70:AO71"/>
    <mergeCell ref="AP70:AQ71"/>
    <mergeCell ref="AR70:AS71"/>
    <mergeCell ref="AT70:AU71"/>
    <mergeCell ref="AN76:AO77"/>
    <mergeCell ref="AP76:AQ77"/>
    <mergeCell ref="AR76:AS77"/>
    <mergeCell ref="AT76:AU77"/>
    <mergeCell ref="AN72:AO73"/>
    <mergeCell ref="AX76:AY77"/>
    <mergeCell ref="AP72:AQ73"/>
    <mergeCell ref="X66:Y67"/>
    <mergeCell ref="X74:Y75"/>
    <mergeCell ref="Z66:AA67"/>
    <mergeCell ref="AD74:AE75"/>
    <mergeCell ref="AJ74:AK75"/>
    <mergeCell ref="X70:Y71"/>
    <mergeCell ref="Z70:AA71"/>
    <mergeCell ref="AB70:AC71"/>
    <mergeCell ref="X68:Y69"/>
    <mergeCell ref="Z68:AA69"/>
    <mergeCell ref="AB68:AC69"/>
    <mergeCell ref="AH72:AI73"/>
    <mergeCell ref="AJ72:AK73"/>
    <mergeCell ref="AH68:AI69"/>
    <mergeCell ref="AF66:AG67"/>
    <mergeCell ref="AF74:AG75"/>
    <mergeCell ref="AH74:AI75"/>
    <mergeCell ref="AP74:AQ75"/>
    <mergeCell ref="AR74:AS75"/>
    <mergeCell ref="AT74:AU75"/>
    <mergeCell ref="AV74:AW75"/>
    <mergeCell ref="AL74:AM75"/>
    <mergeCell ref="AL72:AM73"/>
    <mergeCell ref="V64:W65"/>
    <mergeCell ref="V70:W71"/>
    <mergeCell ref="AB64:AC65"/>
    <mergeCell ref="AF46:AG47"/>
    <mergeCell ref="AH46:AI47"/>
    <mergeCell ref="AJ46:AK47"/>
    <mergeCell ref="Z62:AA63"/>
    <mergeCell ref="BD68:BE69"/>
    <mergeCell ref="AZ50:BA51"/>
    <mergeCell ref="BB50:BC51"/>
    <mergeCell ref="AZ56:BA57"/>
    <mergeCell ref="BB56:BC57"/>
    <mergeCell ref="BD50:BE51"/>
    <mergeCell ref="AL46:AM47"/>
    <mergeCell ref="AD48:AE49"/>
    <mergeCell ref="AF48:AG49"/>
    <mergeCell ref="AT54:AU55"/>
    <mergeCell ref="AL52:AM53"/>
    <mergeCell ref="AJ48:AK49"/>
    <mergeCell ref="AX68:AY69"/>
    <mergeCell ref="AZ68:BA69"/>
    <mergeCell ref="BB68:BC69"/>
    <mergeCell ref="AD56:AE57"/>
    <mergeCell ref="AL56:AM57"/>
    <mergeCell ref="AD60:AE61"/>
    <mergeCell ref="AJ60:AK61"/>
    <mergeCell ref="AL60:AM61"/>
    <mergeCell ref="AF60:AG61"/>
    <mergeCell ref="AH60:AI61"/>
    <mergeCell ref="AN56:AO57"/>
    <mergeCell ref="AT56:AU57"/>
    <mergeCell ref="AV56:AW57"/>
    <mergeCell ref="AH62:AI63"/>
    <mergeCell ref="AJ66:AK67"/>
    <mergeCell ref="AH70:AI71"/>
    <mergeCell ref="AF68:AG69"/>
    <mergeCell ref="AH64:AI65"/>
    <mergeCell ref="AH66:AI67"/>
    <mergeCell ref="AR72:AS73"/>
    <mergeCell ref="AT72:AU73"/>
    <mergeCell ref="AV72:AW73"/>
    <mergeCell ref="AL20:AM21"/>
    <mergeCell ref="AD22:AE23"/>
    <mergeCell ref="AF22:AG23"/>
    <mergeCell ref="AH22:AI23"/>
    <mergeCell ref="AJ22:AK23"/>
    <mergeCell ref="AL22:AM23"/>
    <mergeCell ref="AD30:AE31"/>
    <mergeCell ref="AF30:AG31"/>
    <mergeCell ref="AD24:AE25"/>
    <mergeCell ref="AD26:AE27"/>
    <mergeCell ref="AV44:AW45"/>
    <mergeCell ref="AV28:AW29"/>
    <mergeCell ref="AT32:AU33"/>
    <mergeCell ref="AV32:AW33"/>
    <mergeCell ref="AP38:AQ39"/>
    <mergeCell ref="AR38:AS39"/>
    <mergeCell ref="AN54:AO55"/>
    <mergeCell ref="AR46:AS47"/>
    <mergeCell ref="AP54:AQ55"/>
    <mergeCell ref="AR54:AS55"/>
    <mergeCell ref="AT20:AU21"/>
    <mergeCell ref="AV20:AW21"/>
    <mergeCell ref="AV22:AW23"/>
    <mergeCell ref="AV42:AW43"/>
    <mergeCell ref="AT40:AU41"/>
    <mergeCell ref="AV50:AW51"/>
    <mergeCell ref="AN46:AO47"/>
    <mergeCell ref="AP46:AQ47"/>
    <mergeCell ref="AH52:AI53"/>
    <mergeCell ref="AJ52:AK53"/>
    <mergeCell ref="AP40:AQ41"/>
    <mergeCell ref="AP36:AQ37"/>
    <mergeCell ref="X30:Y31"/>
    <mergeCell ref="Z30:AA31"/>
    <mergeCell ref="Z34:AA35"/>
    <mergeCell ref="AB30:AC31"/>
    <mergeCell ref="Z38:AA39"/>
    <mergeCell ref="AB38:AC39"/>
    <mergeCell ref="T40:U41"/>
    <mergeCell ref="V40:W41"/>
    <mergeCell ref="AL32:AM33"/>
    <mergeCell ref="T36:U37"/>
    <mergeCell ref="V36:W37"/>
    <mergeCell ref="X36:Y37"/>
    <mergeCell ref="V34:W35"/>
    <mergeCell ref="AD40:AE41"/>
    <mergeCell ref="AF40:AG41"/>
    <mergeCell ref="AH40:AI41"/>
    <mergeCell ref="AJ40:AK41"/>
    <mergeCell ref="V32:W33"/>
    <mergeCell ref="Z36:AA37"/>
    <mergeCell ref="X32:Y33"/>
    <mergeCell ref="X34:Y35"/>
    <mergeCell ref="AD34:AE35"/>
    <mergeCell ref="AR30:AS31"/>
    <mergeCell ref="J52:K53"/>
    <mergeCell ref="L52:M53"/>
    <mergeCell ref="N52:O53"/>
    <mergeCell ref="P52:Q53"/>
    <mergeCell ref="V46:W47"/>
    <mergeCell ref="Z40:AA41"/>
    <mergeCell ref="Z48:AA49"/>
    <mergeCell ref="J44:K45"/>
    <mergeCell ref="J46:K47"/>
    <mergeCell ref="J48:K49"/>
    <mergeCell ref="J38:K39"/>
    <mergeCell ref="L38:M39"/>
    <mergeCell ref="N38:O39"/>
    <mergeCell ref="L42:M43"/>
    <mergeCell ref="N42:O43"/>
    <mergeCell ref="P42:Q43"/>
    <mergeCell ref="AB44:AC45"/>
    <mergeCell ref="P54:Q55"/>
    <mergeCell ref="R54:S55"/>
    <mergeCell ref="T52:U53"/>
    <mergeCell ref="V52:W53"/>
    <mergeCell ref="X52:Y53"/>
    <mergeCell ref="Z52:AA53"/>
    <mergeCell ref="T42:U43"/>
    <mergeCell ref="V42:W43"/>
    <mergeCell ref="X42:Y43"/>
    <mergeCell ref="Z42:AA43"/>
    <mergeCell ref="X40:Y41"/>
    <mergeCell ref="R44:S45"/>
    <mergeCell ref="P44:Q45"/>
    <mergeCell ref="J54:K55"/>
    <mergeCell ref="L54:M55"/>
    <mergeCell ref="J42:K43"/>
    <mergeCell ref="AZ24:BA25"/>
    <mergeCell ref="AT30:AU31"/>
    <mergeCell ref="AV30:AW31"/>
    <mergeCell ref="AP32:AQ33"/>
    <mergeCell ref="AR32:AS33"/>
    <mergeCell ref="AT34:AU35"/>
    <mergeCell ref="AV34:AW35"/>
    <mergeCell ref="AP24:AQ25"/>
    <mergeCell ref="AR24:AS25"/>
    <mergeCell ref="AP26:AQ27"/>
    <mergeCell ref="AR26:AS27"/>
    <mergeCell ref="AN28:AO29"/>
    <mergeCell ref="AP28:AQ29"/>
    <mergeCell ref="AR28:AS29"/>
    <mergeCell ref="AN30:AO31"/>
    <mergeCell ref="AP30:AQ31"/>
    <mergeCell ref="AT28:AU29"/>
    <mergeCell ref="AV24:AW25"/>
    <mergeCell ref="AZ26:BA27"/>
    <mergeCell ref="AT26:AU27"/>
    <mergeCell ref="AV26:AW27"/>
    <mergeCell ref="AN26:AO27"/>
    <mergeCell ref="AN34:AO35"/>
    <mergeCell ref="AR42:AS43"/>
    <mergeCell ref="AN22:AO23"/>
    <mergeCell ref="AN20:AO21"/>
    <mergeCell ref="AB40:AC41"/>
    <mergeCell ref="AD20:AE21"/>
    <mergeCell ref="AD28:AE29"/>
    <mergeCell ref="AF28:AG29"/>
    <mergeCell ref="AH28:AI29"/>
    <mergeCell ref="AJ28:AK29"/>
    <mergeCell ref="AL28:AM29"/>
    <mergeCell ref="AD32:AE33"/>
    <mergeCell ref="AJ32:AK33"/>
    <mergeCell ref="AR40:AS41"/>
    <mergeCell ref="AB42:AC43"/>
    <mergeCell ref="AV40:AW41"/>
    <mergeCell ref="AT36:AU37"/>
    <mergeCell ref="AV36:AW37"/>
    <mergeCell ref="AF34:AG35"/>
    <mergeCell ref="AH34:AI35"/>
    <mergeCell ref="AB32:AC33"/>
    <mergeCell ref="AD38:AE39"/>
    <mergeCell ref="AF38:AG39"/>
    <mergeCell ref="AB36:AC37"/>
    <mergeCell ref="AD36:AE37"/>
    <mergeCell ref="AN42:AO43"/>
    <mergeCell ref="T22:U23"/>
    <mergeCell ref="V22:W23"/>
    <mergeCell ref="X22:Y23"/>
    <mergeCell ref="Z22:AA23"/>
    <mergeCell ref="AB22:AC23"/>
    <mergeCell ref="AL36:AM37"/>
    <mergeCell ref="AN36:AO37"/>
    <mergeCell ref="AN38:AO39"/>
    <mergeCell ref="X26:Y27"/>
    <mergeCell ref="X28:Y29"/>
    <mergeCell ref="V20:W21"/>
    <mergeCell ref="T38:U39"/>
    <mergeCell ref="V38:W39"/>
    <mergeCell ref="X38:Y39"/>
    <mergeCell ref="AB34:AC35"/>
    <mergeCell ref="V26:W27"/>
    <mergeCell ref="V28:W29"/>
    <mergeCell ref="V30:W31"/>
    <mergeCell ref="AP42:AQ43"/>
    <mergeCell ref="AN44:AO45"/>
    <mergeCell ref="AN60:AO61"/>
    <mergeCell ref="AT60:AU61"/>
    <mergeCell ref="AV60:AW61"/>
    <mergeCell ref="AN48:AO49"/>
    <mergeCell ref="AR50:AS51"/>
    <mergeCell ref="AT52:AU53"/>
    <mergeCell ref="AB52:AC53"/>
    <mergeCell ref="V54:W55"/>
    <mergeCell ref="X44:Y45"/>
    <mergeCell ref="AR44:AS45"/>
    <mergeCell ref="AN40:AO41"/>
    <mergeCell ref="AL40:AM41"/>
    <mergeCell ref="AD42:AE43"/>
    <mergeCell ref="AF42:AG43"/>
    <mergeCell ref="AH42:AI43"/>
    <mergeCell ref="AJ42:AK43"/>
    <mergeCell ref="AL42:AM43"/>
    <mergeCell ref="AB56:AC57"/>
    <mergeCell ref="AD52:AE53"/>
    <mergeCell ref="AF52:AG53"/>
    <mergeCell ref="AD54:AE55"/>
    <mergeCell ref="AD44:AE45"/>
    <mergeCell ref="AF44:AG45"/>
    <mergeCell ref="X46:Y47"/>
    <mergeCell ref="AT50:AU51"/>
    <mergeCell ref="AT44:AU45"/>
    <mergeCell ref="AR56:AS57"/>
    <mergeCell ref="Z44:AA45"/>
    <mergeCell ref="AJ56:AK57"/>
    <mergeCell ref="AL54:AM55"/>
    <mergeCell ref="AN52:AO53"/>
    <mergeCell ref="AP52:AQ53"/>
    <mergeCell ref="AR52:AS53"/>
    <mergeCell ref="AN50:AO51"/>
    <mergeCell ref="T44:U45"/>
    <mergeCell ref="X50:Y51"/>
    <mergeCell ref="X56:Y57"/>
    <mergeCell ref="Z46:AA47"/>
    <mergeCell ref="V48:W49"/>
    <mergeCell ref="V50:W51"/>
    <mergeCell ref="T56:U57"/>
    <mergeCell ref="V56:W57"/>
    <mergeCell ref="AD50:AE51"/>
    <mergeCell ref="AJ50:AK51"/>
    <mergeCell ref="AL50:AM51"/>
    <mergeCell ref="AH50:AI51"/>
    <mergeCell ref="AF56:AG57"/>
    <mergeCell ref="AH56:AI57"/>
    <mergeCell ref="AH44:AI45"/>
    <mergeCell ref="AJ44:AK45"/>
    <mergeCell ref="AL44:AM45"/>
    <mergeCell ref="T54:U55"/>
    <mergeCell ref="X54:Y55"/>
    <mergeCell ref="Z54:AA55"/>
    <mergeCell ref="AB54:AC55"/>
    <mergeCell ref="AP44:AQ45"/>
    <mergeCell ref="AD46:AE47"/>
    <mergeCell ref="AF54:AG55"/>
    <mergeCell ref="R84:S85"/>
    <mergeCell ref="AD84:AE85"/>
    <mergeCell ref="AF84:AG85"/>
    <mergeCell ref="AH84:AI85"/>
    <mergeCell ref="AJ84:AK85"/>
    <mergeCell ref="AL84:AM85"/>
    <mergeCell ref="AX84:AY85"/>
    <mergeCell ref="AZ84:BA85"/>
    <mergeCell ref="BB84:BC85"/>
    <mergeCell ref="BD84:BE85"/>
    <mergeCell ref="BF84:BG85"/>
    <mergeCell ref="AN68:AO69"/>
    <mergeCell ref="AP68:AQ69"/>
    <mergeCell ref="AR68:AS69"/>
    <mergeCell ref="AT68:AU69"/>
    <mergeCell ref="AN84:AO85"/>
    <mergeCell ref="J68:K69"/>
    <mergeCell ref="L68:M69"/>
    <mergeCell ref="N68:O69"/>
    <mergeCell ref="P68:Q69"/>
    <mergeCell ref="R68:S69"/>
    <mergeCell ref="J70:K71"/>
    <mergeCell ref="L70:M71"/>
    <mergeCell ref="N70:O71"/>
    <mergeCell ref="P70:Q71"/>
    <mergeCell ref="R70:S71"/>
    <mergeCell ref="J72:K73"/>
    <mergeCell ref="L72:M73"/>
    <mergeCell ref="T68:U69"/>
    <mergeCell ref="V68:W69"/>
    <mergeCell ref="T72:U73"/>
    <mergeCell ref="T70:U71"/>
    <mergeCell ref="J88:K89"/>
    <mergeCell ref="L88:M89"/>
    <mergeCell ref="N88:O89"/>
    <mergeCell ref="P88:Q89"/>
    <mergeCell ref="R88:S89"/>
    <mergeCell ref="X86:Y87"/>
    <mergeCell ref="Z86:AA87"/>
    <mergeCell ref="AB86:AC87"/>
    <mergeCell ref="T88:U89"/>
    <mergeCell ref="V88:W89"/>
    <mergeCell ref="X88:Y89"/>
    <mergeCell ref="Z88:AA89"/>
    <mergeCell ref="AB88:AC89"/>
    <mergeCell ref="P86:Q87"/>
    <mergeCell ref="R86:S87"/>
    <mergeCell ref="BD86:BE87"/>
    <mergeCell ref="BF86:BG87"/>
    <mergeCell ref="AX88:AY89"/>
    <mergeCell ref="AZ88:BA89"/>
    <mergeCell ref="BB88:BC89"/>
    <mergeCell ref="BD88:BE89"/>
    <mergeCell ref="BF88:BG89"/>
    <mergeCell ref="AH86:AI87"/>
    <mergeCell ref="AJ86:AK87"/>
    <mergeCell ref="AL86:AM87"/>
    <mergeCell ref="AD88:AE89"/>
    <mergeCell ref="AF88:AG89"/>
    <mergeCell ref="AH88:AI89"/>
    <mergeCell ref="AJ88:AK89"/>
    <mergeCell ref="AL88:AM89"/>
    <mergeCell ref="AT86:AU87"/>
    <mergeCell ref="AV86:AW8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C6" sqref="C6"/>
    </sheetView>
  </sheetViews>
  <sheetFormatPr baseColWidth="10" defaultRowHeight="14.4" x14ac:dyDescent="0.3"/>
  <cols>
    <col min="2" max="2" width="24.109375" customWidth="1"/>
    <col min="3" max="3" width="70.109375" customWidth="1"/>
    <col min="4" max="4" width="29.88671875" customWidth="1"/>
  </cols>
  <sheetData>
    <row r="1" spans="1:37" ht="23.4" x14ac:dyDescent="0.3">
      <c r="A1" s="38"/>
      <c r="B1" s="543" t="s">
        <v>49</v>
      </c>
      <c r="C1" s="543"/>
      <c r="D1" s="543"/>
      <c r="E1" s="38"/>
      <c r="F1" s="38"/>
      <c r="G1" s="38"/>
      <c r="H1" s="38"/>
      <c r="I1" s="38"/>
      <c r="J1" s="38"/>
      <c r="K1" s="38"/>
      <c r="L1" s="38"/>
      <c r="M1" s="38"/>
      <c r="N1" s="38"/>
      <c r="O1" s="38"/>
      <c r="P1" s="38"/>
      <c r="Q1" s="38"/>
      <c r="R1" s="38"/>
      <c r="S1" s="38"/>
      <c r="T1" s="38"/>
      <c r="U1" s="38"/>
      <c r="V1" s="38"/>
      <c r="W1" s="38"/>
      <c r="X1" s="38"/>
      <c r="Y1" s="38"/>
      <c r="Z1" s="38"/>
      <c r="AA1" s="38"/>
      <c r="AB1" s="38"/>
      <c r="AC1" s="38"/>
      <c r="AD1" s="38"/>
      <c r="AE1" s="38"/>
    </row>
    <row r="2" spans="1:37" x14ac:dyDescent="0.3">
      <c r="A2" s="38"/>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row>
    <row r="3" spans="1:37" ht="25.2" x14ac:dyDescent="0.3">
      <c r="A3" s="38"/>
      <c r="B3" s="7"/>
      <c r="C3" s="8" t="s">
        <v>46</v>
      </c>
      <c r="D3" s="8" t="s">
        <v>4</v>
      </c>
      <c r="E3" s="38"/>
      <c r="F3" s="38"/>
      <c r="G3" s="38"/>
      <c r="H3" s="38"/>
      <c r="I3" s="38"/>
      <c r="J3" s="38"/>
      <c r="K3" s="38"/>
      <c r="L3" s="38"/>
      <c r="M3" s="38"/>
      <c r="N3" s="38"/>
      <c r="O3" s="38"/>
      <c r="P3" s="38"/>
      <c r="Q3" s="38"/>
      <c r="R3" s="38"/>
      <c r="S3" s="38"/>
      <c r="T3" s="38"/>
      <c r="U3" s="38"/>
      <c r="V3" s="38"/>
      <c r="W3" s="38"/>
      <c r="X3" s="38"/>
      <c r="Y3" s="38"/>
      <c r="Z3" s="38"/>
      <c r="AA3" s="38"/>
      <c r="AB3" s="38"/>
      <c r="AC3" s="38"/>
      <c r="AD3" s="38"/>
      <c r="AE3" s="38"/>
    </row>
    <row r="4" spans="1:37" ht="50.4" x14ac:dyDescent="0.3">
      <c r="A4" s="38"/>
      <c r="B4" s="9" t="s">
        <v>45</v>
      </c>
      <c r="C4" s="10" t="s">
        <v>93</v>
      </c>
      <c r="D4" s="11">
        <v>0.2</v>
      </c>
      <c r="E4" s="38"/>
      <c r="F4" s="38"/>
      <c r="G4" s="38"/>
      <c r="H4" s="38"/>
      <c r="I4" s="38"/>
      <c r="J4" s="38"/>
      <c r="K4" s="38"/>
      <c r="L4" s="38"/>
      <c r="M4" s="38"/>
      <c r="N4" s="38"/>
      <c r="O4" s="38"/>
      <c r="P4" s="38"/>
      <c r="Q4" s="38"/>
      <c r="R4" s="38"/>
      <c r="S4" s="38"/>
      <c r="T4" s="38"/>
      <c r="U4" s="38"/>
      <c r="V4" s="38"/>
      <c r="W4" s="38"/>
      <c r="X4" s="38"/>
      <c r="Y4" s="38"/>
      <c r="Z4" s="38"/>
      <c r="AA4" s="38"/>
      <c r="AB4" s="38"/>
      <c r="AC4" s="38"/>
      <c r="AD4" s="38"/>
      <c r="AE4" s="38"/>
    </row>
    <row r="5" spans="1:37" ht="50.4" x14ac:dyDescent="0.3">
      <c r="A5" s="38"/>
      <c r="B5" s="12" t="s">
        <v>47</v>
      </c>
      <c r="C5" s="13" t="s">
        <v>94</v>
      </c>
      <c r="D5" s="14">
        <v>0.4</v>
      </c>
      <c r="E5" s="38"/>
      <c r="F5" s="38"/>
      <c r="G5" s="38"/>
      <c r="H5" s="38"/>
      <c r="I5" s="38"/>
      <c r="J5" s="38"/>
      <c r="K5" s="38"/>
      <c r="L5" s="38"/>
      <c r="M5" s="38"/>
      <c r="N5" s="38"/>
      <c r="O5" s="38"/>
      <c r="P5" s="38"/>
      <c r="Q5" s="38"/>
      <c r="R5" s="38"/>
      <c r="S5" s="38"/>
      <c r="T5" s="38"/>
      <c r="U5" s="38"/>
      <c r="V5" s="38"/>
      <c r="W5" s="38"/>
      <c r="X5" s="38"/>
      <c r="Y5" s="38"/>
      <c r="Z5" s="38"/>
      <c r="AA5" s="38"/>
      <c r="AB5" s="38"/>
      <c r="AC5" s="38"/>
      <c r="AD5" s="38"/>
      <c r="AE5" s="38"/>
    </row>
    <row r="6" spans="1:37" ht="50.4" x14ac:dyDescent="0.3">
      <c r="A6" s="38"/>
      <c r="B6" s="15" t="s">
        <v>98</v>
      </c>
      <c r="C6" s="13" t="s">
        <v>95</v>
      </c>
      <c r="D6" s="14">
        <v>0.6</v>
      </c>
      <c r="E6" s="38"/>
      <c r="F6" s="38"/>
      <c r="G6" s="38"/>
      <c r="H6" s="38"/>
      <c r="I6" s="38"/>
      <c r="J6" s="38"/>
      <c r="K6" s="38"/>
      <c r="L6" s="38"/>
      <c r="M6" s="38"/>
      <c r="N6" s="38"/>
      <c r="O6" s="38"/>
      <c r="P6" s="38"/>
      <c r="Q6" s="38"/>
      <c r="R6" s="38"/>
      <c r="S6" s="38"/>
      <c r="T6" s="38"/>
      <c r="U6" s="38"/>
      <c r="V6" s="38"/>
      <c r="W6" s="38"/>
      <c r="X6" s="38"/>
      <c r="Y6" s="38"/>
      <c r="Z6" s="38"/>
      <c r="AA6" s="38"/>
      <c r="AB6" s="38"/>
      <c r="AC6" s="38"/>
      <c r="AD6" s="38"/>
      <c r="AE6" s="38"/>
    </row>
    <row r="7" spans="1:37" ht="75.599999999999994" x14ac:dyDescent="0.3">
      <c r="A7" s="38"/>
      <c r="B7" s="16" t="s">
        <v>6</v>
      </c>
      <c r="C7" s="13" t="s">
        <v>96</v>
      </c>
      <c r="D7" s="14">
        <v>0.8</v>
      </c>
      <c r="E7" s="38"/>
      <c r="F7" s="38"/>
      <c r="G7" s="38"/>
      <c r="H7" s="38"/>
      <c r="I7" s="38"/>
      <c r="J7" s="38"/>
      <c r="K7" s="38"/>
      <c r="L7" s="38"/>
      <c r="M7" s="38"/>
      <c r="N7" s="38"/>
      <c r="O7" s="38"/>
      <c r="P7" s="38"/>
      <c r="Q7" s="38"/>
      <c r="R7" s="38"/>
      <c r="S7" s="38"/>
      <c r="T7" s="38"/>
      <c r="U7" s="38"/>
      <c r="V7" s="38"/>
      <c r="W7" s="38"/>
      <c r="X7" s="38"/>
      <c r="Y7" s="38"/>
      <c r="Z7" s="38"/>
      <c r="AA7" s="38"/>
      <c r="AB7" s="38"/>
      <c r="AC7" s="38"/>
      <c r="AD7" s="38"/>
      <c r="AE7" s="38"/>
    </row>
    <row r="8" spans="1:37" ht="50.4" x14ac:dyDescent="0.3">
      <c r="A8" s="38"/>
      <c r="B8" s="17" t="s">
        <v>48</v>
      </c>
      <c r="C8" s="13" t="s">
        <v>97</v>
      </c>
      <c r="D8" s="14">
        <v>1</v>
      </c>
      <c r="E8" s="38"/>
      <c r="F8" s="38"/>
      <c r="G8" s="38"/>
      <c r="H8" s="38"/>
      <c r="I8" s="38"/>
      <c r="J8" s="38"/>
      <c r="K8" s="38"/>
      <c r="L8" s="38"/>
      <c r="M8" s="38"/>
      <c r="N8" s="38"/>
      <c r="O8" s="38"/>
      <c r="P8" s="38"/>
      <c r="Q8" s="38"/>
      <c r="R8" s="38"/>
      <c r="S8" s="38"/>
      <c r="T8" s="38"/>
      <c r="U8" s="38"/>
      <c r="V8" s="38"/>
      <c r="W8" s="38"/>
      <c r="X8" s="38"/>
      <c r="Y8" s="38"/>
      <c r="Z8" s="38"/>
      <c r="AA8" s="38"/>
      <c r="AB8" s="38"/>
      <c r="AC8" s="38"/>
      <c r="AD8" s="38"/>
      <c r="AE8" s="38"/>
    </row>
    <row r="9" spans="1:37" x14ac:dyDescent="0.3">
      <c r="A9" s="38"/>
      <c r="B9" s="62"/>
      <c r="C9" s="62"/>
      <c r="D9" s="62"/>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row>
    <row r="10" spans="1:37" x14ac:dyDescent="0.3">
      <c r="A10" s="38"/>
      <c r="B10" s="63"/>
      <c r="C10" s="62"/>
      <c r="D10" s="62"/>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row>
    <row r="11" spans="1:37" x14ac:dyDescent="0.3">
      <c r="A11" s="38"/>
      <c r="B11" s="62"/>
      <c r="C11" s="62"/>
      <c r="D11" s="62"/>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row>
    <row r="12" spans="1:37" x14ac:dyDescent="0.3">
      <c r="A12" s="38"/>
      <c r="B12" s="62"/>
      <c r="C12" s="62"/>
      <c r="D12" s="62"/>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row>
    <row r="13" spans="1:37" x14ac:dyDescent="0.3">
      <c r="A13" s="38"/>
      <c r="B13" s="62"/>
      <c r="C13" s="62"/>
      <c r="D13" s="62"/>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row>
    <row r="14" spans="1:37" x14ac:dyDescent="0.3">
      <c r="A14" s="38"/>
      <c r="B14" s="62"/>
      <c r="C14" s="62"/>
      <c r="D14" s="62"/>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row>
    <row r="15" spans="1:37" x14ac:dyDescent="0.3">
      <c r="A15" s="38"/>
      <c r="B15" s="62"/>
      <c r="C15" s="62"/>
      <c r="D15" s="62"/>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row>
    <row r="16" spans="1:37" x14ac:dyDescent="0.3">
      <c r="A16" s="38"/>
      <c r="B16" s="62"/>
      <c r="C16" s="62"/>
      <c r="D16" s="62"/>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row>
    <row r="17" spans="1:37" x14ac:dyDescent="0.3">
      <c r="A17" s="38"/>
      <c r="B17" s="62"/>
      <c r="C17" s="62"/>
      <c r="D17" s="62"/>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row>
    <row r="18" spans="1:37" x14ac:dyDescent="0.3">
      <c r="A18" s="38"/>
      <c r="B18" s="62"/>
      <c r="C18" s="62"/>
      <c r="D18" s="62"/>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row>
    <row r="19" spans="1:37" x14ac:dyDescent="0.3">
      <c r="A19" s="38"/>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row>
    <row r="20" spans="1:37" x14ac:dyDescent="0.3">
      <c r="A20" s="38"/>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row>
    <row r="21" spans="1:37" x14ac:dyDescent="0.3">
      <c r="A21" s="38"/>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8"/>
    </row>
    <row r="22" spans="1:37" x14ac:dyDescent="0.3">
      <c r="A22" s="38"/>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row>
    <row r="23" spans="1:37" x14ac:dyDescent="0.3">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row>
    <row r="24" spans="1:37" x14ac:dyDescent="0.3">
      <c r="A24" s="38"/>
      <c r="B24" s="38"/>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8"/>
    </row>
    <row r="25" spans="1:37" x14ac:dyDescent="0.3">
      <c r="A25" s="38"/>
      <c r="B25" s="38"/>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row>
    <row r="26" spans="1:37" x14ac:dyDescent="0.3">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row>
    <row r="27" spans="1:37" x14ac:dyDescent="0.3">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row>
    <row r="28" spans="1:37" x14ac:dyDescent="0.3">
      <c r="A28" s="38"/>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row>
    <row r="29" spans="1:37" x14ac:dyDescent="0.3">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row>
    <row r="30" spans="1:37" x14ac:dyDescent="0.3">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row>
    <row r="31" spans="1:37" x14ac:dyDescent="0.3">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row>
    <row r="32" spans="1:37" x14ac:dyDescent="0.3">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row>
    <row r="33" spans="1:31" x14ac:dyDescent="0.3">
      <c r="A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row>
    <row r="34" spans="1:31" x14ac:dyDescent="0.3">
      <c r="A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row>
    <row r="35" spans="1:31" x14ac:dyDescent="0.3">
      <c r="A35" s="38"/>
    </row>
    <row r="36" spans="1:31" x14ac:dyDescent="0.3">
      <c r="A36" s="38"/>
    </row>
    <row r="37" spans="1:31" x14ac:dyDescent="0.3">
      <c r="A37" s="38"/>
    </row>
    <row r="38" spans="1:31" x14ac:dyDescent="0.3">
      <c r="A38" s="38"/>
    </row>
    <row r="39" spans="1:31" x14ac:dyDescent="0.3">
      <c r="A39" s="38"/>
    </row>
    <row r="40" spans="1:31" x14ac:dyDescent="0.3">
      <c r="A40" s="38"/>
    </row>
    <row r="41" spans="1:31" x14ac:dyDescent="0.3">
      <c r="A41" s="38"/>
    </row>
    <row r="42" spans="1:31" x14ac:dyDescent="0.3">
      <c r="A42" s="38"/>
    </row>
    <row r="43" spans="1:31" x14ac:dyDescent="0.3">
      <c r="A43" s="38"/>
    </row>
    <row r="44" spans="1:31" x14ac:dyDescent="0.3">
      <c r="A44" s="38"/>
    </row>
    <row r="45" spans="1:31" x14ac:dyDescent="0.3">
      <c r="A45" s="38"/>
    </row>
    <row r="46" spans="1:31" x14ac:dyDescent="0.3">
      <c r="A46" s="38"/>
    </row>
    <row r="47" spans="1:31" x14ac:dyDescent="0.3">
      <c r="A47" s="38"/>
    </row>
    <row r="48" spans="1:31" x14ac:dyDescent="0.3">
      <c r="A48" s="38"/>
    </row>
    <row r="49" spans="1:1" x14ac:dyDescent="0.3">
      <c r="A49" s="38"/>
    </row>
    <row r="50" spans="1:1" x14ac:dyDescent="0.3">
      <c r="A50" s="38"/>
    </row>
    <row r="51" spans="1:1" x14ac:dyDescent="0.3">
      <c r="A51" s="38"/>
    </row>
    <row r="52" spans="1:1" x14ac:dyDescent="0.3">
      <c r="A52" s="38"/>
    </row>
    <row r="53" spans="1:1" x14ac:dyDescent="0.3">
      <c r="A53" s="38"/>
    </row>
    <row r="54" spans="1:1" x14ac:dyDescent="0.3">
      <c r="A54" s="38"/>
    </row>
    <row r="55" spans="1:1" x14ac:dyDescent="0.3">
      <c r="A55" s="38"/>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topLeftCell="A109" zoomScale="70" zoomScaleNormal="70" workbookViewId="0">
      <selection activeCell="C218" sqref="C218"/>
    </sheetView>
  </sheetViews>
  <sheetFormatPr baseColWidth="10" defaultRowHeight="14.4" x14ac:dyDescent="0.3"/>
  <cols>
    <col min="2" max="2" width="40.44140625" customWidth="1"/>
    <col min="3" max="3" width="74.88671875" customWidth="1"/>
    <col min="4" max="4" width="135" bestFit="1" customWidth="1"/>
    <col min="5" max="5" width="144.5546875" bestFit="1" customWidth="1"/>
  </cols>
  <sheetData>
    <row r="1" spans="1:21" ht="32.4" x14ac:dyDescent="0.3">
      <c r="A1" s="38"/>
      <c r="B1" s="544" t="s">
        <v>57</v>
      </c>
      <c r="C1" s="544"/>
      <c r="D1" s="544"/>
      <c r="E1" s="38"/>
      <c r="F1" s="38"/>
      <c r="G1" s="38"/>
      <c r="H1" s="38"/>
      <c r="I1" s="38"/>
      <c r="J1" s="38"/>
      <c r="K1" s="38"/>
      <c r="L1" s="38"/>
      <c r="M1" s="38"/>
      <c r="N1" s="38"/>
      <c r="O1" s="38"/>
      <c r="P1" s="38"/>
      <c r="Q1" s="38"/>
      <c r="R1" s="38"/>
      <c r="S1" s="38"/>
      <c r="T1" s="38"/>
      <c r="U1" s="38"/>
    </row>
    <row r="2" spans="1:21" x14ac:dyDescent="0.3">
      <c r="A2" s="38"/>
      <c r="B2" s="38"/>
      <c r="C2" s="38"/>
      <c r="D2" s="38"/>
      <c r="E2" s="38"/>
      <c r="F2" s="38"/>
      <c r="G2" s="38"/>
      <c r="H2" s="38"/>
      <c r="I2" s="38"/>
      <c r="J2" s="38"/>
      <c r="K2" s="38"/>
      <c r="L2" s="38"/>
      <c r="M2" s="38"/>
      <c r="N2" s="38"/>
      <c r="O2" s="38"/>
      <c r="P2" s="38"/>
      <c r="Q2" s="38"/>
      <c r="R2" s="38"/>
      <c r="S2" s="38"/>
      <c r="T2" s="38"/>
      <c r="U2" s="38"/>
    </row>
    <row r="3" spans="1:21" ht="30" x14ac:dyDescent="0.3">
      <c r="A3" s="38"/>
      <c r="B3" s="59"/>
      <c r="C3" s="28" t="s">
        <v>50</v>
      </c>
      <c r="D3" s="28" t="s">
        <v>51</v>
      </c>
      <c r="E3" s="38"/>
      <c r="F3" s="38"/>
      <c r="G3" s="38"/>
      <c r="H3" s="38"/>
      <c r="I3" s="38"/>
      <c r="J3" s="38"/>
      <c r="K3" s="38"/>
      <c r="L3" s="38"/>
      <c r="M3" s="38"/>
      <c r="N3" s="38"/>
      <c r="O3" s="38"/>
      <c r="P3" s="38"/>
      <c r="Q3" s="38"/>
      <c r="R3" s="38"/>
      <c r="S3" s="38"/>
      <c r="T3" s="38"/>
      <c r="U3" s="38"/>
    </row>
    <row r="4" spans="1:21" ht="32.4" x14ac:dyDescent="0.3">
      <c r="A4" s="58" t="s">
        <v>77</v>
      </c>
      <c r="B4" s="31" t="s">
        <v>92</v>
      </c>
      <c r="C4" s="36" t="s">
        <v>132</v>
      </c>
      <c r="D4" s="29" t="s">
        <v>90</v>
      </c>
      <c r="E4" s="38"/>
      <c r="F4" s="38"/>
      <c r="G4" s="38"/>
      <c r="H4" s="38"/>
      <c r="I4" s="38"/>
      <c r="J4" s="38"/>
      <c r="K4" s="38"/>
      <c r="L4" s="38"/>
      <c r="M4" s="38"/>
      <c r="N4" s="38"/>
      <c r="O4" s="38"/>
      <c r="P4" s="38"/>
      <c r="Q4" s="38"/>
      <c r="R4" s="38"/>
      <c r="S4" s="38"/>
      <c r="T4" s="38"/>
      <c r="U4" s="38"/>
    </row>
    <row r="5" spans="1:21" ht="64.8" x14ac:dyDescent="0.3">
      <c r="A5" s="58" t="s">
        <v>78</v>
      </c>
      <c r="B5" s="32" t="s">
        <v>53</v>
      </c>
      <c r="C5" s="37" t="s">
        <v>86</v>
      </c>
      <c r="D5" s="30" t="s">
        <v>254</v>
      </c>
      <c r="E5" s="38"/>
      <c r="F5" s="38"/>
      <c r="G5" s="38"/>
      <c r="H5" s="38"/>
      <c r="I5" s="38"/>
      <c r="J5" s="38"/>
      <c r="K5" s="38"/>
      <c r="L5" s="38"/>
      <c r="M5" s="38"/>
      <c r="N5" s="38"/>
      <c r="O5" s="38"/>
      <c r="P5" s="38"/>
      <c r="Q5" s="38"/>
      <c r="R5" s="38"/>
      <c r="S5" s="38"/>
      <c r="T5" s="38"/>
      <c r="U5" s="38"/>
    </row>
    <row r="6" spans="1:21" ht="64.8" x14ac:dyDescent="0.3">
      <c r="A6" s="58" t="s">
        <v>75</v>
      </c>
      <c r="B6" s="33" t="s">
        <v>54</v>
      </c>
      <c r="C6" s="37" t="s">
        <v>87</v>
      </c>
      <c r="D6" s="30" t="s">
        <v>91</v>
      </c>
      <c r="E6" s="38"/>
      <c r="F6" s="38"/>
      <c r="G6" s="38"/>
      <c r="H6" s="38"/>
      <c r="I6" s="38"/>
      <c r="J6" s="38"/>
      <c r="K6" s="38"/>
      <c r="L6" s="38"/>
      <c r="M6" s="38"/>
      <c r="N6" s="38"/>
      <c r="O6" s="38"/>
      <c r="P6" s="38"/>
      <c r="Q6" s="38"/>
      <c r="R6" s="38"/>
      <c r="S6" s="38"/>
      <c r="T6" s="38"/>
      <c r="U6" s="38"/>
    </row>
    <row r="7" spans="1:21" ht="64.8" x14ac:dyDescent="0.3">
      <c r="A7" s="58" t="s">
        <v>7</v>
      </c>
      <c r="B7" s="34" t="s">
        <v>55</v>
      </c>
      <c r="C7" s="37" t="s">
        <v>88</v>
      </c>
      <c r="D7" s="30" t="s">
        <v>256</v>
      </c>
      <c r="E7" s="38"/>
      <c r="F7" s="38"/>
      <c r="G7" s="38"/>
      <c r="H7" s="38"/>
      <c r="I7" s="38"/>
      <c r="J7" s="38"/>
      <c r="K7" s="38"/>
      <c r="L7" s="38"/>
      <c r="M7" s="38"/>
      <c r="N7" s="38"/>
      <c r="O7" s="38"/>
      <c r="P7" s="38"/>
      <c r="Q7" s="38"/>
      <c r="R7" s="38"/>
      <c r="S7" s="38"/>
      <c r="T7" s="38"/>
      <c r="U7" s="38"/>
    </row>
    <row r="8" spans="1:21" ht="64.8" x14ac:dyDescent="0.3">
      <c r="A8" s="58" t="s">
        <v>79</v>
      </c>
      <c r="B8" s="35" t="s">
        <v>56</v>
      </c>
      <c r="C8" s="37" t="s">
        <v>89</v>
      </c>
      <c r="D8" s="30" t="s">
        <v>109</v>
      </c>
      <c r="E8" s="38"/>
      <c r="F8" s="38"/>
      <c r="G8" s="38"/>
      <c r="H8" s="38"/>
      <c r="I8" s="38"/>
      <c r="J8" s="38"/>
      <c r="K8" s="38"/>
      <c r="L8" s="38"/>
      <c r="M8" s="38"/>
      <c r="N8" s="38"/>
      <c r="O8" s="38"/>
      <c r="P8" s="38"/>
      <c r="Q8" s="38"/>
      <c r="R8" s="38"/>
      <c r="S8" s="38"/>
      <c r="T8" s="38"/>
      <c r="U8" s="38"/>
    </row>
    <row r="9" spans="1:21" ht="20.399999999999999" x14ac:dyDescent="0.3">
      <c r="A9" s="58"/>
      <c r="B9" s="58"/>
      <c r="C9" s="60"/>
      <c r="D9" s="60"/>
      <c r="E9" s="38"/>
      <c r="F9" s="38"/>
      <c r="G9" s="38"/>
      <c r="H9" s="38"/>
      <c r="I9" s="38"/>
      <c r="J9" s="38"/>
      <c r="K9" s="38"/>
      <c r="L9" s="38"/>
      <c r="M9" s="38"/>
      <c r="N9" s="38"/>
      <c r="O9" s="38"/>
      <c r="P9" s="38"/>
      <c r="Q9" s="38"/>
      <c r="R9" s="38"/>
      <c r="S9" s="38"/>
      <c r="T9" s="38"/>
      <c r="U9" s="38"/>
    </row>
    <row r="10" spans="1:21" x14ac:dyDescent="0.3">
      <c r="A10" s="58"/>
      <c r="B10" s="61"/>
      <c r="C10" s="61"/>
      <c r="D10" s="61"/>
      <c r="E10" s="38"/>
      <c r="F10" s="38"/>
      <c r="G10" s="38"/>
      <c r="H10" s="38"/>
      <c r="I10" s="38"/>
      <c r="J10" s="38"/>
      <c r="K10" s="38"/>
      <c r="L10" s="38"/>
      <c r="M10" s="38"/>
      <c r="N10" s="38"/>
      <c r="O10" s="38"/>
      <c r="P10" s="38"/>
      <c r="Q10" s="38"/>
      <c r="R10" s="38"/>
      <c r="S10" s="38"/>
      <c r="T10" s="38"/>
      <c r="U10" s="38"/>
    </row>
    <row r="11" spans="1:21" x14ac:dyDescent="0.3">
      <c r="A11" s="58"/>
      <c r="B11" s="58" t="s">
        <v>84</v>
      </c>
      <c r="C11" s="58" t="s">
        <v>246</v>
      </c>
      <c r="D11" s="58" t="s">
        <v>247</v>
      </c>
      <c r="E11" s="38"/>
      <c r="F11" s="38"/>
      <c r="G11" s="38"/>
      <c r="H11" s="38"/>
      <c r="I11" s="38"/>
      <c r="J11" s="38"/>
      <c r="K11" s="38"/>
      <c r="L11" s="38"/>
      <c r="M11" s="38"/>
      <c r="N11" s="38"/>
      <c r="O11" s="38"/>
      <c r="P11" s="38"/>
      <c r="Q11" s="38"/>
      <c r="R11" s="38"/>
      <c r="S11" s="38"/>
      <c r="T11" s="38"/>
      <c r="U11" s="38"/>
    </row>
    <row r="12" spans="1:21" x14ac:dyDescent="0.3">
      <c r="A12" s="58"/>
      <c r="B12" s="58" t="s">
        <v>82</v>
      </c>
      <c r="C12" s="58" t="s">
        <v>248</v>
      </c>
      <c r="D12" s="58" t="s">
        <v>255</v>
      </c>
      <c r="E12" s="38"/>
      <c r="F12" s="38"/>
      <c r="G12" s="38"/>
      <c r="H12" s="38"/>
      <c r="I12" s="38"/>
      <c r="J12" s="38"/>
      <c r="K12" s="38"/>
      <c r="L12" s="38"/>
      <c r="M12" s="38"/>
      <c r="N12" s="38"/>
      <c r="O12" s="38"/>
      <c r="P12" s="38"/>
      <c r="Q12" s="38"/>
      <c r="R12" s="38"/>
      <c r="S12" s="38"/>
      <c r="T12" s="38"/>
      <c r="U12" s="38"/>
    </row>
    <row r="13" spans="1:21" x14ac:dyDescent="0.3">
      <c r="A13" s="58"/>
      <c r="B13" s="58"/>
      <c r="C13" s="58" t="s">
        <v>249</v>
      </c>
      <c r="D13" s="58" t="s">
        <v>250</v>
      </c>
      <c r="E13" s="38"/>
      <c r="F13" s="38"/>
      <c r="G13" s="38"/>
      <c r="H13" s="38"/>
      <c r="I13" s="38"/>
      <c r="J13" s="38"/>
      <c r="K13" s="38"/>
      <c r="L13" s="38"/>
      <c r="M13" s="38"/>
      <c r="N13" s="38"/>
      <c r="O13" s="38"/>
      <c r="P13" s="38"/>
      <c r="Q13" s="38"/>
      <c r="R13" s="38"/>
      <c r="S13" s="38"/>
      <c r="T13" s="38"/>
      <c r="U13" s="38"/>
    </row>
    <row r="14" spans="1:21" x14ac:dyDescent="0.3">
      <c r="A14" s="58"/>
      <c r="B14" s="58"/>
      <c r="C14" s="58" t="s">
        <v>251</v>
      </c>
      <c r="D14" s="58" t="s">
        <v>257</v>
      </c>
      <c r="E14" s="38"/>
      <c r="F14" s="38"/>
      <c r="G14" s="38"/>
      <c r="H14" s="38"/>
      <c r="I14" s="38"/>
      <c r="J14" s="38"/>
      <c r="K14" s="38"/>
      <c r="L14" s="38"/>
      <c r="M14" s="38"/>
      <c r="N14" s="38"/>
      <c r="O14" s="38"/>
      <c r="P14" s="38"/>
      <c r="Q14" s="38"/>
      <c r="R14" s="38"/>
      <c r="S14" s="38"/>
      <c r="T14" s="38"/>
      <c r="U14" s="38"/>
    </row>
    <row r="15" spans="1:21" x14ac:dyDescent="0.3">
      <c r="A15" s="58"/>
      <c r="B15" s="58"/>
      <c r="C15" s="58" t="s">
        <v>252</v>
      </c>
      <c r="D15" s="58" t="s">
        <v>253</v>
      </c>
      <c r="E15" s="38"/>
      <c r="F15" s="38"/>
      <c r="G15" s="38"/>
      <c r="H15" s="38"/>
      <c r="I15" s="38"/>
      <c r="J15" s="38"/>
      <c r="K15" s="38"/>
      <c r="L15" s="38"/>
      <c r="M15" s="38"/>
      <c r="N15" s="38"/>
      <c r="O15" s="38"/>
      <c r="P15" s="38"/>
      <c r="Q15" s="38"/>
      <c r="R15" s="38"/>
      <c r="S15" s="38"/>
      <c r="T15" s="38"/>
      <c r="U15" s="38"/>
    </row>
    <row r="16" spans="1:21" x14ac:dyDescent="0.3">
      <c r="A16" s="58"/>
      <c r="B16" s="58"/>
      <c r="C16" s="58"/>
      <c r="D16" s="58"/>
      <c r="E16" s="38"/>
      <c r="F16" s="38"/>
      <c r="G16" s="38"/>
      <c r="H16" s="38"/>
      <c r="I16" s="38"/>
      <c r="J16" s="38"/>
      <c r="K16" s="38"/>
      <c r="L16" s="38"/>
      <c r="M16" s="38"/>
      <c r="N16" s="38"/>
      <c r="O16" s="38"/>
    </row>
    <row r="17" spans="1:15" x14ac:dyDescent="0.3">
      <c r="A17" s="58"/>
      <c r="B17" s="58"/>
      <c r="C17" s="58"/>
      <c r="D17" s="58"/>
      <c r="E17" s="38"/>
      <c r="F17" s="38"/>
      <c r="G17" s="38"/>
      <c r="H17" s="38"/>
      <c r="I17" s="38"/>
      <c r="J17" s="38"/>
      <c r="K17" s="38"/>
      <c r="L17" s="38"/>
      <c r="M17" s="38"/>
      <c r="N17" s="38"/>
      <c r="O17" s="38"/>
    </row>
    <row r="18" spans="1:15" x14ac:dyDescent="0.3">
      <c r="A18" s="58"/>
      <c r="B18" s="62"/>
      <c r="C18" s="62"/>
      <c r="D18" s="62"/>
      <c r="E18" s="38"/>
      <c r="F18" s="38"/>
      <c r="G18" s="38"/>
      <c r="H18" s="38"/>
      <c r="I18" s="38"/>
      <c r="J18" s="38"/>
      <c r="K18" s="38"/>
      <c r="L18" s="38"/>
      <c r="M18" s="38"/>
      <c r="N18" s="38"/>
      <c r="O18" s="38"/>
    </row>
    <row r="19" spans="1:15" x14ac:dyDescent="0.3">
      <c r="A19" s="58"/>
      <c r="B19" s="62"/>
      <c r="C19" s="62"/>
      <c r="D19" s="62"/>
      <c r="E19" s="38"/>
      <c r="F19" s="38"/>
      <c r="G19" s="38"/>
      <c r="H19" s="38"/>
      <c r="I19" s="38"/>
      <c r="J19" s="38"/>
      <c r="K19" s="38"/>
      <c r="L19" s="38"/>
      <c r="M19" s="38"/>
      <c r="N19" s="38"/>
      <c r="O19" s="38"/>
    </row>
    <row r="20" spans="1:15" x14ac:dyDescent="0.3">
      <c r="A20" s="58"/>
      <c r="B20" s="62"/>
      <c r="C20" s="62"/>
      <c r="D20" s="62"/>
      <c r="E20" s="38"/>
      <c r="F20" s="38"/>
      <c r="G20" s="38"/>
      <c r="H20" s="38"/>
      <c r="I20" s="38"/>
      <c r="J20" s="38"/>
      <c r="K20" s="38"/>
      <c r="L20" s="38"/>
      <c r="M20" s="38"/>
      <c r="N20" s="38"/>
      <c r="O20" s="38"/>
    </row>
    <row r="21" spans="1:15" x14ac:dyDescent="0.3">
      <c r="A21" s="58"/>
      <c r="B21" s="62"/>
      <c r="C21" s="62"/>
      <c r="D21" s="62"/>
      <c r="E21" s="38"/>
      <c r="F21" s="38"/>
      <c r="G21" s="38"/>
      <c r="H21" s="38"/>
      <c r="I21" s="38"/>
      <c r="J21" s="38"/>
      <c r="K21" s="38"/>
      <c r="L21" s="38"/>
      <c r="M21" s="38"/>
      <c r="N21" s="38"/>
      <c r="O21" s="38"/>
    </row>
    <row r="22" spans="1:15" ht="20.399999999999999" x14ac:dyDescent="0.3">
      <c r="A22" s="58"/>
      <c r="B22" s="58"/>
      <c r="C22" s="60"/>
      <c r="D22" s="60"/>
      <c r="E22" s="38"/>
      <c r="F22" s="38"/>
      <c r="G22" s="38"/>
      <c r="H22" s="38"/>
      <c r="I22" s="38"/>
      <c r="J22" s="38"/>
      <c r="K22" s="38"/>
      <c r="L22" s="38"/>
      <c r="M22" s="38"/>
      <c r="N22" s="38"/>
      <c r="O22" s="38"/>
    </row>
    <row r="23" spans="1:15" ht="20.399999999999999" x14ac:dyDescent="0.3">
      <c r="A23" s="58"/>
      <c r="B23" s="58"/>
      <c r="C23" s="60"/>
      <c r="D23" s="60"/>
      <c r="E23" s="38"/>
      <c r="F23" s="38"/>
      <c r="G23" s="38"/>
      <c r="H23" s="38"/>
      <c r="I23" s="38"/>
      <c r="J23" s="38"/>
      <c r="K23" s="38"/>
      <c r="L23" s="38"/>
      <c r="M23" s="38"/>
      <c r="N23" s="38"/>
      <c r="O23" s="38"/>
    </row>
    <row r="24" spans="1:15" ht="20.399999999999999" x14ac:dyDescent="0.3">
      <c r="A24" s="58"/>
      <c r="B24" s="58"/>
      <c r="C24" s="60"/>
      <c r="D24" s="60"/>
      <c r="E24" s="38"/>
      <c r="F24" s="38"/>
      <c r="G24" s="38"/>
      <c r="H24" s="38"/>
      <c r="I24" s="38"/>
      <c r="J24" s="38"/>
      <c r="K24" s="38"/>
      <c r="L24" s="38"/>
      <c r="M24" s="38"/>
      <c r="N24" s="38"/>
      <c r="O24" s="38"/>
    </row>
    <row r="25" spans="1:15" ht="20.399999999999999" x14ac:dyDescent="0.3">
      <c r="A25" s="58"/>
      <c r="B25" s="58"/>
      <c r="C25" s="60"/>
      <c r="D25" s="60"/>
      <c r="E25" s="38"/>
      <c r="F25" s="38"/>
      <c r="G25" s="38"/>
      <c r="H25" s="38"/>
      <c r="I25" s="38"/>
      <c r="J25" s="38"/>
      <c r="K25" s="38"/>
      <c r="L25" s="38"/>
      <c r="M25" s="38"/>
      <c r="N25" s="38"/>
      <c r="O25" s="38"/>
    </row>
    <row r="26" spans="1:15" ht="20.399999999999999" x14ac:dyDescent="0.3">
      <c r="A26" s="58"/>
      <c r="B26" s="58"/>
      <c r="C26" s="60"/>
      <c r="D26" s="60"/>
      <c r="E26" s="38"/>
      <c r="F26" s="38"/>
      <c r="G26" s="38"/>
      <c r="H26" s="38"/>
      <c r="I26" s="38"/>
      <c r="J26" s="38"/>
      <c r="K26" s="38"/>
      <c r="L26" s="38"/>
      <c r="M26" s="38"/>
      <c r="N26" s="38"/>
      <c r="O26" s="38"/>
    </row>
    <row r="27" spans="1:15" ht="20.399999999999999" x14ac:dyDescent="0.3">
      <c r="A27" s="58"/>
      <c r="B27" s="58"/>
      <c r="C27" s="60"/>
      <c r="D27" s="60"/>
      <c r="E27" s="38"/>
      <c r="F27" s="38"/>
      <c r="G27" s="38"/>
      <c r="H27" s="38"/>
      <c r="I27" s="38"/>
      <c r="J27" s="38"/>
      <c r="K27" s="38"/>
      <c r="L27" s="38"/>
      <c r="M27" s="38"/>
      <c r="N27" s="38"/>
      <c r="O27" s="38"/>
    </row>
    <row r="28" spans="1:15" ht="20.399999999999999" x14ac:dyDescent="0.3">
      <c r="A28" s="58"/>
      <c r="B28" s="58"/>
      <c r="C28" s="60"/>
      <c r="D28" s="60"/>
      <c r="E28" s="38"/>
      <c r="F28" s="38"/>
      <c r="G28" s="38"/>
      <c r="H28" s="38"/>
      <c r="I28" s="38"/>
      <c r="J28" s="38"/>
      <c r="K28" s="38"/>
      <c r="L28" s="38"/>
      <c r="M28" s="38"/>
      <c r="N28" s="38"/>
      <c r="O28" s="38"/>
    </row>
    <row r="29" spans="1:15" ht="20.399999999999999" x14ac:dyDescent="0.3">
      <c r="A29" s="58"/>
      <c r="B29" s="58"/>
      <c r="C29" s="60"/>
      <c r="D29" s="60"/>
      <c r="E29" s="38"/>
      <c r="F29" s="38"/>
      <c r="G29" s="38"/>
      <c r="H29" s="38"/>
      <c r="I29" s="38"/>
      <c r="J29" s="38"/>
      <c r="K29" s="38"/>
      <c r="L29" s="38"/>
      <c r="M29" s="38"/>
      <c r="N29" s="38"/>
      <c r="O29" s="38"/>
    </row>
    <row r="30" spans="1:15" ht="20.399999999999999" x14ac:dyDescent="0.3">
      <c r="A30" s="58"/>
      <c r="B30" s="58"/>
      <c r="C30" s="60"/>
      <c r="D30" s="60"/>
      <c r="E30" s="38"/>
      <c r="F30" s="38"/>
      <c r="G30" s="38"/>
      <c r="H30" s="38"/>
      <c r="I30" s="38"/>
      <c r="J30" s="38"/>
      <c r="K30" s="38"/>
      <c r="L30" s="38"/>
      <c r="M30" s="38"/>
      <c r="N30" s="38"/>
      <c r="O30" s="38"/>
    </row>
    <row r="31" spans="1:15" ht="20.399999999999999" x14ac:dyDescent="0.3">
      <c r="A31" s="58"/>
      <c r="B31" s="58"/>
      <c r="C31" s="60"/>
      <c r="D31" s="60"/>
      <c r="E31" s="38"/>
      <c r="F31" s="38"/>
      <c r="G31" s="38"/>
      <c r="H31" s="38"/>
      <c r="I31" s="38"/>
      <c r="J31" s="38"/>
      <c r="K31" s="38"/>
      <c r="L31" s="38"/>
      <c r="M31" s="38"/>
      <c r="N31" s="38"/>
      <c r="O31" s="38"/>
    </row>
    <row r="32" spans="1:15" ht="20.399999999999999" x14ac:dyDescent="0.3">
      <c r="A32" s="58"/>
      <c r="B32" s="58"/>
      <c r="C32" s="60"/>
      <c r="D32" s="60"/>
      <c r="E32" s="38"/>
      <c r="F32" s="38"/>
      <c r="G32" s="38"/>
      <c r="H32" s="38"/>
      <c r="I32" s="38"/>
      <c r="J32" s="38"/>
      <c r="K32" s="38"/>
      <c r="L32" s="38"/>
      <c r="M32" s="38"/>
      <c r="N32" s="38"/>
      <c r="O32" s="38"/>
    </row>
    <row r="33" spans="1:15" ht="20.399999999999999" x14ac:dyDescent="0.3">
      <c r="A33" s="58"/>
      <c r="B33" s="58"/>
      <c r="C33" s="60"/>
      <c r="D33" s="60"/>
      <c r="E33" s="38"/>
      <c r="F33" s="38"/>
      <c r="G33" s="38"/>
      <c r="H33" s="38"/>
      <c r="I33" s="38"/>
      <c r="J33" s="38"/>
      <c r="K33" s="38"/>
      <c r="L33" s="38"/>
      <c r="M33" s="38"/>
      <c r="N33" s="38"/>
      <c r="O33" s="38"/>
    </row>
    <row r="34" spans="1:15" ht="20.399999999999999" x14ac:dyDescent="0.3">
      <c r="A34" s="58"/>
      <c r="B34" s="58"/>
      <c r="C34" s="60"/>
      <c r="D34" s="60"/>
      <c r="E34" s="38"/>
      <c r="F34" s="38"/>
      <c r="G34" s="38"/>
      <c r="H34" s="38"/>
      <c r="I34" s="38"/>
      <c r="J34" s="38"/>
      <c r="K34" s="38"/>
      <c r="L34" s="38"/>
      <c r="M34" s="38"/>
      <c r="N34" s="38"/>
      <c r="O34" s="38"/>
    </row>
    <row r="35" spans="1:15" ht="20.399999999999999" x14ac:dyDescent="0.3">
      <c r="A35" s="58"/>
      <c r="B35" s="58"/>
      <c r="C35" s="60"/>
      <c r="D35" s="60"/>
      <c r="E35" s="38"/>
      <c r="F35" s="38"/>
      <c r="G35" s="38"/>
      <c r="H35" s="38"/>
      <c r="I35" s="38"/>
      <c r="J35" s="38"/>
      <c r="K35" s="38"/>
      <c r="L35" s="38"/>
      <c r="M35" s="38"/>
      <c r="N35" s="38"/>
      <c r="O35" s="38"/>
    </row>
    <row r="36" spans="1:15" ht="20.399999999999999" x14ac:dyDescent="0.3">
      <c r="A36" s="58"/>
      <c r="B36" s="58"/>
      <c r="C36" s="60"/>
      <c r="D36" s="60"/>
      <c r="E36" s="38"/>
      <c r="F36" s="38"/>
      <c r="G36" s="38"/>
      <c r="H36" s="38"/>
      <c r="I36" s="38"/>
      <c r="J36" s="38"/>
      <c r="K36" s="38"/>
      <c r="L36" s="38"/>
      <c r="M36" s="38"/>
      <c r="N36" s="38"/>
      <c r="O36" s="38"/>
    </row>
    <row r="37" spans="1:15" ht="20.399999999999999" x14ac:dyDescent="0.3">
      <c r="A37" s="58"/>
      <c r="B37" s="58"/>
      <c r="C37" s="60"/>
      <c r="D37" s="60"/>
      <c r="E37" s="38"/>
      <c r="F37" s="38"/>
      <c r="G37" s="38"/>
      <c r="H37" s="38"/>
      <c r="I37" s="38"/>
      <c r="J37" s="38"/>
      <c r="K37" s="38"/>
      <c r="L37" s="38"/>
      <c r="M37" s="38"/>
      <c r="N37" s="38"/>
      <c r="O37" s="38"/>
    </row>
    <row r="38" spans="1:15" ht="20.399999999999999" x14ac:dyDescent="0.3">
      <c r="A38" s="58"/>
      <c r="B38" s="58"/>
      <c r="C38" s="60"/>
      <c r="D38" s="60"/>
      <c r="E38" s="38"/>
      <c r="F38" s="38"/>
      <c r="G38" s="38"/>
      <c r="H38" s="38"/>
      <c r="I38" s="38"/>
      <c r="J38" s="38"/>
      <c r="K38" s="38"/>
      <c r="L38" s="38"/>
      <c r="M38" s="38"/>
      <c r="N38" s="38"/>
      <c r="O38" s="38"/>
    </row>
    <row r="39" spans="1:15" ht="20.399999999999999" x14ac:dyDescent="0.3">
      <c r="A39" s="58"/>
      <c r="B39" s="58"/>
      <c r="C39" s="60"/>
      <c r="D39" s="60"/>
      <c r="E39" s="38"/>
      <c r="F39" s="38"/>
      <c r="G39" s="38"/>
      <c r="H39" s="38"/>
      <c r="I39" s="38"/>
      <c r="J39" s="38"/>
      <c r="K39" s="38"/>
      <c r="L39" s="38"/>
      <c r="M39" s="38"/>
      <c r="N39" s="38"/>
      <c r="O39" s="38"/>
    </row>
    <row r="40" spans="1:15" ht="20.399999999999999" x14ac:dyDescent="0.3">
      <c r="A40" s="58"/>
      <c r="B40" s="58"/>
      <c r="C40" s="60"/>
      <c r="D40" s="60"/>
      <c r="E40" s="38"/>
      <c r="F40" s="38"/>
      <c r="G40" s="38"/>
      <c r="H40" s="38"/>
      <c r="I40" s="38"/>
      <c r="J40" s="38"/>
      <c r="K40" s="38"/>
      <c r="L40" s="38"/>
      <c r="M40" s="38"/>
      <c r="N40" s="38"/>
      <c r="O40" s="38"/>
    </row>
    <row r="41" spans="1:15" ht="20.399999999999999" x14ac:dyDescent="0.3">
      <c r="A41" s="58"/>
      <c r="B41" s="58"/>
      <c r="C41" s="60"/>
      <c r="D41" s="60"/>
      <c r="E41" s="38"/>
      <c r="F41" s="38"/>
      <c r="G41" s="38"/>
      <c r="H41" s="38"/>
      <c r="I41" s="38"/>
      <c r="J41" s="38"/>
      <c r="K41" s="38"/>
      <c r="L41" s="38"/>
      <c r="M41" s="38"/>
      <c r="N41" s="38"/>
      <c r="O41" s="38"/>
    </row>
    <row r="42" spans="1:15" ht="20.399999999999999" x14ac:dyDescent="0.3">
      <c r="A42" s="58"/>
      <c r="B42" s="58"/>
      <c r="C42" s="60"/>
      <c r="D42" s="60"/>
      <c r="E42" s="38"/>
      <c r="F42" s="38"/>
      <c r="G42" s="38"/>
      <c r="H42" s="38"/>
      <c r="I42" s="38"/>
      <c r="J42" s="38"/>
      <c r="K42" s="38"/>
      <c r="L42" s="38"/>
      <c r="M42" s="38"/>
      <c r="N42" s="38"/>
      <c r="O42" s="38"/>
    </row>
    <row r="43" spans="1:15" ht="20.399999999999999" x14ac:dyDescent="0.3">
      <c r="A43" s="58"/>
      <c r="B43" s="58"/>
      <c r="C43" s="60"/>
      <c r="D43" s="60"/>
      <c r="E43" s="38"/>
      <c r="F43" s="38"/>
      <c r="G43" s="38"/>
      <c r="H43" s="38"/>
      <c r="I43" s="38"/>
      <c r="J43" s="38"/>
      <c r="K43" s="38"/>
      <c r="L43" s="38"/>
      <c r="M43" s="38"/>
      <c r="N43" s="38"/>
      <c r="O43" s="38"/>
    </row>
    <row r="44" spans="1:15" ht="20.399999999999999" x14ac:dyDescent="0.3">
      <c r="A44" s="58"/>
      <c r="B44" s="58"/>
      <c r="C44" s="60"/>
      <c r="D44" s="60"/>
      <c r="E44" s="38"/>
      <c r="F44" s="38"/>
      <c r="G44" s="38"/>
      <c r="H44" s="38"/>
      <c r="I44" s="38"/>
      <c r="J44" s="38"/>
      <c r="K44" s="38"/>
      <c r="L44" s="38"/>
      <c r="M44" s="38"/>
      <c r="N44" s="38"/>
      <c r="O44" s="38"/>
    </row>
    <row r="45" spans="1:15" ht="20.399999999999999" x14ac:dyDescent="0.3">
      <c r="A45" s="58"/>
      <c r="B45" s="58"/>
      <c r="C45" s="60"/>
      <c r="D45" s="60"/>
      <c r="E45" s="38"/>
      <c r="F45" s="38"/>
      <c r="G45" s="38"/>
      <c r="H45" s="38"/>
      <c r="I45" s="38"/>
      <c r="J45" s="38"/>
      <c r="K45" s="38"/>
      <c r="L45" s="38"/>
      <c r="M45" s="38"/>
      <c r="N45" s="38"/>
      <c r="O45" s="38"/>
    </row>
    <row r="46" spans="1:15" ht="20.399999999999999" x14ac:dyDescent="0.3">
      <c r="A46" s="58"/>
      <c r="B46" s="58"/>
      <c r="C46" s="60"/>
      <c r="D46" s="60"/>
      <c r="E46" s="38"/>
      <c r="F46" s="38"/>
      <c r="G46" s="38"/>
      <c r="H46" s="38"/>
      <c r="I46" s="38"/>
      <c r="J46" s="38"/>
      <c r="K46" s="38"/>
      <c r="L46" s="38"/>
      <c r="M46" s="38"/>
      <c r="N46" s="38"/>
      <c r="O46" s="38"/>
    </row>
    <row r="47" spans="1:15" ht="20.399999999999999" x14ac:dyDescent="0.3">
      <c r="A47" s="58"/>
      <c r="B47" s="58"/>
      <c r="C47" s="60"/>
      <c r="D47" s="60"/>
      <c r="E47" s="38"/>
      <c r="F47" s="38"/>
      <c r="G47" s="38"/>
      <c r="H47" s="38"/>
      <c r="I47" s="38"/>
      <c r="J47" s="38"/>
      <c r="K47" s="38"/>
      <c r="L47" s="38"/>
      <c r="M47" s="38"/>
      <c r="N47" s="38"/>
      <c r="O47" s="38"/>
    </row>
    <row r="48" spans="1:15" ht="20.399999999999999" x14ac:dyDescent="0.3">
      <c r="A48" s="58"/>
      <c r="B48" s="58"/>
      <c r="C48" s="60"/>
      <c r="D48" s="60"/>
      <c r="E48" s="38"/>
      <c r="F48" s="38"/>
      <c r="G48" s="38"/>
      <c r="H48" s="38"/>
      <c r="I48" s="38"/>
      <c r="J48" s="38"/>
      <c r="K48" s="38"/>
      <c r="L48" s="38"/>
      <c r="M48" s="38"/>
      <c r="N48" s="38"/>
      <c r="O48" s="38"/>
    </row>
    <row r="49" spans="1:15" ht="20.399999999999999" x14ac:dyDescent="0.3">
      <c r="A49" s="58"/>
      <c r="B49" s="58"/>
      <c r="C49" s="60"/>
      <c r="D49" s="60"/>
      <c r="E49" s="38"/>
      <c r="F49" s="38"/>
      <c r="G49" s="38"/>
      <c r="H49" s="38"/>
      <c r="I49" s="38"/>
      <c r="J49" s="38"/>
      <c r="K49" s="38"/>
      <c r="L49" s="38"/>
      <c r="M49" s="38"/>
      <c r="N49" s="38"/>
      <c r="O49" s="38"/>
    </row>
    <row r="50" spans="1:15" ht="20.399999999999999" x14ac:dyDescent="0.3">
      <c r="A50" s="58"/>
      <c r="B50" s="58"/>
      <c r="C50" s="60"/>
      <c r="D50" s="60"/>
      <c r="E50" s="38"/>
      <c r="F50" s="38"/>
      <c r="G50" s="38"/>
      <c r="H50" s="38"/>
      <c r="I50" s="38"/>
      <c r="J50" s="38"/>
      <c r="K50" s="38"/>
      <c r="L50" s="38"/>
      <c r="M50" s="38"/>
      <c r="N50" s="38"/>
      <c r="O50" s="38"/>
    </row>
    <row r="51" spans="1:15" ht="20.399999999999999" x14ac:dyDescent="0.3">
      <c r="A51" s="58"/>
      <c r="B51" s="58"/>
      <c r="C51" s="60"/>
      <c r="D51" s="60"/>
      <c r="E51" s="38"/>
      <c r="F51" s="38"/>
      <c r="G51" s="38"/>
      <c r="H51" s="38"/>
      <c r="I51" s="38"/>
      <c r="J51" s="38"/>
      <c r="K51" s="38"/>
      <c r="L51" s="38"/>
      <c r="M51" s="38"/>
      <c r="N51" s="38"/>
      <c r="O51" s="38"/>
    </row>
    <row r="52" spans="1:15" ht="20.399999999999999" x14ac:dyDescent="0.3">
      <c r="A52" s="58"/>
      <c r="B52" s="19"/>
      <c r="C52" s="26"/>
      <c r="D52" s="26"/>
    </row>
    <row r="53" spans="1:15" ht="20.399999999999999" x14ac:dyDescent="0.3">
      <c r="A53" s="58"/>
      <c r="B53" s="19"/>
      <c r="C53" s="26"/>
      <c r="D53" s="26"/>
    </row>
    <row r="54" spans="1:15" ht="20.399999999999999" x14ac:dyDescent="0.3">
      <c r="A54" s="58"/>
      <c r="B54" s="19"/>
      <c r="C54" s="26"/>
      <c r="D54" s="26"/>
    </row>
    <row r="55" spans="1:15" ht="20.399999999999999" x14ac:dyDescent="0.3">
      <c r="A55" s="58"/>
      <c r="B55" s="19"/>
      <c r="C55" s="26"/>
      <c r="D55" s="26"/>
    </row>
    <row r="56" spans="1:15" ht="20.399999999999999" x14ac:dyDescent="0.3">
      <c r="A56" s="58"/>
      <c r="B56" s="19"/>
      <c r="C56" s="26"/>
      <c r="D56" s="26"/>
    </row>
    <row r="57" spans="1:15" ht="20.399999999999999" x14ac:dyDescent="0.3">
      <c r="A57" s="58"/>
      <c r="B57" s="19"/>
      <c r="C57" s="26"/>
      <c r="D57" s="26"/>
    </row>
    <row r="58" spans="1:15" ht="20.399999999999999" x14ac:dyDescent="0.3">
      <c r="A58" s="58"/>
      <c r="B58" s="19"/>
      <c r="C58" s="26"/>
      <c r="D58" s="26"/>
    </row>
    <row r="59" spans="1:15" ht="20.399999999999999" x14ac:dyDescent="0.3">
      <c r="A59" s="58"/>
      <c r="B59" s="19"/>
      <c r="C59" s="26"/>
      <c r="D59" s="26"/>
    </row>
    <row r="60" spans="1:15" ht="20.399999999999999" x14ac:dyDescent="0.3">
      <c r="A60" s="58"/>
      <c r="B60" s="19"/>
      <c r="C60" s="26"/>
      <c r="D60" s="26"/>
    </row>
    <row r="61" spans="1:15" ht="20.399999999999999" x14ac:dyDescent="0.3">
      <c r="A61" s="58"/>
      <c r="B61" s="19"/>
      <c r="C61" s="26"/>
      <c r="D61" s="26"/>
    </row>
    <row r="62" spans="1:15" ht="20.399999999999999" x14ac:dyDescent="0.3">
      <c r="A62" s="58"/>
      <c r="B62" s="19"/>
      <c r="C62" s="26"/>
      <c r="D62" s="26"/>
    </row>
    <row r="63" spans="1:15" ht="20.399999999999999" x14ac:dyDescent="0.3">
      <c r="A63" s="58"/>
      <c r="B63" s="19"/>
      <c r="C63" s="26"/>
      <c r="D63" s="26"/>
    </row>
    <row r="64" spans="1:15" ht="20.399999999999999" x14ac:dyDescent="0.3">
      <c r="A64" s="58"/>
      <c r="B64" s="19"/>
      <c r="C64" s="26"/>
      <c r="D64" s="26"/>
    </row>
    <row r="65" spans="1:4" ht="20.399999999999999" x14ac:dyDescent="0.3">
      <c r="A65" s="58"/>
      <c r="B65" s="19"/>
      <c r="C65" s="26"/>
      <c r="D65" s="26"/>
    </row>
    <row r="66" spans="1:4" ht="20.399999999999999" x14ac:dyDescent="0.3">
      <c r="A66" s="58"/>
      <c r="B66" s="19"/>
      <c r="C66" s="26"/>
      <c r="D66" s="26"/>
    </row>
    <row r="67" spans="1:4" ht="20.399999999999999" x14ac:dyDescent="0.3">
      <c r="A67" s="58"/>
      <c r="B67" s="19"/>
      <c r="C67" s="26"/>
      <c r="D67" s="26"/>
    </row>
    <row r="68" spans="1:4" ht="20.399999999999999" x14ac:dyDescent="0.3">
      <c r="A68" s="58"/>
      <c r="B68" s="19"/>
      <c r="C68" s="26"/>
      <c r="D68" s="26"/>
    </row>
    <row r="69" spans="1:4" ht="20.399999999999999" x14ac:dyDescent="0.3">
      <c r="A69" s="58"/>
      <c r="B69" s="19"/>
      <c r="C69" s="26"/>
      <c r="D69" s="26"/>
    </row>
    <row r="70" spans="1:4" ht="20.399999999999999" x14ac:dyDescent="0.3">
      <c r="A70" s="58"/>
      <c r="B70" s="19"/>
      <c r="C70" s="26"/>
      <c r="D70" s="26"/>
    </row>
    <row r="71" spans="1:4" ht="20.399999999999999" x14ac:dyDescent="0.3">
      <c r="A71" s="58"/>
      <c r="B71" s="19"/>
      <c r="C71" s="26"/>
      <c r="D71" s="26"/>
    </row>
    <row r="72" spans="1:4" ht="20.399999999999999" x14ac:dyDescent="0.3">
      <c r="A72" s="58"/>
      <c r="B72" s="19"/>
      <c r="C72" s="26"/>
      <c r="D72" s="26"/>
    </row>
    <row r="73" spans="1:4" ht="20.399999999999999" x14ac:dyDescent="0.3">
      <c r="A73" s="58"/>
      <c r="B73" s="19"/>
      <c r="C73" s="26"/>
      <c r="D73" s="26"/>
    </row>
    <row r="74" spans="1:4" ht="20.399999999999999" x14ac:dyDescent="0.3">
      <c r="A74" s="58"/>
      <c r="B74" s="19"/>
      <c r="C74" s="26"/>
      <c r="D74" s="26"/>
    </row>
    <row r="75" spans="1:4" ht="20.399999999999999" x14ac:dyDescent="0.3">
      <c r="A75" s="58"/>
      <c r="B75" s="19"/>
      <c r="C75" s="26"/>
      <c r="D75" s="26"/>
    </row>
    <row r="76" spans="1:4" ht="20.399999999999999" x14ac:dyDescent="0.3">
      <c r="A76" s="58"/>
      <c r="B76" s="19"/>
      <c r="C76" s="26"/>
      <c r="D76" s="26"/>
    </row>
    <row r="77" spans="1:4" ht="20.399999999999999" x14ac:dyDescent="0.3">
      <c r="A77" s="58"/>
      <c r="B77" s="19"/>
      <c r="C77" s="26"/>
      <c r="D77" s="26"/>
    </row>
    <row r="78" spans="1:4" ht="20.399999999999999" x14ac:dyDescent="0.3">
      <c r="A78" s="58"/>
      <c r="B78" s="19"/>
      <c r="C78" s="26"/>
      <c r="D78" s="26"/>
    </row>
    <row r="79" spans="1:4" ht="20.399999999999999" x14ac:dyDescent="0.3">
      <c r="A79" s="58"/>
      <c r="B79" s="19"/>
      <c r="C79" s="26"/>
      <c r="D79" s="26"/>
    </row>
    <row r="80" spans="1:4" ht="20.399999999999999" x14ac:dyDescent="0.3">
      <c r="A80" s="58"/>
      <c r="B80" s="19"/>
      <c r="C80" s="26"/>
      <c r="D80" s="26"/>
    </row>
    <row r="81" spans="1:4" ht="20.399999999999999" x14ac:dyDescent="0.3">
      <c r="A81" s="58"/>
      <c r="B81" s="19"/>
      <c r="C81" s="26"/>
      <c r="D81" s="26"/>
    </row>
    <row r="82" spans="1:4" ht="20.399999999999999" x14ac:dyDescent="0.3">
      <c r="A82" s="58"/>
      <c r="B82" s="19"/>
      <c r="C82" s="26"/>
      <c r="D82" s="26"/>
    </row>
    <row r="83" spans="1:4" ht="20.399999999999999" x14ac:dyDescent="0.3">
      <c r="A83" s="58"/>
      <c r="B83" s="19"/>
      <c r="C83" s="26"/>
      <c r="D83" s="26"/>
    </row>
    <row r="84" spans="1:4" ht="20.399999999999999" x14ac:dyDescent="0.3">
      <c r="A84" s="58"/>
      <c r="B84" s="19"/>
      <c r="C84" s="26"/>
      <c r="D84" s="26"/>
    </row>
    <row r="85" spans="1:4" ht="20.399999999999999" x14ac:dyDescent="0.3">
      <c r="A85" s="58"/>
      <c r="B85" s="19"/>
      <c r="C85" s="26"/>
      <c r="D85" s="26"/>
    </row>
    <row r="86" spans="1:4" ht="20.399999999999999" x14ac:dyDescent="0.3">
      <c r="A86" s="58"/>
      <c r="B86" s="19"/>
      <c r="C86" s="26"/>
      <c r="D86" s="26"/>
    </row>
    <row r="87" spans="1:4" ht="20.399999999999999" x14ac:dyDescent="0.3">
      <c r="A87" s="58"/>
      <c r="B87" s="19"/>
      <c r="C87" s="26"/>
      <c r="D87" s="26"/>
    </row>
    <row r="88" spans="1:4" ht="20.399999999999999" x14ac:dyDescent="0.3">
      <c r="A88" s="58"/>
      <c r="B88" s="19"/>
      <c r="C88" s="26"/>
      <c r="D88" s="26"/>
    </row>
    <row r="89" spans="1:4" ht="20.399999999999999" x14ac:dyDescent="0.3">
      <c r="A89" s="58"/>
      <c r="B89" s="19"/>
      <c r="C89" s="26"/>
      <c r="D89" s="26"/>
    </row>
    <row r="90" spans="1:4" ht="20.399999999999999" x14ac:dyDescent="0.3">
      <c r="A90" s="58"/>
      <c r="B90" s="19"/>
      <c r="C90" s="26"/>
      <c r="D90" s="26"/>
    </row>
    <row r="91" spans="1:4" ht="20.399999999999999" x14ac:dyDescent="0.3">
      <c r="A91" s="58"/>
      <c r="B91" s="19"/>
      <c r="C91" s="26"/>
      <c r="D91" s="26"/>
    </row>
    <row r="92" spans="1:4" ht="20.399999999999999" x14ac:dyDescent="0.3">
      <c r="A92" s="58"/>
      <c r="B92" s="19"/>
      <c r="C92" s="26"/>
      <c r="D92" s="26"/>
    </row>
    <row r="93" spans="1:4" ht="20.399999999999999" x14ac:dyDescent="0.3">
      <c r="A93" s="58"/>
      <c r="B93" s="19"/>
      <c r="C93" s="26"/>
      <c r="D93" s="26"/>
    </row>
    <row r="94" spans="1:4" ht="20.399999999999999" x14ac:dyDescent="0.3">
      <c r="A94" s="58"/>
      <c r="B94" s="19"/>
      <c r="C94" s="26"/>
      <c r="D94" s="26"/>
    </row>
    <row r="95" spans="1:4" ht="20.399999999999999" x14ac:dyDescent="0.3">
      <c r="A95" s="58"/>
      <c r="B95" s="19"/>
      <c r="C95" s="26"/>
      <c r="D95" s="26"/>
    </row>
    <row r="96" spans="1:4" ht="20.399999999999999" x14ac:dyDescent="0.3">
      <c r="A96" s="58"/>
      <c r="B96" s="19"/>
      <c r="C96" s="26"/>
      <c r="D96" s="26"/>
    </row>
    <row r="97" spans="1:4" ht="20.399999999999999" x14ac:dyDescent="0.3">
      <c r="A97" s="58"/>
      <c r="B97" s="19"/>
      <c r="C97" s="26"/>
      <c r="D97" s="26"/>
    </row>
    <row r="98" spans="1:4" ht="20.399999999999999" x14ac:dyDescent="0.3">
      <c r="A98" s="58"/>
      <c r="B98" s="19"/>
      <c r="C98" s="26"/>
      <c r="D98" s="26"/>
    </row>
    <row r="99" spans="1:4" ht="20.399999999999999" x14ac:dyDescent="0.3">
      <c r="A99" s="58"/>
      <c r="B99" s="19"/>
      <c r="C99" s="26"/>
      <c r="D99" s="26"/>
    </row>
    <row r="100" spans="1:4" ht="20.399999999999999" x14ac:dyDescent="0.3">
      <c r="A100" s="58"/>
      <c r="B100" s="19"/>
      <c r="C100" s="26"/>
      <c r="D100" s="26"/>
    </row>
    <row r="101" spans="1:4" ht="20.399999999999999" x14ac:dyDescent="0.3">
      <c r="A101" s="58"/>
      <c r="B101" s="19"/>
      <c r="C101" s="26"/>
      <c r="D101" s="26"/>
    </row>
    <row r="102" spans="1:4" ht="20.399999999999999" x14ac:dyDescent="0.3">
      <c r="A102" s="58"/>
      <c r="B102" s="19"/>
      <c r="C102" s="26"/>
      <c r="D102" s="26"/>
    </row>
    <row r="103" spans="1:4" ht="20.399999999999999" x14ac:dyDescent="0.3">
      <c r="A103" s="58"/>
      <c r="B103" s="19"/>
      <c r="C103" s="26"/>
      <c r="D103" s="26"/>
    </row>
    <row r="104" spans="1:4" ht="20.399999999999999" x14ac:dyDescent="0.3">
      <c r="A104" s="58"/>
      <c r="B104" s="19"/>
      <c r="C104" s="26"/>
      <c r="D104" s="26"/>
    </row>
    <row r="105" spans="1:4" ht="20.399999999999999" x14ac:dyDescent="0.3">
      <c r="A105" s="58"/>
      <c r="B105" s="19"/>
      <c r="C105" s="26"/>
      <c r="D105" s="26"/>
    </row>
    <row r="106" spans="1:4" ht="20.399999999999999" x14ac:dyDescent="0.3">
      <c r="A106" s="58"/>
      <c r="B106" s="19"/>
      <c r="C106" s="26"/>
      <c r="D106" s="26"/>
    </row>
    <row r="107" spans="1:4" ht="20.399999999999999" x14ac:dyDescent="0.3">
      <c r="A107" s="58"/>
      <c r="B107" s="19"/>
      <c r="C107" s="26"/>
      <c r="D107" s="26"/>
    </row>
    <row r="108" spans="1:4" ht="20.399999999999999" x14ac:dyDescent="0.3">
      <c r="A108" s="58"/>
      <c r="B108" s="19"/>
      <c r="C108" s="26"/>
      <c r="D108" s="26"/>
    </row>
    <row r="109" spans="1:4" ht="20.399999999999999" x14ac:dyDescent="0.3">
      <c r="A109" s="58"/>
      <c r="B109" s="19"/>
      <c r="C109" s="26"/>
      <c r="D109" s="26"/>
    </row>
    <row r="110" spans="1:4" ht="20.399999999999999" x14ac:dyDescent="0.3">
      <c r="A110" s="58"/>
      <c r="B110" s="19"/>
      <c r="C110" s="26"/>
      <c r="D110" s="26"/>
    </row>
    <row r="111" spans="1:4" ht="20.399999999999999" x14ac:dyDescent="0.3">
      <c r="A111" s="58"/>
      <c r="B111" s="19"/>
      <c r="C111" s="26"/>
      <c r="D111" s="26"/>
    </row>
    <row r="112" spans="1:4" ht="20.399999999999999" x14ac:dyDescent="0.3">
      <c r="A112" s="58"/>
      <c r="B112" s="19"/>
      <c r="C112" s="26"/>
      <c r="D112" s="26"/>
    </row>
    <row r="113" spans="1:4" ht="20.399999999999999" x14ac:dyDescent="0.3">
      <c r="A113" s="58"/>
      <c r="B113" s="19"/>
      <c r="C113" s="26"/>
      <c r="D113" s="26"/>
    </row>
    <row r="114" spans="1:4" ht="20.399999999999999" x14ac:dyDescent="0.3">
      <c r="A114" s="58"/>
      <c r="B114" s="19"/>
      <c r="C114" s="26"/>
      <c r="D114" s="26"/>
    </row>
    <row r="115" spans="1:4" ht="20.399999999999999" x14ac:dyDescent="0.3">
      <c r="A115" s="58"/>
      <c r="B115" s="19"/>
      <c r="C115" s="26"/>
      <c r="D115" s="26"/>
    </row>
    <row r="116" spans="1:4" ht="20.399999999999999" x14ac:dyDescent="0.3">
      <c r="A116" s="58"/>
      <c r="B116" s="19"/>
      <c r="C116" s="26"/>
      <c r="D116" s="26"/>
    </row>
    <row r="117" spans="1:4" ht="20.399999999999999" x14ac:dyDescent="0.3">
      <c r="A117" s="58"/>
      <c r="B117" s="19"/>
      <c r="C117" s="26"/>
      <c r="D117" s="26"/>
    </row>
    <row r="118" spans="1:4" ht="20.399999999999999" x14ac:dyDescent="0.3">
      <c r="A118" s="58"/>
      <c r="B118" s="19"/>
      <c r="C118" s="26"/>
      <c r="D118" s="26"/>
    </row>
    <row r="119" spans="1:4" ht="20.399999999999999" x14ac:dyDescent="0.3">
      <c r="A119" s="58"/>
      <c r="B119" s="19"/>
      <c r="C119" s="26"/>
      <c r="D119" s="26"/>
    </row>
    <row r="120" spans="1:4" ht="20.399999999999999" x14ac:dyDescent="0.3">
      <c r="A120" s="58"/>
      <c r="B120" s="19"/>
      <c r="C120" s="26"/>
      <c r="D120" s="26"/>
    </row>
    <row r="121" spans="1:4" ht="20.399999999999999" x14ac:dyDescent="0.3">
      <c r="A121" s="58"/>
      <c r="B121" s="19"/>
      <c r="C121" s="26"/>
      <c r="D121" s="26"/>
    </row>
    <row r="122" spans="1:4" ht="20.399999999999999" x14ac:dyDescent="0.3">
      <c r="A122" s="58"/>
      <c r="B122" s="19"/>
      <c r="C122" s="26"/>
      <c r="D122" s="26"/>
    </row>
    <row r="123" spans="1:4" ht="20.399999999999999" x14ac:dyDescent="0.3">
      <c r="A123" s="58"/>
      <c r="B123" s="19"/>
      <c r="C123" s="26"/>
      <c r="D123" s="26"/>
    </row>
    <row r="124" spans="1:4" ht="20.399999999999999" x14ac:dyDescent="0.3">
      <c r="A124" s="58"/>
      <c r="B124" s="19"/>
      <c r="C124" s="26"/>
      <c r="D124" s="26"/>
    </row>
    <row r="125" spans="1:4" ht="20.399999999999999" x14ac:dyDescent="0.3">
      <c r="A125" s="58"/>
      <c r="B125" s="19"/>
      <c r="C125" s="26"/>
      <c r="D125" s="26"/>
    </row>
    <row r="126" spans="1:4" ht="20.399999999999999" x14ac:dyDescent="0.3">
      <c r="A126" s="58"/>
      <c r="B126" s="19"/>
      <c r="C126" s="26"/>
      <c r="D126" s="26"/>
    </row>
    <row r="127" spans="1:4" ht="20.399999999999999" x14ac:dyDescent="0.3">
      <c r="A127" s="58"/>
      <c r="B127" s="19"/>
      <c r="C127" s="26"/>
      <c r="D127" s="26"/>
    </row>
    <row r="128" spans="1:4" ht="20.399999999999999" x14ac:dyDescent="0.3">
      <c r="A128" s="58"/>
      <c r="B128" s="19"/>
      <c r="C128" s="26"/>
      <c r="D128" s="26"/>
    </row>
    <row r="129" spans="1:4" ht="20.399999999999999" x14ac:dyDescent="0.3">
      <c r="A129" s="58"/>
      <c r="B129" s="19"/>
      <c r="C129" s="26"/>
      <c r="D129" s="26"/>
    </row>
    <row r="130" spans="1:4" ht="20.399999999999999" x14ac:dyDescent="0.3">
      <c r="A130" s="58"/>
      <c r="B130" s="19"/>
      <c r="C130" s="26"/>
      <c r="D130" s="26"/>
    </row>
    <row r="131" spans="1:4" ht="20.399999999999999" x14ac:dyDescent="0.3">
      <c r="A131" s="58"/>
      <c r="B131" s="19"/>
      <c r="C131" s="26"/>
      <c r="D131" s="26"/>
    </row>
    <row r="132" spans="1:4" ht="20.399999999999999" x14ac:dyDescent="0.3">
      <c r="A132" s="58"/>
      <c r="B132" s="19"/>
      <c r="C132" s="26"/>
      <c r="D132" s="26"/>
    </row>
    <row r="133" spans="1:4" ht="20.399999999999999" x14ac:dyDescent="0.3">
      <c r="A133" s="58"/>
      <c r="B133" s="19"/>
      <c r="C133" s="26"/>
      <c r="D133" s="26"/>
    </row>
    <row r="134" spans="1:4" ht="20.399999999999999" x14ac:dyDescent="0.3">
      <c r="A134" s="58"/>
      <c r="B134" s="19"/>
      <c r="C134" s="26"/>
      <c r="D134" s="26"/>
    </row>
    <row r="135" spans="1:4" ht="20.399999999999999" x14ac:dyDescent="0.3">
      <c r="A135" s="58"/>
      <c r="B135" s="19"/>
      <c r="C135" s="26"/>
      <c r="D135" s="26"/>
    </row>
    <row r="136" spans="1:4" ht="20.399999999999999" x14ac:dyDescent="0.3">
      <c r="A136" s="58"/>
      <c r="B136" s="19"/>
      <c r="C136" s="26"/>
      <c r="D136" s="26"/>
    </row>
    <row r="137" spans="1:4" ht="20.399999999999999" x14ac:dyDescent="0.3">
      <c r="A137" s="58"/>
      <c r="B137" s="19"/>
      <c r="C137" s="26"/>
      <c r="D137" s="26"/>
    </row>
    <row r="138" spans="1:4" ht="20.399999999999999" x14ac:dyDescent="0.3">
      <c r="A138" s="58"/>
      <c r="B138" s="19"/>
      <c r="C138" s="26"/>
      <c r="D138" s="26"/>
    </row>
    <row r="139" spans="1:4" ht="20.399999999999999" x14ac:dyDescent="0.3">
      <c r="A139" s="58"/>
      <c r="B139" s="19"/>
      <c r="C139" s="26"/>
      <c r="D139" s="26"/>
    </row>
    <row r="140" spans="1:4" ht="20.399999999999999" x14ac:dyDescent="0.3">
      <c r="A140" s="58"/>
      <c r="B140" s="19"/>
      <c r="C140" s="26"/>
      <c r="D140" s="26"/>
    </row>
    <row r="141" spans="1:4" ht="20.399999999999999" x14ac:dyDescent="0.3">
      <c r="A141" s="58"/>
      <c r="B141" s="19"/>
      <c r="C141" s="26"/>
      <c r="D141" s="26"/>
    </row>
    <row r="142" spans="1:4" ht="20.399999999999999" x14ac:dyDescent="0.3">
      <c r="A142" s="58"/>
      <c r="B142" s="19"/>
      <c r="C142" s="26"/>
      <c r="D142" s="26"/>
    </row>
    <row r="143" spans="1:4" ht="20.399999999999999" x14ac:dyDescent="0.3">
      <c r="A143" s="58"/>
      <c r="B143" s="19"/>
      <c r="C143" s="26"/>
      <c r="D143" s="26"/>
    </row>
    <row r="144" spans="1:4" ht="20.399999999999999" x14ac:dyDescent="0.3">
      <c r="A144" s="58"/>
      <c r="B144" s="19"/>
      <c r="C144" s="26"/>
      <c r="D144" s="26"/>
    </row>
    <row r="145" spans="1:4" ht="20.399999999999999" x14ac:dyDescent="0.3">
      <c r="A145" s="58"/>
      <c r="B145" s="19"/>
      <c r="C145" s="26"/>
      <c r="D145" s="26"/>
    </row>
    <row r="146" spans="1:4" ht="20.399999999999999" x14ac:dyDescent="0.3">
      <c r="A146" s="58"/>
      <c r="B146" s="19"/>
      <c r="C146" s="26"/>
      <c r="D146" s="26"/>
    </row>
    <row r="147" spans="1:4" ht="20.399999999999999" x14ac:dyDescent="0.3">
      <c r="A147" s="58"/>
      <c r="B147" s="19"/>
      <c r="C147" s="26"/>
      <c r="D147" s="26"/>
    </row>
    <row r="148" spans="1:4" ht="20.399999999999999" x14ac:dyDescent="0.3">
      <c r="A148" s="58"/>
      <c r="B148" s="19"/>
      <c r="C148" s="26"/>
      <c r="D148" s="26"/>
    </row>
    <row r="149" spans="1:4" ht="20.399999999999999" x14ac:dyDescent="0.3">
      <c r="A149" s="58"/>
      <c r="B149" s="19"/>
      <c r="C149" s="26"/>
      <c r="D149" s="26"/>
    </row>
    <row r="150" spans="1:4" ht="20.399999999999999" x14ac:dyDescent="0.3">
      <c r="A150" s="58"/>
      <c r="B150" s="19"/>
      <c r="C150" s="26"/>
      <c r="D150" s="26"/>
    </row>
    <row r="151" spans="1:4" ht="20.399999999999999" x14ac:dyDescent="0.3">
      <c r="A151" s="58"/>
      <c r="B151" s="19"/>
      <c r="C151" s="26"/>
      <c r="D151" s="26"/>
    </row>
    <row r="152" spans="1:4" ht="20.399999999999999" x14ac:dyDescent="0.3">
      <c r="A152" s="58"/>
      <c r="B152" s="19"/>
      <c r="C152" s="26"/>
      <c r="D152" s="26"/>
    </row>
    <row r="153" spans="1:4" ht="20.399999999999999" x14ac:dyDescent="0.3">
      <c r="A153" s="58"/>
      <c r="B153" s="19"/>
      <c r="C153" s="26"/>
      <c r="D153" s="26"/>
    </row>
    <row r="154" spans="1:4" ht="20.399999999999999" x14ac:dyDescent="0.3">
      <c r="A154" s="58"/>
      <c r="B154" s="19"/>
      <c r="C154" s="26"/>
      <c r="D154" s="26"/>
    </row>
    <row r="155" spans="1:4" ht="20.399999999999999" x14ac:dyDescent="0.3">
      <c r="A155" s="58"/>
      <c r="B155" s="19"/>
      <c r="C155" s="26"/>
      <c r="D155" s="26"/>
    </row>
    <row r="156" spans="1:4" ht="20.399999999999999" x14ac:dyDescent="0.3">
      <c r="A156" s="58"/>
      <c r="B156" s="19"/>
      <c r="C156" s="26"/>
      <c r="D156" s="26"/>
    </row>
    <row r="157" spans="1:4" ht="20.399999999999999" x14ac:dyDescent="0.3">
      <c r="A157" s="58"/>
      <c r="B157" s="19"/>
      <c r="C157" s="26"/>
      <c r="D157" s="26"/>
    </row>
    <row r="158" spans="1:4" ht="20.399999999999999" x14ac:dyDescent="0.3">
      <c r="A158" s="58"/>
      <c r="B158" s="19"/>
      <c r="C158" s="26"/>
      <c r="D158" s="26"/>
    </row>
    <row r="159" spans="1:4" ht="20.399999999999999" x14ac:dyDescent="0.3">
      <c r="A159" s="58"/>
      <c r="B159" s="19"/>
      <c r="C159" s="26"/>
      <c r="D159" s="26"/>
    </row>
    <row r="160" spans="1:4" ht="20.399999999999999" x14ac:dyDescent="0.3">
      <c r="A160" s="58"/>
      <c r="B160" s="19"/>
      <c r="C160" s="26"/>
      <c r="D160" s="26"/>
    </row>
    <row r="161" spans="1:4" ht="20.399999999999999" x14ac:dyDescent="0.3">
      <c r="A161" s="58"/>
      <c r="B161" s="19"/>
      <c r="C161" s="26"/>
      <c r="D161" s="26"/>
    </row>
    <row r="162" spans="1:4" ht="20.399999999999999" x14ac:dyDescent="0.3">
      <c r="A162" s="58"/>
      <c r="B162" s="19"/>
      <c r="C162" s="26"/>
      <c r="D162" s="26"/>
    </row>
    <row r="163" spans="1:4" ht="20.399999999999999" x14ac:dyDescent="0.3">
      <c r="A163" s="58"/>
      <c r="B163" s="19"/>
      <c r="C163" s="26"/>
      <c r="D163" s="26"/>
    </row>
    <row r="164" spans="1:4" ht="20.399999999999999" x14ac:dyDescent="0.3">
      <c r="A164" s="58"/>
      <c r="B164" s="19"/>
      <c r="C164" s="26"/>
      <c r="D164" s="26"/>
    </row>
    <row r="165" spans="1:4" ht="20.399999999999999" x14ac:dyDescent="0.3">
      <c r="A165" s="58"/>
      <c r="B165" s="19"/>
      <c r="C165" s="26"/>
      <c r="D165" s="26"/>
    </row>
    <row r="166" spans="1:4" ht="20.399999999999999" x14ac:dyDescent="0.3">
      <c r="A166" s="58"/>
      <c r="B166" s="19"/>
      <c r="C166" s="26"/>
      <c r="D166" s="26"/>
    </row>
    <row r="167" spans="1:4" ht="20.399999999999999" x14ac:dyDescent="0.3">
      <c r="A167" s="58"/>
      <c r="B167" s="19"/>
      <c r="C167" s="26"/>
      <c r="D167" s="26"/>
    </row>
    <row r="168" spans="1:4" ht="20.399999999999999" x14ac:dyDescent="0.3">
      <c r="A168" s="58"/>
      <c r="B168" s="19"/>
      <c r="C168" s="26"/>
      <c r="D168" s="26"/>
    </row>
    <row r="169" spans="1:4" ht="20.399999999999999" x14ac:dyDescent="0.3">
      <c r="A169" s="58"/>
      <c r="B169" s="19"/>
      <c r="C169" s="26"/>
      <c r="D169" s="26"/>
    </row>
    <row r="170" spans="1:4" ht="20.399999999999999" x14ac:dyDescent="0.3">
      <c r="A170" s="58"/>
      <c r="B170" s="19"/>
      <c r="C170" s="26"/>
      <c r="D170" s="26"/>
    </row>
    <row r="171" spans="1:4" ht="20.399999999999999" x14ac:dyDescent="0.3">
      <c r="A171" s="58"/>
      <c r="B171" s="19"/>
      <c r="C171" s="26"/>
      <c r="D171" s="26"/>
    </row>
    <row r="172" spans="1:4" ht="20.399999999999999" x14ac:dyDescent="0.3">
      <c r="A172" s="58"/>
      <c r="B172" s="19"/>
      <c r="C172" s="26"/>
      <c r="D172" s="26"/>
    </row>
    <row r="173" spans="1:4" ht="20.399999999999999" x14ac:dyDescent="0.3">
      <c r="A173" s="58"/>
      <c r="B173" s="19"/>
      <c r="C173" s="26"/>
      <c r="D173" s="26"/>
    </row>
    <row r="174" spans="1:4" ht="20.399999999999999" x14ac:dyDescent="0.3">
      <c r="A174" s="58"/>
      <c r="B174" s="19"/>
      <c r="C174" s="26"/>
      <c r="D174" s="26"/>
    </row>
    <row r="175" spans="1:4" ht="20.399999999999999" x14ac:dyDescent="0.3">
      <c r="A175" s="58"/>
      <c r="B175" s="19"/>
      <c r="C175" s="26"/>
      <c r="D175" s="26"/>
    </row>
    <row r="176" spans="1:4" ht="20.399999999999999" x14ac:dyDescent="0.3">
      <c r="A176" s="58"/>
      <c r="B176" s="19"/>
      <c r="C176" s="26"/>
      <c r="D176" s="26"/>
    </row>
    <row r="177" spans="1:4" ht="20.399999999999999" x14ac:dyDescent="0.3">
      <c r="A177" s="58"/>
      <c r="B177" s="19"/>
      <c r="C177" s="26"/>
      <c r="D177" s="26"/>
    </row>
    <row r="178" spans="1:4" ht="20.399999999999999" x14ac:dyDescent="0.3">
      <c r="A178" s="58"/>
      <c r="B178" s="19"/>
      <c r="C178" s="26"/>
      <c r="D178" s="26"/>
    </row>
    <row r="179" spans="1:4" ht="20.399999999999999" x14ac:dyDescent="0.3">
      <c r="A179" s="58"/>
      <c r="B179" s="19"/>
      <c r="C179" s="26"/>
      <c r="D179" s="26"/>
    </row>
    <row r="180" spans="1:4" ht="20.399999999999999" x14ac:dyDescent="0.3">
      <c r="A180" s="58"/>
      <c r="B180" s="19"/>
      <c r="C180" s="26"/>
      <c r="D180" s="26"/>
    </row>
    <row r="181" spans="1:4" ht="20.399999999999999" x14ac:dyDescent="0.3">
      <c r="A181" s="58"/>
      <c r="B181" s="19"/>
      <c r="C181" s="26"/>
      <c r="D181" s="26"/>
    </row>
    <row r="182" spans="1:4" ht="20.399999999999999" x14ac:dyDescent="0.3">
      <c r="A182" s="58"/>
      <c r="B182" s="19"/>
      <c r="C182" s="26"/>
      <c r="D182" s="26"/>
    </row>
    <row r="183" spans="1:4" ht="20.399999999999999" x14ac:dyDescent="0.3">
      <c r="A183" s="58"/>
      <c r="B183" s="19"/>
      <c r="C183" s="26"/>
      <c r="D183" s="26"/>
    </row>
    <row r="184" spans="1:4" ht="20.399999999999999" x14ac:dyDescent="0.3">
      <c r="A184" s="58"/>
      <c r="B184" s="19"/>
      <c r="C184" s="26"/>
      <c r="D184" s="26"/>
    </row>
    <row r="185" spans="1:4" ht="20.399999999999999" x14ac:dyDescent="0.3">
      <c r="A185" s="58"/>
      <c r="B185" s="19"/>
      <c r="C185" s="26"/>
      <c r="D185" s="26"/>
    </row>
    <row r="186" spans="1:4" ht="20.399999999999999" x14ac:dyDescent="0.3">
      <c r="A186" s="58"/>
      <c r="B186" s="19"/>
      <c r="C186" s="26"/>
      <c r="D186" s="26"/>
    </row>
    <row r="187" spans="1:4" ht="20.399999999999999" x14ac:dyDescent="0.3">
      <c r="A187" s="58"/>
      <c r="B187" s="19"/>
      <c r="C187" s="26"/>
      <c r="D187" s="26"/>
    </row>
    <row r="188" spans="1:4" ht="20.399999999999999" x14ac:dyDescent="0.3">
      <c r="A188" s="58"/>
      <c r="B188" s="19"/>
      <c r="C188" s="26"/>
      <c r="D188" s="26"/>
    </row>
    <row r="189" spans="1:4" ht="20.399999999999999" x14ac:dyDescent="0.3">
      <c r="A189" s="58"/>
      <c r="B189" s="19"/>
      <c r="C189" s="26"/>
      <c r="D189" s="26"/>
    </row>
    <row r="190" spans="1:4" ht="20.399999999999999" x14ac:dyDescent="0.3">
      <c r="A190" s="58"/>
      <c r="B190" s="19"/>
      <c r="C190" s="26"/>
      <c r="D190" s="26"/>
    </row>
    <row r="191" spans="1:4" ht="20.399999999999999" x14ac:dyDescent="0.3">
      <c r="A191" s="58"/>
      <c r="B191" s="19"/>
      <c r="C191" s="26"/>
      <c r="D191" s="26"/>
    </row>
    <row r="192" spans="1:4" ht="20.399999999999999" x14ac:dyDescent="0.3">
      <c r="A192" s="58"/>
      <c r="B192" s="19"/>
      <c r="C192" s="26"/>
      <c r="D192" s="26"/>
    </row>
    <row r="193" spans="1:4" ht="20.399999999999999" x14ac:dyDescent="0.3">
      <c r="A193" s="58"/>
      <c r="B193" s="19"/>
      <c r="C193" s="26"/>
      <c r="D193" s="26"/>
    </row>
    <row r="194" spans="1:4" ht="20.399999999999999" x14ac:dyDescent="0.3">
      <c r="A194" s="58"/>
      <c r="B194" s="19"/>
      <c r="C194" s="26"/>
      <c r="D194" s="26"/>
    </row>
    <row r="195" spans="1:4" ht="20.399999999999999" x14ac:dyDescent="0.3">
      <c r="A195" s="58"/>
      <c r="B195" s="19"/>
      <c r="C195" s="26"/>
      <c r="D195" s="26"/>
    </row>
    <row r="196" spans="1:4" ht="20.399999999999999" x14ac:dyDescent="0.3">
      <c r="A196" s="58"/>
      <c r="B196" s="19"/>
      <c r="C196" s="26"/>
      <c r="D196" s="26"/>
    </row>
    <row r="197" spans="1:4" ht="20.399999999999999" x14ac:dyDescent="0.3">
      <c r="A197" s="58"/>
      <c r="B197" s="19"/>
      <c r="C197" s="26"/>
      <c r="D197" s="26"/>
    </row>
    <row r="198" spans="1:4" ht="20.399999999999999" x14ac:dyDescent="0.3">
      <c r="A198" s="58"/>
      <c r="B198" s="19"/>
      <c r="C198" s="26"/>
      <c r="D198" s="26"/>
    </row>
    <row r="199" spans="1:4" ht="20.399999999999999" x14ac:dyDescent="0.3">
      <c r="A199" s="58"/>
      <c r="B199" s="19"/>
      <c r="C199" s="26"/>
      <c r="D199" s="26"/>
    </row>
    <row r="200" spans="1:4" ht="20.399999999999999" x14ac:dyDescent="0.3">
      <c r="A200" s="58"/>
      <c r="B200" s="19"/>
      <c r="C200" s="26"/>
      <c r="D200" s="26"/>
    </row>
    <row r="201" spans="1:4" ht="20.399999999999999" x14ac:dyDescent="0.3">
      <c r="A201" s="58"/>
      <c r="B201" s="19"/>
      <c r="C201" s="26"/>
      <c r="D201" s="26"/>
    </row>
    <row r="202" spans="1:4" ht="20.399999999999999" x14ac:dyDescent="0.3">
      <c r="A202" s="58"/>
      <c r="B202" s="19"/>
      <c r="C202" s="26"/>
      <c r="D202" s="26"/>
    </row>
    <row r="203" spans="1:4" ht="20.399999999999999" x14ac:dyDescent="0.3">
      <c r="A203" s="58"/>
      <c r="B203" s="19"/>
      <c r="C203" s="26"/>
      <c r="D203" s="26"/>
    </row>
    <row r="204" spans="1:4" ht="20.399999999999999" x14ac:dyDescent="0.3">
      <c r="A204" s="58"/>
      <c r="B204" s="19"/>
      <c r="C204" s="26"/>
      <c r="D204" s="26"/>
    </row>
    <row r="205" spans="1:4" ht="20.399999999999999" x14ac:dyDescent="0.3">
      <c r="A205" s="58"/>
      <c r="B205" s="19"/>
      <c r="C205" s="26"/>
      <c r="D205" s="26"/>
    </row>
    <row r="206" spans="1:4" ht="20.399999999999999" x14ac:dyDescent="0.3">
      <c r="A206" s="58"/>
      <c r="B206" s="19"/>
      <c r="C206" s="26"/>
      <c r="D206" s="26"/>
    </row>
    <row r="207" spans="1:4" ht="20.399999999999999" x14ac:dyDescent="0.3">
      <c r="A207" s="58"/>
      <c r="B207" s="19"/>
      <c r="C207" s="26"/>
      <c r="D207" s="26"/>
    </row>
    <row r="208" spans="1:4" x14ac:dyDescent="0.3">
      <c r="A208" s="38"/>
      <c r="B208" s="19"/>
      <c r="C208" s="19"/>
      <c r="D208" s="19"/>
    </row>
    <row r="209" spans="1:8" ht="20.399999999999999" x14ac:dyDescent="0.3">
      <c r="A209" s="38"/>
      <c r="B209" s="22" t="s">
        <v>81</v>
      </c>
      <c r="C209" s="22" t="s">
        <v>129</v>
      </c>
      <c r="D209" s="25" t="s">
        <v>81</v>
      </c>
      <c r="E209" s="25" t="s">
        <v>129</v>
      </c>
    </row>
    <row r="210" spans="1:8" ht="21" x14ac:dyDescent="0.4">
      <c r="A210" s="38"/>
      <c r="B210" s="23" t="s">
        <v>83</v>
      </c>
      <c r="C210" s="23" t="s">
        <v>52</v>
      </c>
      <c r="D210" t="s">
        <v>83</v>
      </c>
      <c r="F210" t="str">
        <f t="shared" ref="F210:F221" si="0">IF(NOT(ISBLANK(D210)),D210,IF(NOT(ISBLANK(E210))," "&amp;E210,FALSE))</f>
        <v>Afectación Económica o presupuestal</v>
      </c>
      <c r="G210" t="s">
        <v>83</v>
      </c>
      <c r="H210" t="str">
        <f>IF(NOT(ISERROR(MATCH(G210,_xlfn.ANCHORARRAY(B221),0))),F223&amp;"Por favor no seleccionar los criterios de impacto",G210)</f>
        <v>❌Por favor no seleccionar los criterios de impacto</v>
      </c>
    </row>
    <row r="211" spans="1:8" ht="21" x14ac:dyDescent="0.4">
      <c r="A211" s="38"/>
      <c r="B211" s="23" t="s">
        <v>83</v>
      </c>
      <c r="C211" s="23" t="s">
        <v>86</v>
      </c>
      <c r="E211" t="s">
        <v>52</v>
      </c>
      <c r="F211" t="str">
        <f t="shared" si="0"/>
        <v xml:space="preserve"> Afectación menor a 10 SMLMV .</v>
      </c>
    </row>
    <row r="212" spans="1:8" ht="21" x14ac:dyDescent="0.4">
      <c r="A212" s="38"/>
      <c r="B212" s="23" t="s">
        <v>83</v>
      </c>
      <c r="C212" s="23" t="s">
        <v>87</v>
      </c>
      <c r="E212" t="s">
        <v>86</v>
      </c>
      <c r="F212" t="str">
        <f t="shared" si="0"/>
        <v xml:space="preserve"> Entre 10 y 50 SMLMV </v>
      </c>
    </row>
    <row r="213" spans="1:8" ht="21" x14ac:dyDescent="0.4">
      <c r="A213" s="38"/>
      <c r="B213" s="23" t="s">
        <v>83</v>
      </c>
      <c r="C213" s="23" t="s">
        <v>88</v>
      </c>
      <c r="E213" t="s">
        <v>87</v>
      </c>
      <c r="F213" t="str">
        <f t="shared" si="0"/>
        <v xml:space="preserve"> Entre 50 y 100 SMLMV </v>
      </c>
    </row>
    <row r="214" spans="1:8" ht="21" x14ac:dyDescent="0.4">
      <c r="A214" s="38"/>
      <c r="B214" s="23" t="s">
        <v>83</v>
      </c>
      <c r="C214" s="23" t="s">
        <v>89</v>
      </c>
      <c r="E214" t="s">
        <v>88</v>
      </c>
      <c r="F214" t="str">
        <f t="shared" si="0"/>
        <v xml:space="preserve"> Entre 100 y 500 SMLMV </v>
      </c>
    </row>
    <row r="215" spans="1:8" ht="21" x14ac:dyDescent="0.4">
      <c r="A215" s="38"/>
      <c r="B215" s="23" t="s">
        <v>51</v>
      </c>
      <c r="C215" s="23" t="s">
        <v>90</v>
      </c>
      <c r="E215" t="s">
        <v>89</v>
      </c>
      <c r="F215" t="str">
        <f t="shared" si="0"/>
        <v xml:space="preserve"> Mayor a 500 SMLMV </v>
      </c>
    </row>
    <row r="216" spans="1:8" ht="21" x14ac:dyDescent="0.4">
      <c r="A216" s="38"/>
      <c r="B216" s="23" t="s">
        <v>51</v>
      </c>
      <c r="C216" s="23" t="s">
        <v>254</v>
      </c>
      <c r="D216" t="s">
        <v>51</v>
      </c>
      <c r="F216" t="str">
        <f t="shared" si="0"/>
        <v>Pérdida Reputacional</v>
      </c>
    </row>
    <row r="217" spans="1:8" ht="21" x14ac:dyDescent="0.4">
      <c r="A217" s="38"/>
      <c r="B217" s="23" t="s">
        <v>51</v>
      </c>
      <c r="C217" s="23" t="s">
        <v>91</v>
      </c>
      <c r="E217" t="s">
        <v>90</v>
      </c>
      <c r="F217" t="str">
        <f t="shared" si="0"/>
        <v xml:space="preserve"> El riesgo afecta la imagen de alguna área de la organización</v>
      </c>
    </row>
    <row r="218" spans="1:8" ht="21" x14ac:dyDescent="0.4">
      <c r="A218" s="38"/>
      <c r="B218" s="23" t="s">
        <v>51</v>
      </c>
      <c r="C218" s="23" t="s">
        <v>256</v>
      </c>
      <c r="E218" t="s">
        <v>254</v>
      </c>
      <c r="F218" t="str">
        <f t="shared" si="0"/>
        <v xml:space="preserve"> El riesgo afecta la imagen de la entidad internamente, de conocimiento general, nivel interno, de junta directiva y accionistas y/o de proveedores</v>
      </c>
    </row>
    <row r="219" spans="1:8" ht="21" x14ac:dyDescent="0.4">
      <c r="A219" s="38"/>
      <c r="B219" s="23" t="s">
        <v>51</v>
      </c>
      <c r="C219" s="23" t="s">
        <v>109</v>
      </c>
      <c r="E219" t="s">
        <v>91</v>
      </c>
      <c r="F219" t="str">
        <f t="shared" si="0"/>
        <v xml:space="preserve"> El riesgo afecta la imagen de la entidad con algunos usuarios de relevancia frente al logro de los objetivos</v>
      </c>
    </row>
    <row r="220" spans="1:8" x14ac:dyDescent="0.3">
      <c r="A220" s="38"/>
      <c r="B220" s="24"/>
      <c r="C220" s="24"/>
      <c r="E220" t="s">
        <v>256</v>
      </c>
      <c r="F220" t="str">
        <f t="shared" si="0"/>
        <v xml:space="preserve"> El riesgo afecta la imagen de la entidad con efecto publicitario sostenido a nivel de sector administrativo, nivel departamental o municipal</v>
      </c>
    </row>
    <row r="221" spans="1:8" x14ac:dyDescent="0.3">
      <c r="A221" s="38"/>
      <c r="B221" s="24" t="str">
        <f t="array" ref="B221:B223">_xlfn.UNIQUE(Tabla1[[#All],[Criterios]])</f>
        <v>Criterios</v>
      </c>
      <c r="C221" s="24"/>
      <c r="E221" t="s">
        <v>109</v>
      </c>
      <c r="F221" t="str">
        <f t="shared" si="0"/>
        <v xml:space="preserve"> El riesgo afecta la imagen de la entidad a nivel nacional, con efecto publicitarios sostenible a nivel país</v>
      </c>
    </row>
    <row r="222" spans="1:8" x14ac:dyDescent="0.3">
      <c r="A222" s="38"/>
      <c r="B222" s="24" t="str">
        <v>Afectación Económica o presupuestal</v>
      </c>
      <c r="C222" s="24"/>
    </row>
    <row r="223" spans="1:8" x14ac:dyDescent="0.3">
      <c r="B223" s="24" t="str">
        <v>Pérdida Reputacional</v>
      </c>
      <c r="C223" s="24"/>
      <c r="F223" s="27" t="s">
        <v>130</v>
      </c>
    </row>
    <row r="224" spans="1:8" x14ac:dyDescent="0.3">
      <c r="B224" s="18"/>
      <c r="C224" s="18"/>
      <c r="F224" s="27" t="s">
        <v>131</v>
      </c>
    </row>
    <row r="225" spans="2:4" x14ac:dyDescent="0.3">
      <c r="B225" s="18"/>
      <c r="C225" s="18"/>
    </row>
    <row r="226" spans="2:4" x14ac:dyDescent="0.3">
      <c r="B226" s="18"/>
      <c r="C226" s="18"/>
    </row>
    <row r="227" spans="2:4" x14ac:dyDescent="0.3">
      <c r="B227" s="18"/>
      <c r="C227" s="18"/>
      <c r="D227" s="18"/>
    </row>
    <row r="228" spans="2:4" x14ac:dyDescent="0.3">
      <c r="B228" s="18"/>
      <c r="C228" s="18"/>
      <c r="D228" s="18"/>
    </row>
    <row r="229" spans="2:4" x14ac:dyDescent="0.3">
      <c r="B229" s="18"/>
      <c r="C229" s="18"/>
      <c r="D229" s="18"/>
    </row>
    <row r="230" spans="2:4" x14ac:dyDescent="0.3">
      <c r="B230" s="18"/>
      <c r="C230" s="18"/>
      <c r="D230" s="18"/>
    </row>
    <row r="231" spans="2:4" x14ac:dyDescent="0.3">
      <c r="B231" s="18"/>
      <c r="C231" s="18"/>
      <c r="D231" s="18"/>
    </row>
    <row r="232" spans="2:4" x14ac:dyDescent="0.3">
      <c r="B232" s="18"/>
      <c r="C232" s="18"/>
      <c r="D232" s="18"/>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topLeftCell="A4" workbookViewId="0">
      <selection activeCell="C7" sqref="C7:C8"/>
    </sheetView>
  </sheetViews>
  <sheetFormatPr baseColWidth="10" defaultColWidth="14.44140625" defaultRowHeight="13.8" x14ac:dyDescent="0.3"/>
  <cols>
    <col min="1" max="2" width="14.44140625" style="43"/>
    <col min="3" max="3" width="17" style="43" customWidth="1"/>
    <col min="4" max="4" width="14.44140625" style="43"/>
    <col min="5" max="5" width="46" style="43" customWidth="1"/>
    <col min="6" max="16384" width="14.44140625" style="43"/>
  </cols>
  <sheetData>
    <row r="1" spans="2:6" ht="24" customHeight="1" thickBot="1" x14ac:dyDescent="0.35">
      <c r="B1" s="545" t="s">
        <v>72</v>
      </c>
      <c r="C1" s="546"/>
      <c r="D1" s="546"/>
      <c r="E1" s="546"/>
      <c r="F1" s="547"/>
    </row>
    <row r="2" spans="2:6" ht="16.2" thickBot="1" x14ac:dyDescent="0.35">
      <c r="B2" s="44"/>
      <c r="C2" s="44"/>
      <c r="D2" s="44"/>
      <c r="E2" s="44"/>
      <c r="F2" s="44"/>
    </row>
    <row r="3" spans="2:6" ht="16.2" thickBot="1" x14ac:dyDescent="0.35">
      <c r="B3" s="549" t="s">
        <v>58</v>
      </c>
      <c r="C3" s="550"/>
      <c r="D3" s="550"/>
      <c r="E3" s="56" t="s">
        <v>59</v>
      </c>
      <c r="F3" s="57" t="s">
        <v>60</v>
      </c>
    </row>
    <row r="4" spans="2:6" ht="31.2" x14ac:dyDescent="0.3">
      <c r="B4" s="551" t="s">
        <v>61</v>
      </c>
      <c r="C4" s="553" t="s">
        <v>13</v>
      </c>
      <c r="D4" s="45" t="s">
        <v>14</v>
      </c>
      <c r="E4" s="46" t="s">
        <v>62</v>
      </c>
      <c r="F4" s="47">
        <v>0.25</v>
      </c>
    </row>
    <row r="5" spans="2:6" ht="46.8" x14ac:dyDescent="0.3">
      <c r="B5" s="552"/>
      <c r="C5" s="554"/>
      <c r="D5" s="48" t="s">
        <v>15</v>
      </c>
      <c r="E5" s="49" t="s">
        <v>63</v>
      </c>
      <c r="F5" s="50">
        <v>0.15</v>
      </c>
    </row>
    <row r="6" spans="2:6" ht="46.8" x14ac:dyDescent="0.3">
      <c r="B6" s="552"/>
      <c r="C6" s="554"/>
      <c r="D6" s="48" t="s">
        <v>16</v>
      </c>
      <c r="E6" s="49" t="s">
        <v>64</v>
      </c>
      <c r="F6" s="50">
        <v>0.1</v>
      </c>
    </row>
    <row r="7" spans="2:6" ht="62.4" x14ac:dyDescent="0.3">
      <c r="B7" s="552"/>
      <c r="C7" s="554" t="s">
        <v>17</v>
      </c>
      <c r="D7" s="48" t="s">
        <v>10</v>
      </c>
      <c r="E7" s="49" t="s">
        <v>65</v>
      </c>
      <c r="F7" s="50">
        <v>0.25</v>
      </c>
    </row>
    <row r="8" spans="2:6" ht="31.2" x14ac:dyDescent="0.3">
      <c r="B8" s="552"/>
      <c r="C8" s="554"/>
      <c r="D8" s="48" t="s">
        <v>9</v>
      </c>
      <c r="E8" s="49" t="s">
        <v>66</v>
      </c>
      <c r="F8" s="50">
        <v>0.15</v>
      </c>
    </row>
    <row r="9" spans="2:6" ht="46.8" x14ac:dyDescent="0.3">
      <c r="B9" s="552" t="s">
        <v>136</v>
      </c>
      <c r="C9" s="554" t="s">
        <v>18</v>
      </c>
      <c r="D9" s="48" t="s">
        <v>19</v>
      </c>
      <c r="E9" s="49" t="s">
        <v>67</v>
      </c>
      <c r="F9" s="51" t="s">
        <v>68</v>
      </c>
    </row>
    <row r="10" spans="2:6" ht="46.8" x14ac:dyDescent="0.3">
      <c r="B10" s="552"/>
      <c r="C10" s="554"/>
      <c r="D10" s="48" t="s">
        <v>20</v>
      </c>
      <c r="E10" s="49" t="s">
        <v>69</v>
      </c>
      <c r="F10" s="51" t="s">
        <v>68</v>
      </c>
    </row>
    <row r="11" spans="2:6" ht="46.8" x14ac:dyDescent="0.3">
      <c r="B11" s="552"/>
      <c r="C11" s="554" t="s">
        <v>21</v>
      </c>
      <c r="D11" s="48" t="s">
        <v>22</v>
      </c>
      <c r="E11" s="49" t="s">
        <v>70</v>
      </c>
      <c r="F11" s="51" t="s">
        <v>68</v>
      </c>
    </row>
    <row r="12" spans="2:6" ht="46.8" x14ac:dyDescent="0.3">
      <c r="B12" s="552"/>
      <c r="C12" s="554"/>
      <c r="D12" s="48" t="s">
        <v>23</v>
      </c>
      <c r="E12" s="49" t="s">
        <v>71</v>
      </c>
      <c r="F12" s="51" t="s">
        <v>68</v>
      </c>
    </row>
    <row r="13" spans="2:6" ht="31.2" x14ac:dyDescent="0.3">
      <c r="B13" s="552"/>
      <c r="C13" s="554" t="s">
        <v>24</v>
      </c>
      <c r="D13" s="48" t="s">
        <v>110</v>
      </c>
      <c r="E13" s="49" t="s">
        <v>113</v>
      </c>
      <c r="F13" s="51" t="s">
        <v>68</v>
      </c>
    </row>
    <row r="14" spans="2:6" ht="16.2" thickBot="1" x14ac:dyDescent="0.35">
      <c r="B14" s="555"/>
      <c r="C14" s="556"/>
      <c r="D14" s="52" t="s">
        <v>111</v>
      </c>
      <c r="E14" s="53" t="s">
        <v>112</v>
      </c>
      <c r="F14" s="54" t="s">
        <v>68</v>
      </c>
    </row>
    <row r="15" spans="2:6" ht="49.5" customHeight="1" x14ac:dyDescent="0.3">
      <c r="B15" s="548" t="s">
        <v>133</v>
      </c>
      <c r="C15" s="548"/>
      <c r="D15" s="548"/>
      <c r="E15" s="548"/>
      <c r="F15" s="548"/>
    </row>
    <row r="16" spans="2:6" ht="27" customHeight="1" x14ac:dyDescent="0.3">
      <c r="B16" s="5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workbookViewId="0">
      <selection activeCell="E3" sqref="E3"/>
    </sheetView>
  </sheetViews>
  <sheetFormatPr baseColWidth="10" defaultRowHeight="14.4" x14ac:dyDescent="0.3"/>
  <sheetData>
    <row r="2" spans="2:5" x14ac:dyDescent="0.3">
      <c r="B2" t="s">
        <v>31</v>
      </c>
      <c r="E2" t="s">
        <v>119</v>
      </c>
    </row>
    <row r="3" spans="2:5" x14ac:dyDescent="0.3">
      <c r="B3" t="s">
        <v>32</v>
      </c>
      <c r="E3" t="s">
        <v>118</v>
      </c>
    </row>
    <row r="4" spans="2:5" x14ac:dyDescent="0.3">
      <c r="B4" t="s">
        <v>123</v>
      </c>
      <c r="E4" t="s">
        <v>120</v>
      </c>
    </row>
    <row r="5" spans="2:5" x14ac:dyDescent="0.3">
      <c r="B5" t="s">
        <v>122</v>
      </c>
    </row>
    <row r="8" spans="2:5" x14ac:dyDescent="0.3">
      <c r="B8" t="s">
        <v>258</v>
      </c>
    </row>
    <row r="9" spans="2:5" x14ac:dyDescent="0.3">
      <c r="B9" t="s">
        <v>36</v>
      </c>
    </row>
    <row r="10" spans="2:5" x14ac:dyDescent="0.3">
      <c r="B10" t="s">
        <v>37</v>
      </c>
    </row>
    <row r="13" spans="2:5" x14ac:dyDescent="0.3">
      <c r="B13" t="s">
        <v>219</v>
      </c>
    </row>
    <row r="14" spans="2:5" x14ac:dyDescent="0.3">
      <c r="B14" t="s">
        <v>218</v>
      </c>
    </row>
    <row r="15" spans="2:5" x14ac:dyDescent="0.3">
      <c r="B15" t="s">
        <v>220</v>
      </c>
    </row>
    <row r="16" spans="2:5" x14ac:dyDescent="0.3">
      <c r="B16" t="s">
        <v>114</v>
      </c>
    </row>
    <row r="17" spans="2:2" x14ac:dyDescent="0.3">
      <c r="B17" t="s">
        <v>115</v>
      </c>
    </row>
    <row r="18" spans="2:2" x14ac:dyDescent="0.3">
      <c r="B18" t="s">
        <v>116</v>
      </c>
    </row>
    <row r="19" spans="2:2" x14ac:dyDescent="0.3">
      <c r="B19" t="s">
        <v>117</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4" sqref="A4"/>
    </sheetView>
  </sheetViews>
  <sheetFormatPr baseColWidth="10" defaultColWidth="11.44140625" defaultRowHeight="13.8" x14ac:dyDescent="0.3"/>
  <cols>
    <col min="1" max="1" width="32.88671875" style="5" customWidth="1"/>
    <col min="2" max="16384" width="11.44140625" style="5"/>
  </cols>
  <sheetData>
    <row r="3" spans="1:1" x14ac:dyDescent="0.3">
      <c r="A3" s="6" t="s">
        <v>14</v>
      </c>
    </row>
    <row r="4" spans="1:1" x14ac:dyDescent="0.3">
      <c r="A4" s="6" t="s">
        <v>15</v>
      </c>
    </row>
    <row r="5" spans="1:1" x14ac:dyDescent="0.3">
      <c r="A5" s="6" t="s">
        <v>16</v>
      </c>
    </row>
    <row r="6" spans="1:1" x14ac:dyDescent="0.3">
      <c r="A6" s="6" t="s">
        <v>10</v>
      </c>
    </row>
    <row r="7" spans="1:1" x14ac:dyDescent="0.3">
      <c r="A7" s="6" t="s">
        <v>9</v>
      </c>
    </row>
    <row r="8" spans="1:1" x14ac:dyDescent="0.3">
      <c r="A8" s="6" t="s">
        <v>19</v>
      </c>
    </row>
    <row r="9" spans="1:1" x14ac:dyDescent="0.3">
      <c r="A9" s="6" t="s">
        <v>20</v>
      </c>
    </row>
    <row r="10" spans="1:1" x14ac:dyDescent="0.3">
      <c r="A10" s="6" t="s">
        <v>22</v>
      </c>
    </row>
    <row r="11" spans="1:1" x14ac:dyDescent="0.3">
      <c r="A11" s="6" t="s">
        <v>23</v>
      </c>
    </row>
    <row r="12" spans="1:1" x14ac:dyDescent="0.3">
      <c r="A12" s="6" t="s">
        <v>25</v>
      </c>
    </row>
    <row r="13" spans="1:1" x14ac:dyDescent="0.3">
      <c r="A13" s="6" t="s">
        <v>26</v>
      </c>
    </row>
    <row r="14" spans="1:1" x14ac:dyDescent="0.3">
      <c r="A14" s="6" t="s">
        <v>27</v>
      </c>
    </row>
    <row r="16" spans="1:1" x14ac:dyDescent="0.3">
      <c r="A16" s="6" t="s">
        <v>30</v>
      </c>
    </row>
    <row r="17" spans="1:1" x14ac:dyDescent="0.3">
      <c r="A17" s="6" t="s">
        <v>31</v>
      </c>
    </row>
    <row r="18" spans="1:1" x14ac:dyDescent="0.3">
      <c r="A18" s="6" t="s">
        <v>32</v>
      </c>
    </row>
    <row r="20" spans="1:1" x14ac:dyDescent="0.3">
      <c r="A20" s="6" t="s">
        <v>36</v>
      </c>
    </row>
    <row r="21" spans="1:1" x14ac:dyDescent="0.3">
      <c r="A21" s="6" t="s">
        <v>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Matriz Calor Residual</vt:lpstr>
      <vt:lpstr>Mapa final</vt:lpstr>
      <vt:lpstr>Matriz Calor Inherente</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lily johanna moreno gonzalez</cp:lastModifiedBy>
  <cp:lastPrinted>2024-06-11T20:11:51Z</cp:lastPrinted>
  <dcterms:created xsi:type="dcterms:W3CDTF">2020-03-24T23:12:47Z</dcterms:created>
  <dcterms:modified xsi:type="dcterms:W3CDTF">2025-01-31T05:37:46Z</dcterms:modified>
</cp:coreProperties>
</file>