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192.168.10.203\Owncloud\jrinconc\files\Copia 09-01-2025\eru\RIESGOS\INFORME\"/>
    </mc:Choice>
  </mc:AlternateContent>
  <bookViews>
    <workbookView xWindow="0" yWindow="0" windowWidth="12285" windowHeight="7995" tabRatio="882" activeTab="2"/>
  </bookViews>
  <sheets>
    <sheet name="Intructivo" sheetId="20" r:id="rId1"/>
    <sheet name="Matriz Calor Residual" sheetId="19" r:id="rId2"/>
    <sheet name="Mapa final" sheetId="1" r:id="rId3"/>
    <sheet name="Matriz Calor Inherente" sheetId="18" r:id="rId4"/>
    <sheet name="Tabla probabilidad" sheetId="12" r:id="rId5"/>
    <sheet name="Tabla Impacto" sheetId="13" r:id="rId6"/>
    <sheet name="Tabla Valoración controles" sheetId="15" r:id="rId7"/>
    <sheet name="Opciones Tratamiento" sheetId="16" state="hidden" r:id="rId8"/>
    <sheet name="Hoja1" sheetId="11" state="hidden" r:id="rId9"/>
  </sheets>
  <externalReferences>
    <externalReference r:id="rId10"/>
  </externalReferences>
  <definedNames>
    <definedName name="_xlnm._FilterDatabase" localSheetId="2" hidden="1">'Mapa final'!$A$6:$CP$139</definedName>
  </definedNames>
  <calcPr calcId="162913"/>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2" i="1" l="1"/>
  <c r="W62" i="1"/>
  <c r="AE62" i="1" l="1"/>
  <c r="AD62" i="1" s="1"/>
  <c r="W71" i="1" l="1"/>
  <c r="T71" i="1"/>
  <c r="AE71" i="1" s="1"/>
  <c r="AD71" i="1" s="1"/>
  <c r="K7" i="1"/>
  <c r="X214" i="19"/>
  <c r="U214" i="19"/>
  <c r="R214" i="19"/>
  <c r="O214" i="19"/>
  <c r="L214" i="19"/>
  <c r="X206" i="19"/>
  <c r="W206" i="19"/>
  <c r="U206" i="19"/>
  <c r="T206" i="19"/>
  <c r="R206" i="19"/>
  <c r="Q206" i="19"/>
  <c r="O206" i="19"/>
  <c r="N206" i="19"/>
  <c r="L206" i="19"/>
  <c r="K206" i="19"/>
  <c r="X202" i="19"/>
  <c r="W202" i="19"/>
  <c r="U202" i="19"/>
  <c r="T202" i="19"/>
  <c r="R202" i="19"/>
  <c r="Q202" i="19"/>
  <c r="O202" i="19"/>
  <c r="N202" i="19"/>
  <c r="L202" i="19"/>
  <c r="K202" i="19"/>
  <c r="X201" i="19"/>
  <c r="W201" i="19"/>
  <c r="U201" i="19"/>
  <c r="T201" i="19"/>
  <c r="R201" i="19"/>
  <c r="Q201" i="19"/>
  <c r="O201" i="19"/>
  <c r="N201" i="19"/>
  <c r="L201" i="19"/>
  <c r="K201" i="19"/>
  <c r="X200" i="19"/>
  <c r="W200" i="19"/>
  <c r="U200" i="19"/>
  <c r="T200" i="19"/>
  <c r="R200" i="19"/>
  <c r="Q200" i="19"/>
  <c r="O200" i="19"/>
  <c r="N200" i="19"/>
  <c r="L200" i="19"/>
  <c r="K200" i="19"/>
  <c r="X199" i="19"/>
  <c r="U199" i="19"/>
  <c r="R199" i="19"/>
  <c r="O199" i="19"/>
  <c r="L199" i="19"/>
  <c r="V190" i="19"/>
  <c r="S190" i="19"/>
  <c r="P190" i="19"/>
  <c r="M190" i="19"/>
  <c r="J190" i="19"/>
  <c r="X189" i="19"/>
  <c r="U189" i="19"/>
  <c r="R189" i="19"/>
  <c r="O189" i="19"/>
  <c r="L189" i="19"/>
  <c r="X171" i="19"/>
  <c r="U171" i="19"/>
  <c r="R171" i="19"/>
  <c r="O171" i="19"/>
  <c r="L171" i="19"/>
  <c r="X163" i="19"/>
  <c r="W163" i="19"/>
  <c r="U163" i="19"/>
  <c r="T163" i="19"/>
  <c r="R163" i="19"/>
  <c r="Q163" i="19"/>
  <c r="O163" i="19"/>
  <c r="N163" i="19"/>
  <c r="L163" i="19"/>
  <c r="K163" i="19"/>
  <c r="X159" i="19"/>
  <c r="W159" i="19"/>
  <c r="U159" i="19"/>
  <c r="T159" i="19"/>
  <c r="R159" i="19"/>
  <c r="Q159" i="19"/>
  <c r="O159" i="19"/>
  <c r="N159" i="19"/>
  <c r="L159" i="19"/>
  <c r="K159" i="19"/>
  <c r="X158" i="19"/>
  <c r="W158" i="19"/>
  <c r="U158" i="19"/>
  <c r="T158" i="19"/>
  <c r="R158" i="19"/>
  <c r="Q158" i="19"/>
  <c r="O158" i="19"/>
  <c r="N158" i="19"/>
  <c r="L158" i="19"/>
  <c r="K158" i="19"/>
  <c r="X157" i="19"/>
  <c r="W157" i="19"/>
  <c r="U157" i="19"/>
  <c r="T157" i="19"/>
  <c r="R157" i="19"/>
  <c r="Q157" i="19"/>
  <c r="O157" i="19"/>
  <c r="N157" i="19"/>
  <c r="L157" i="19"/>
  <c r="K157" i="19"/>
  <c r="X156" i="19"/>
  <c r="U156" i="19"/>
  <c r="R156" i="19"/>
  <c r="O156" i="19"/>
  <c r="L156" i="19"/>
  <c r="V147" i="19"/>
  <c r="S147" i="19"/>
  <c r="P147" i="19"/>
  <c r="M147" i="19"/>
  <c r="J147" i="19"/>
  <c r="X146" i="19"/>
  <c r="U146" i="19"/>
  <c r="R146" i="19"/>
  <c r="O146" i="19"/>
  <c r="L146" i="19"/>
  <c r="X128" i="19"/>
  <c r="U128" i="19"/>
  <c r="R128" i="19"/>
  <c r="O128" i="19"/>
  <c r="L128" i="19"/>
  <c r="X120" i="19"/>
  <c r="W120" i="19"/>
  <c r="U120" i="19"/>
  <c r="T120" i="19"/>
  <c r="R120" i="19"/>
  <c r="Q120" i="19"/>
  <c r="O120" i="19"/>
  <c r="N120" i="19"/>
  <c r="L120" i="19"/>
  <c r="K120" i="19"/>
  <c r="X116" i="19"/>
  <c r="W116" i="19"/>
  <c r="U116" i="19"/>
  <c r="T116" i="19"/>
  <c r="R116" i="19"/>
  <c r="Q116" i="19"/>
  <c r="O116" i="19"/>
  <c r="N116" i="19"/>
  <c r="L116" i="19"/>
  <c r="K116" i="19"/>
  <c r="X115" i="19"/>
  <c r="W115" i="19"/>
  <c r="U115" i="19"/>
  <c r="T115" i="19"/>
  <c r="R115" i="19"/>
  <c r="Q115" i="19"/>
  <c r="O115" i="19"/>
  <c r="N115" i="19"/>
  <c r="L115" i="19"/>
  <c r="K115" i="19"/>
  <c r="X114" i="19"/>
  <c r="W114" i="19"/>
  <c r="U114" i="19"/>
  <c r="T114" i="19"/>
  <c r="R114" i="19"/>
  <c r="Q114" i="19"/>
  <c r="O114" i="19"/>
  <c r="N114" i="19"/>
  <c r="L114" i="19"/>
  <c r="K114" i="19"/>
  <c r="X113" i="19"/>
  <c r="U113" i="19"/>
  <c r="R113" i="19"/>
  <c r="O113" i="19"/>
  <c r="L113" i="19"/>
  <c r="V104" i="19"/>
  <c r="S104" i="19"/>
  <c r="P104" i="19"/>
  <c r="M104" i="19"/>
  <c r="J104" i="19"/>
  <c r="X103" i="19"/>
  <c r="U103" i="19"/>
  <c r="R103" i="19"/>
  <c r="O103" i="19"/>
  <c r="L103" i="19"/>
  <c r="X85" i="19"/>
  <c r="U85" i="19"/>
  <c r="R85" i="19"/>
  <c r="O85" i="19"/>
  <c r="L85" i="19"/>
  <c r="X77" i="19"/>
  <c r="W77" i="19"/>
  <c r="U77" i="19"/>
  <c r="T77" i="19"/>
  <c r="R77" i="19"/>
  <c r="Q77" i="19"/>
  <c r="O77" i="19"/>
  <c r="N77" i="19"/>
  <c r="L77" i="19"/>
  <c r="K77" i="19"/>
  <c r="X73" i="19"/>
  <c r="W73" i="19"/>
  <c r="U73" i="19"/>
  <c r="T73" i="19"/>
  <c r="R73" i="19"/>
  <c r="Q73" i="19"/>
  <c r="O73" i="19"/>
  <c r="N73" i="19"/>
  <c r="L73" i="19"/>
  <c r="K73" i="19"/>
  <c r="X72" i="19"/>
  <c r="W72" i="19"/>
  <c r="U72" i="19"/>
  <c r="T72" i="19"/>
  <c r="R72" i="19"/>
  <c r="Q72" i="19"/>
  <c r="O72" i="19"/>
  <c r="N72" i="19"/>
  <c r="L72" i="19"/>
  <c r="K72" i="19"/>
  <c r="X71" i="19"/>
  <c r="W71" i="19"/>
  <c r="U71" i="19"/>
  <c r="T71" i="19"/>
  <c r="R71" i="19"/>
  <c r="Q71" i="19"/>
  <c r="O71" i="19"/>
  <c r="N71" i="19"/>
  <c r="L71" i="19"/>
  <c r="K71" i="19"/>
  <c r="X70" i="19"/>
  <c r="U70" i="19"/>
  <c r="R70" i="19"/>
  <c r="O70" i="19"/>
  <c r="L70" i="19"/>
  <c r="V61" i="19"/>
  <c r="S61" i="19"/>
  <c r="P61" i="19"/>
  <c r="M61" i="19"/>
  <c r="J61" i="19"/>
  <c r="X60" i="19"/>
  <c r="U60" i="19"/>
  <c r="R60" i="19"/>
  <c r="O60" i="19"/>
  <c r="L60" i="19"/>
  <c r="X42" i="19"/>
  <c r="X34" i="19"/>
  <c r="W34" i="19"/>
  <c r="X30" i="19"/>
  <c r="W30" i="19"/>
  <c r="X29" i="19"/>
  <c r="W29" i="19"/>
  <c r="X28" i="19"/>
  <c r="W28" i="19"/>
  <c r="X27" i="19"/>
  <c r="V18" i="19"/>
  <c r="X17" i="19"/>
  <c r="U42" i="19"/>
  <c r="U34" i="19"/>
  <c r="T34" i="19"/>
  <c r="U30" i="19"/>
  <c r="T30" i="19"/>
  <c r="U29" i="19"/>
  <c r="T29" i="19"/>
  <c r="U28" i="19"/>
  <c r="T28" i="19"/>
  <c r="U27" i="19"/>
  <c r="S18" i="19"/>
  <c r="U17" i="19"/>
  <c r="R42" i="19"/>
  <c r="R34" i="19"/>
  <c r="Q34" i="19"/>
  <c r="R30" i="19"/>
  <c r="Q30" i="19"/>
  <c r="R29" i="19"/>
  <c r="Q29" i="19"/>
  <c r="R28" i="19"/>
  <c r="Q28" i="19"/>
  <c r="R27" i="19"/>
  <c r="P18" i="19"/>
  <c r="R17" i="19"/>
  <c r="O42" i="19"/>
  <c r="O34" i="19"/>
  <c r="N34" i="19"/>
  <c r="O30" i="19"/>
  <c r="N30" i="19"/>
  <c r="O29" i="19"/>
  <c r="N29" i="19"/>
  <c r="O28" i="19"/>
  <c r="N28" i="19"/>
  <c r="O27" i="19"/>
  <c r="M18" i="19"/>
  <c r="O17" i="19"/>
  <c r="L42" i="19"/>
  <c r="L34" i="19"/>
  <c r="K34" i="19"/>
  <c r="L30" i="19"/>
  <c r="K30" i="19"/>
  <c r="L29" i="19"/>
  <c r="K29" i="19"/>
  <c r="L28" i="19"/>
  <c r="K28" i="19"/>
  <c r="L27" i="19"/>
  <c r="J18" i="19"/>
  <c r="L17" i="19"/>
  <c r="BF94" i="18"/>
  <c r="BD94" i="18"/>
  <c r="BF76" i="18"/>
  <c r="BD76" i="18"/>
  <c r="BF58" i="18"/>
  <c r="BD58" i="18"/>
  <c r="AV94" i="18"/>
  <c r="AT94" i="18"/>
  <c r="AV76" i="18"/>
  <c r="AT76" i="18"/>
  <c r="AV58" i="18"/>
  <c r="AT58" i="18"/>
  <c r="AL94" i="18"/>
  <c r="AJ94" i="18"/>
  <c r="AL76" i="18"/>
  <c r="AJ76" i="18"/>
  <c r="AL58" i="18"/>
  <c r="AJ58" i="18"/>
  <c r="AB94" i="18"/>
  <c r="Z94" i="18"/>
  <c r="AB76" i="18"/>
  <c r="Z76" i="18"/>
  <c r="AB58" i="18"/>
  <c r="Z58" i="18"/>
  <c r="AA71" i="1" l="1"/>
  <c r="AC71" i="1" s="1"/>
  <c r="AB71" i="1" l="1"/>
  <c r="AF71" i="1" s="1"/>
  <c r="K27" i="19"/>
  <c r="W156" i="19"/>
  <c r="N113" i="19"/>
  <c r="T27" i="19"/>
  <c r="T156" i="19"/>
  <c r="K113" i="19"/>
  <c r="Q27" i="19"/>
  <c r="BF40" i="18"/>
  <c r="BD40" i="18"/>
  <c r="AV40" i="18"/>
  <c r="AT40" i="18"/>
  <c r="AL40" i="18"/>
  <c r="AJ40" i="18"/>
  <c r="AB40" i="18"/>
  <c r="Z40" i="18"/>
  <c r="R94" i="18"/>
  <c r="P94" i="18"/>
  <c r="R76" i="18"/>
  <c r="P76" i="18"/>
  <c r="R58" i="18"/>
  <c r="P58" i="18"/>
  <c r="R40" i="18"/>
  <c r="P40" i="18"/>
  <c r="BF22" i="18"/>
  <c r="BD22" i="18"/>
  <c r="AV22" i="18"/>
  <c r="AT22" i="18"/>
  <c r="AL22" i="18"/>
  <c r="AJ22" i="18"/>
  <c r="AB22" i="18"/>
  <c r="Z22" i="18"/>
  <c r="W129" i="1"/>
  <c r="T129" i="1"/>
  <c r="AE129" i="1" s="1"/>
  <c r="AD129" i="1" s="1"/>
  <c r="W128" i="1"/>
  <c r="T128" i="1"/>
  <c r="AE128" i="1" s="1"/>
  <c r="AD128" i="1" s="1"/>
  <c r="W127" i="1"/>
  <c r="T127" i="1"/>
  <c r="K127" i="1"/>
  <c r="N156" i="19" l="1"/>
  <c r="N70" i="19"/>
  <c r="Q199" i="19"/>
  <c r="K156" i="19"/>
  <c r="Q113" i="19"/>
  <c r="W113" i="19"/>
  <c r="Q70" i="19"/>
  <c r="T199" i="19"/>
  <c r="W199" i="19"/>
  <c r="W27" i="19"/>
  <c r="K70" i="19"/>
  <c r="T113" i="19"/>
  <c r="Q156" i="19"/>
  <c r="T70" i="19"/>
  <c r="N27" i="19"/>
  <c r="N199" i="19"/>
  <c r="K199" i="19"/>
  <c r="W70" i="19"/>
  <c r="AA129" i="1"/>
  <c r="L127" i="1"/>
  <c r="AA127" i="1" s="1"/>
  <c r="AB127" i="1" l="1"/>
  <c r="AC127" i="1"/>
  <c r="AA128" i="1"/>
  <c r="AC129" i="1"/>
  <c r="AB129" i="1"/>
  <c r="AF129" i="1" l="1"/>
  <c r="R218" i="19"/>
  <c r="U218" i="19"/>
  <c r="X218" i="19"/>
  <c r="O218" i="19"/>
  <c r="L218" i="19"/>
  <c r="R175" i="19"/>
  <c r="U175" i="19"/>
  <c r="X175" i="19"/>
  <c r="L175" i="19"/>
  <c r="O175" i="19"/>
  <c r="U132" i="19"/>
  <c r="X132" i="19"/>
  <c r="L132" i="19"/>
  <c r="O132" i="19"/>
  <c r="O89" i="19"/>
  <c r="R89" i="19"/>
  <c r="U46" i="19"/>
  <c r="X89" i="19"/>
  <c r="L89" i="19"/>
  <c r="U89" i="19"/>
  <c r="X46" i="19"/>
  <c r="R46" i="19"/>
  <c r="L46" i="19"/>
  <c r="R132" i="19"/>
  <c r="O46" i="19"/>
  <c r="AB128" i="1"/>
  <c r="AC128" i="1"/>
  <c r="AF128" i="1" l="1"/>
  <c r="N218" i="19"/>
  <c r="Q218" i="19"/>
  <c r="K218" i="19"/>
  <c r="W218" i="19"/>
  <c r="N175" i="19"/>
  <c r="Q175" i="19"/>
  <c r="T175" i="19"/>
  <c r="T218" i="19"/>
  <c r="K175" i="19"/>
  <c r="Q132" i="19"/>
  <c r="W175" i="19"/>
  <c r="T132" i="19"/>
  <c r="W132" i="19"/>
  <c r="W89" i="19"/>
  <c r="K89" i="19"/>
  <c r="N132" i="19"/>
  <c r="N89" i="19"/>
  <c r="K132" i="19"/>
  <c r="Q89" i="19"/>
  <c r="T46" i="19"/>
  <c r="N46" i="19"/>
  <c r="T89" i="19"/>
  <c r="W46" i="19"/>
  <c r="Q46" i="19"/>
  <c r="K46" i="19"/>
  <c r="R22" i="18"/>
  <c r="P22" i="18"/>
  <c r="T116" i="1" l="1"/>
  <c r="AE116" i="1" s="1"/>
  <c r="AD116" i="1" s="1"/>
  <c r="W116" i="1" l="1"/>
  <c r="AA116" i="1" s="1"/>
  <c r="AC116" i="1" l="1"/>
  <c r="AB116" i="1"/>
  <c r="W65" i="1"/>
  <c r="T65" i="1"/>
  <c r="AE65" i="1" s="1"/>
  <c r="AD65" i="1" s="1"/>
  <c r="W64" i="1"/>
  <c r="T64" i="1"/>
  <c r="Q214" i="19" l="1"/>
  <c r="W214" i="19"/>
  <c r="K214" i="19"/>
  <c r="T214" i="19"/>
  <c r="N171" i="19"/>
  <c r="Q171" i="19"/>
  <c r="T171" i="19"/>
  <c r="K171" i="19"/>
  <c r="Q128" i="19"/>
  <c r="N214" i="19"/>
  <c r="W171" i="19"/>
  <c r="T128" i="19"/>
  <c r="N128" i="19"/>
  <c r="K128" i="19"/>
  <c r="T85" i="19"/>
  <c r="W85" i="19"/>
  <c r="K85" i="19"/>
  <c r="W42" i="19"/>
  <c r="N42" i="19"/>
  <c r="W128" i="19"/>
  <c r="N85" i="19"/>
  <c r="Q42" i="19"/>
  <c r="T42" i="19"/>
  <c r="K42" i="19"/>
  <c r="Q85" i="19"/>
  <c r="AF116" i="1"/>
  <c r="W105" i="1"/>
  <c r="T105" i="1"/>
  <c r="W104" i="1"/>
  <c r="T104" i="1"/>
  <c r="AE104" i="1" s="1"/>
  <c r="AD104" i="1" s="1"/>
  <c r="W103" i="1"/>
  <c r="T103" i="1"/>
  <c r="K103" i="1"/>
  <c r="L103" i="1" l="1"/>
  <c r="AA103" i="1" s="1"/>
  <c r="AA104" i="1" s="1"/>
  <c r="AE105" i="1"/>
  <c r="AD105" i="1" s="1"/>
  <c r="AC104" i="1" l="1"/>
  <c r="AB104" i="1"/>
  <c r="AA105" i="1"/>
  <c r="AC103" i="1"/>
  <c r="AB103" i="1"/>
  <c r="Q210" i="19" l="1"/>
  <c r="N210" i="19"/>
  <c r="W210" i="19"/>
  <c r="K210" i="19"/>
  <c r="T210" i="19"/>
  <c r="T167" i="19"/>
  <c r="W167" i="19"/>
  <c r="K167" i="19"/>
  <c r="N167" i="19"/>
  <c r="T124" i="19"/>
  <c r="Q124" i="19"/>
  <c r="K124" i="19"/>
  <c r="Q167" i="19"/>
  <c r="N124" i="19"/>
  <c r="W124" i="19"/>
  <c r="T81" i="19"/>
  <c r="W81" i="19"/>
  <c r="K81" i="19"/>
  <c r="N81" i="19"/>
  <c r="T38" i="19"/>
  <c r="N38" i="19"/>
  <c r="W38" i="19"/>
  <c r="K38" i="19"/>
  <c r="Q38" i="19"/>
  <c r="Q81" i="19"/>
  <c r="AF104" i="1"/>
  <c r="AC105" i="1"/>
  <c r="AB105" i="1"/>
  <c r="U210" i="19" l="1"/>
  <c r="X210" i="19"/>
  <c r="R210" i="19"/>
  <c r="L210" i="19"/>
  <c r="X167" i="19"/>
  <c r="L167" i="19"/>
  <c r="O167" i="19"/>
  <c r="O210" i="19"/>
  <c r="R167" i="19"/>
  <c r="X124" i="19"/>
  <c r="L124" i="19"/>
  <c r="U167" i="19"/>
  <c r="U124" i="19"/>
  <c r="O124" i="19"/>
  <c r="X81" i="19"/>
  <c r="L81" i="19"/>
  <c r="R124" i="19"/>
  <c r="O81" i="19"/>
  <c r="X38" i="19"/>
  <c r="U81" i="19"/>
  <c r="R38" i="19"/>
  <c r="L38" i="19"/>
  <c r="O38" i="19"/>
  <c r="R81" i="19"/>
  <c r="U38" i="19"/>
  <c r="AF105" i="1"/>
  <c r="W90" i="1"/>
  <c r="T90" i="1"/>
  <c r="AA90" i="1" s="1"/>
  <c r="W89" i="1"/>
  <c r="T89" i="1"/>
  <c r="AA89" i="1" s="1"/>
  <c r="AC89" i="1" s="1"/>
  <c r="AE89" i="1" l="1"/>
  <c r="AD89" i="1" s="1"/>
  <c r="AB90" i="1"/>
  <c r="AC90" i="1"/>
  <c r="AE90" i="1"/>
  <c r="AD90" i="1" s="1"/>
  <c r="AB89" i="1"/>
  <c r="W69" i="1"/>
  <c r="T69" i="1"/>
  <c r="AD68" i="1"/>
  <c r="W68" i="1"/>
  <c r="T68" i="1"/>
  <c r="W67" i="1"/>
  <c r="T67" i="1"/>
  <c r="K67" i="1"/>
  <c r="X205" i="19" l="1"/>
  <c r="L205" i="19"/>
  <c r="U205" i="19"/>
  <c r="O205" i="19"/>
  <c r="R205" i="19"/>
  <c r="O162" i="19"/>
  <c r="R162" i="19"/>
  <c r="U162" i="19"/>
  <c r="X119" i="19"/>
  <c r="L119" i="19"/>
  <c r="O119" i="19"/>
  <c r="L162" i="19"/>
  <c r="R119" i="19"/>
  <c r="X162" i="19"/>
  <c r="O76" i="19"/>
  <c r="R76" i="19"/>
  <c r="U119" i="19"/>
  <c r="U76" i="19"/>
  <c r="R33" i="19"/>
  <c r="L33" i="19"/>
  <c r="L76" i="19"/>
  <c r="X76" i="19"/>
  <c r="O33" i="19"/>
  <c r="U33" i="19"/>
  <c r="X33" i="19"/>
  <c r="T205" i="19"/>
  <c r="Q205" i="19"/>
  <c r="K205" i="19"/>
  <c r="N205" i="19"/>
  <c r="W205" i="19"/>
  <c r="W162" i="19"/>
  <c r="K162" i="19"/>
  <c r="N162" i="19"/>
  <c r="Q162" i="19"/>
  <c r="T162" i="19"/>
  <c r="T119" i="19"/>
  <c r="W119" i="19"/>
  <c r="K119" i="19"/>
  <c r="N119" i="19"/>
  <c r="W76" i="19"/>
  <c r="K76" i="19"/>
  <c r="N76" i="19"/>
  <c r="W33" i="19"/>
  <c r="Q119" i="19"/>
  <c r="T76" i="19"/>
  <c r="Q33" i="19"/>
  <c r="K33" i="19"/>
  <c r="Q76" i="19"/>
  <c r="N33" i="19"/>
  <c r="T33" i="19"/>
  <c r="L67" i="1"/>
  <c r="AA67" i="1" s="1"/>
  <c r="AA68" i="1" s="1"/>
  <c r="AA69" i="1" s="1"/>
  <c r="AF89" i="1"/>
  <c r="AF90" i="1"/>
  <c r="AE69" i="1"/>
  <c r="AD69" i="1" s="1"/>
  <c r="W102" i="1"/>
  <c r="W101" i="1"/>
  <c r="AB69" i="1" l="1"/>
  <c r="AC69" i="1"/>
  <c r="AC68" i="1"/>
  <c r="AB68" i="1"/>
  <c r="AC67" i="1"/>
  <c r="AB67" i="1"/>
  <c r="T198" i="19" l="1"/>
  <c r="W198" i="19"/>
  <c r="Q198" i="19"/>
  <c r="K198" i="19"/>
  <c r="W155" i="19"/>
  <c r="K155" i="19"/>
  <c r="N155" i="19"/>
  <c r="Q155" i="19"/>
  <c r="N198" i="19"/>
  <c r="T112" i="19"/>
  <c r="W112" i="19"/>
  <c r="K112" i="19"/>
  <c r="T155" i="19"/>
  <c r="N112" i="19"/>
  <c r="Q112" i="19"/>
  <c r="W69" i="19"/>
  <c r="K69" i="19"/>
  <c r="N69" i="19"/>
  <c r="W26" i="19"/>
  <c r="T69" i="19"/>
  <c r="Q26" i="19"/>
  <c r="K26" i="19"/>
  <c r="T26" i="19"/>
  <c r="Q69" i="19"/>
  <c r="N26" i="19"/>
  <c r="X198" i="19"/>
  <c r="L198" i="19"/>
  <c r="R198" i="19"/>
  <c r="U198" i="19"/>
  <c r="O198" i="19"/>
  <c r="O155" i="19"/>
  <c r="R155" i="19"/>
  <c r="U155" i="19"/>
  <c r="L155" i="19"/>
  <c r="X112" i="19"/>
  <c r="L112" i="19"/>
  <c r="X155" i="19"/>
  <c r="O112" i="19"/>
  <c r="R112" i="19"/>
  <c r="O69" i="19"/>
  <c r="R69" i="19"/>
  <c r="U69" i="19"/>
  <c r="R26" i="19"/>
  <c r="L26" i="19"/>
  <c r="U112" i="19"/>
  <c r="L69" i="19"/>
  <c r="X69" i="19"/>
  <c r="O26" i="19"/>
  <c r="X26" i="19"/>
  <c r="U26" i="19"/>
  <c r="AF68" i="1"/>
  <c r="AF69" i="1"/>
  <c r="W48" i="1"/>
  <c r="AA48" i="1" s="1"/>
  <c r="W47" i="1"/>
  <c r="AA47" i="1" s="1"/>
  <c r="W46" i="1"/>
  <c r="AA46" i="1" s="1"/>
  <c r="W45" i="1"/>
  <c r="T45" i="1"/>
  <c r="AA45" i="1" s="1"/>
  <c r="W44" i="1"/>
  <c r="T44" i="1"/>
  <c r="AE48" i="1"/>
  <c r="AD48" i="1" s="1"/>
  <c r="AE47" i="1"/>
  <c r="AD47" i="1" s="1"/>
  <c r="K44" i="1"/>
  <c r="T39" i="1"/>
  <c r="AA39" i="1" s="1"/>
  <c r="L44" i="1" l="1"/>
  <c r="AA44" i="1" s="1"/>
  <c r="AE45" i="1"/>
  <c r="AD45" i="1" s="1"/>
  <c r="AC46" i="1"/>
  <c r="AB46" i="1"/>
  <c r="AE46" i="1"/>
  <c r="AD46" i="1" s="1"/>
  <c r="AC45" i="1"/>
  <c r="AB45" i="1"/>
  <c r="AC48" i="1"/>
  <c r="AB48" i="1"/>
  <c r="AC39" i="1"/>
  <c r="AB39" i="1"/>
  <c r="AE39" i="1"/>
  <c r="AD39" i="1" s="1"/>
  <c r="R191" i="19" l="1"/>
  <c r="U191" i="19"/>
  <c r="X191" i="19"/>
  <c r="L191" i="19"/>
  <c r="O191" i="19"/>
  <c r="X148" i="19"/>
  <c r="L148" i="19"/>
  <c r="O148" i="19"/>
  <c r="R148" i="19"/>
  <c r="U148" i="19"/>
  <c r="U105" i="19"/>
  <c r="X105" i="19"/>
  <c r="L105" i="19"/>
  <c r="O105" i="19"/>
  <c r="X62" i="19"/>
  <c r="L62" i="19"/>
  <c r="O62" i="19"/>
  <c r="R105" i="19"/>
  <c r="U62" i="19"/>
  <c r="R19" i="19"/>
  <c r="L19" i="19"/>
  <c r="O19" i="19"/>
  <c r="U19" i="19"/>
  <c r="X19" i="19"/>
  <c r="R62" i="19"/>
  <c r="V191" i="19"/>
  <c r="J191" i="19"/>
  <c r="M191" i="19"/>
  <c r="P191" i="19"/>
  <c r="S191" i="19"/>
  <c r="P148" i="19"/>
  <c r="S148" i="19"/>
  <c r="V148" i="19"/>
  <c r="J148" i="19"/>
  <c r="M105" i="19"/>
  <c r="P105" i="19"/>
  <c r="M148" i="19"/>
  <c r="S105" i="19"/>
  <c r="J105" i="19"/>
  <c r="P62" i="19"/>
  <c r="V19" i="19"/>
  <c r="V105" i="19"/>
  <c r="S62" i="19"/>
  <c r="V62" i="19"/>
  <c r="M62" i="19"/>
  <c r="S19" i="19"/>
  <c r="M19" i="19"/>
  <c r="P19" i="19"/>
  <c r="J19" i="19"/>
  <c r="J62" i="19"/>
  <c r="O188" i="19"/>
  <c r="U188" i="19"/>
  <c r="L188" i="19"/>
  <c r="R188" i="19"/>
  <c r="X188" i="19"/>
  <c r="U145" i="19"/>
  <c r="X145" i="19"/>
  <c r="L145" i="19"/>
  <c r="O145" i="19"/>
  <c r="R145" i="19"/>
  <c r="R102" i="19"/>
  <c r="U102" i="19"/>
  <c r="X102" i="19"/>
  <c r="L102" i="19"/>
  <c r="U59" i="19"/>
  <c r="O102" i="19"/>
  <c r="X59" i="19"/>
  <c r="L59" i="19"/>
  <c r="U16" i="19"/>
  <c r="O16" i="19"/>
  <c r="O59" i="19"/>
  <c r="R59" i="19"/>
  <c r="R16" i="19"/>
  <c r="L16" i="19"/>
  <c r="X16" i="19"/>
  <c r="U190" i="19"/>
  <c r="X190" i="19"/>
  <c r="L190" i="19"/>
  <c r="O190" i="19"/>
  <c r="R190" i="19"/>
  <c r="O147" i="19"/>
  <c r="R147" i="19"/>
  <c r="U147" i="19"/>
  <c r="X104" i="19"/>
  <c r="L104" i="19"/>
  <c r="L147" i="19"/>
  <c r="O104" i="19"/>
  <c r="R104" i="19"/>
  <c r="O61" i="19"/>
  <c r="R61" i="19"/>
  <c r="X147" i="19"/>
  <c r="U104" i="19"/>
  <c r="R18" i="19"/>
  <c r="L18" i="19"/>
  <c r="U61" i="19"/>
  <c r="X18" i="19"/>
  <c r="L61" i="19"/>
  <c r="O18" i="19"/>
  <c r="X61" i="19"/>
  <c r="U18" i="19"/>
  <c r="AF48" i="1"/>
  <c r="AF45" i="1"/>
  <c r="AF46" i="1"/>
  <c r="AC47" i="1"/>
  <c r="AB47" i="1"/>
  <c r="AC44" i="1"/>
  <c r="AB44" i="1"/>
  <c r="AF39" i="1"/>
  <c r="N191" i="19" l="1"/>
  <c r="Q191" i="19"/>
  <c r="T191" i="19"/>
  <c r="W191" i="19"/>
  <c r="T148" i="19"/>
  <c r="K191" i="19"/>
  <c r="W148" i="19"/>
  <c r="K148" i="19"/>
  <c r="N148" i="19"/>
  <c r="Q105" i="19"/>
  <c r="Q148" i="19"/>
  <c r="T105" i="19"/>
  <c r="W105" i="19"/>
  <c r="K105" i="19"/>
  <c r="T62" i="19"/>
  <c r="W62" i="19"/>
  <c r="K62" i="19"/>
  <c r="N62" i="19"/>
  <c r="W19" i="19"/>
  <c r="T19" i="19"/>
  <c r="N19" i="19"/>
  <c r="N105" i="19"/>
  <c r="Q62" i="19"/>
  <c r="Q19" i="19"/>
  <c r="K19" i="19"/>
  <c r="AF47" i="1"/>
  <c r="W36" i="1"/>
  <c r="T36" i="1"/>
  <c r="AE36" i="1" s="1"/>
  <c r="AD36" i="1" s="1"/>
  <c r="W34" i="1"/>
  <c r="T34" i="1"/>
  <c r="K34" i="1"/>
  <c r="L34" i="1" l="1"/>
  <c r="AA34" i="1" s="1"/>
  <c r="AA36" i="1"/>
  <c r="AC36" i="1" l="1"/>
  <c r="AB36" i="1"/>
  <c r="A10" i="1"/>
  <c r="A13" i="1" s="1"/>
  <c r="W24" i="1"/>
  <c r="T24" i="1"/>
  <c r="AA24" i="1" s="1"/>
  <c r="W22" i="1"/>
  <c r="T22" i="1"/>
  <c r="K22" i="1"/>
  <c r="R187" i="19" l="1"/>
  <c r="X187" i="19"/>
  <c r="L187" i="19"/>
  <c r="U187" i="19"/>
  <c r="X144" i="19"/>
  <c r="L144" i="19"/>
  <c r="O144" i="19"/>
  <c r="R144" i="19"/>
  <c r="O187" i="19"/>
  <c r="U101" i="19"/>
  <c r="X101" i="19"/>
  <c r="L101" i="19"/>
  <c r="O101" i="19"/>
  <c r="R101" i="19"/>
  <c r="X58" i="19"/>
  <c r="L58" i="19"/>
  <c r="O58" i="19"/>
  <c r="U144" i="19"/>
  <c r="U58" i="19"/>
  <c r="R58" i="19"/>
  <c r="X15" i="19"/>
  <c r="R15" i="19"/>
  <c r="L15" i="19"/>
  <c r="O15" i="19"/>
  <c r="U15" i="19"/>
  <c r="N187" i="19"/>
  <c r="T187" i="19"/>
  <c r="K187" i="19"/>
  <c r="Q187" i="19"/>
  <c r="T144" i="19"/>
  <c r="W144" i="19"/>
  <c r="K144" i="19"/>
  <c r="W187" i="19"/>
  <c r="N144" i="19"/>
  <c r="Q144" i="19"/>
  <c r="Q101" i="19"/>
  <c r="T101" i="19"/>
  <c r="W101" i="19"/>
  <c r="K101" i="19"/>
  <c r="T58" i="19"/>
  <c r="N101" i="19"/>
  <c r="W58" i="19"/>
  <c r="K58" i="19"/>
  <c r="T15" i="19"/>
  <c r="N15" i="19"/>
  <c r="N58" i="19"/>
  <c r="W15" i="19"/>
  <c r="Q58" i="19"/>
  <c r="Q15" i="19"/>
  <c r="K15" i="19"/>
  <c r="L22" i="1"/>
  <c r="AA22" i="1" s="1"/>
  <c r="AF36" i="1"/>
  <c r="AE24" i="1"/>
  <c r="AD24" i="1" s="1"/>
  <c r="AB24" i="1"/>
  <c r="AC24" i="1"/>
  <c r="T183" i="19" l="1"/>
  <c r="W183" i="19"/>
  <c r="K183" i="19"/>
  <c r="N183" i="19"/>
  <c r="T140" i="19"/>
  <c r="Q183" i="19"/>
  <c r="W140" i="19"/>
  <c r="K140" i="19"/>
  <c r="N140" i="19"/>
  <c r="Q97" i="19"/>
  <c r="T97" i="19"/>
  <c r="W97" i="19"/>
  <c r="K97" i="19"/>
  <c r="N97" i="19"/>
  <c r="T54" i="19"/>
  <c r="W54" i="19"/>
  <c r="K54" i="19"/>
  <c r="Q140" i="19"/>
  <c r="Q54" i="19"/>
  <c r="T11" i="19"/>
  <c r="N11" i="19"/>
  <c r="N54" i="19"/>
  <c r="Q11" i="19"/>
  <c r="W11" i="19"/>
  <c r="K11" i="19"/>
  <c r="X183" i="19"/>
  <c r="L183" i="19"/>
  <c r="O183" i="19"/>
  <c r="R183" i="19"/>
  <c r="U183" i="19"/>
  <c r="X140" i="19"/>
  <c r="L140" i="19"/>
  <c r="O140" i="19"/>
  <c r="R140" i="19"/>
  <c r="U97" i="19"/>
  <c r="X97" i="19"/>
  <c r="L97" i="19"/>
  <c r="U140" i="19"/>
  <c r="O97" i="19"/>
  <c r="X54" i="19"/>
  <c r="L54" i="19"/>
  <c r="O54" i="19"/>
  <c r="R97" i="19"/>
  <c r="R11" i="19"/>
  <c r="L11" i="19"/>
  <c r="X11" i="19"/>
  <c r="U11" i="19"/>
  <c r="U54" i="19"/>
  <c r="R54" i="19"/>
  <c r="O11" i="19"/>
  <c r="AF24" i="1"/>
  <c r="AB22" i="1"/>
  <c r="AC22" i="1"/>
  <c r="A16" i="1" l="1"/>
  <c r="A19" i="1" s="1"/>
  <c r="A22" i="1" l="1"/>
  <c r="A25" i="1" s="1"/>
  <c r="A28" i="1" s="1"/>
  <c r="A31" i="1" s="1"/>
  <c r="A34" i="1" s="1"/>
  <c r="A37" i="1" s="1"/>
  <c r="A41" i="1" s="1"/>
  <c r="W98" i="1"/>
  <c r="T98" i="1"/>
  <c r="W7" i="1"/>
  <c r="T133" i="1"/>
  <c r="T130" i="1"/>
  <c r="A44" i="1" l="1"/>
  <c r="A49" i="1" s="1"/>
  <c r="AA98" i="1"/>
  <c r="K76" i="1"/>
  <c r="W76" i="1"/>
  <c r="T76" i="1"/>
  <c r="L76" i="1" l="1"/>
  <c r="AA76" i="1" s="1"/>
  <c r="K130" i="1"/>
  <c r="W130" i="1"/>
  <c r="T132" i="1"/>
  <c r="AA132" i="1" s="1"/>
  <c r="W132" i="1"/>
  <c r="K133" i="1"/>
  <c r="W133" i="1"/>
  <c r="T135" i="1"/>
  <c r="AA135" i="1" s="1"/>
  <c r="AC135" i="1" s="1"/>
  <c r="W135" i="1"/>
  <c r="K136" i="1"/>
  <c r="T136" i="1"/>
  <c r="AA136" i="1" s="1"/>
  <c r="W136" i="1"/>
  <c r="T137" i="1"/>
  <c r="AA137" i="1" s="1"/>
  <c r="W137" i="1"/>
  <c r="T138" i="1"/>
  <c r="AA138" i="1" s="1"/>
  <c r="W138" i="1"/>
  <c r="AE135" i="1" l="1"/>
  <c r="AD135" i="1" s="1"/>
  <c r="AB135" i="1"/>
  <c r="AC76" i="1"/>
  <c r="AB76" i="1"/>
  <c r="L130" i="1"/>
  <c r="AA130" i="1" s="1"/>
  <c r="L136" i="1"/>
  <c r="L133" i="1"/>
  <c r="AA133" i="1" s="1"/>
  <c r="AB137" i="1"/>
  <c r="AC137" i="1"/>
  <c r="AB132" i="1"/>
  <c r="AC132" i="1"/>
  <c r="AB138" i="1"/>
  <c r="AC138" i="1"/>
  <c r="AB136" i="1"/>
  <c r="AC136" i="1"/>
  <c r="AE138" i="1"/>
  <c r="AD138" i="1" s="1"/>
  <c r="AE137" i="1"/>
  <c r="AD137" i="1" s="1"/>
  <c r="AE136" i="1"/>
  <c r="AD136" i="1" s="1"/>
  <c r="AE132" i="1"/>
  <c r="AD132" i="1" s="1"/>
  <c r="O219" i="19" l="1"/>
  <c r="R219" i="19"/>
  <c r="L219" i="19"/>
  <c r="X219" i="19"/>
  <c r="O176" i="19"/>
  <c r="U219" i="19"/>
  <c r="R176" i="19"/>
  <c r="U176" i="19"/>
  <c r="L176" i="19"/>
  <c r="R133" i="19"/>
  <c r="X176" i="19"/>
  <c r="U133" i="19"/>
  <c r="X133" i="19"/>
  <c r="X90" i="19"/>
  <c r="L90" i="19"/>
  <c r="O133" i="19"/>
  <c r="O90" i="19"/>
  <c r="L133" i="19"/>
  <c r="R90" i="19"/>
  <c r="X47" i="19"/>
  <c r="O47" i="19"/>
  <c r="U47" i="19"/>
  <c r="L47" i="19"/>
  <c r="U90" i="19"/>
  <c r="R47" i="19"/>
  <c r="W219" i="19"/>
  <c r="K219" i="19"/>
  <c r="N219" i="19"/>
  <c r="T219" i="19"/>
  <c r="Q219" i="19"/>
  <c r="W176" i="19"/>
  <c r="K176" i="19"/>
  <c r="N176" i="19"/>
  <c r="Q176" i="19"/>
  <c r="N133" i="19"/>
  <c r="Q133" i="19"/>
  <c r="T176" i="19"/>
  <c r="T90" i="19"/>
  <c r="W133" i="19"/>
  <c r="W90" i="19"/>
  <c r="K90" i="19"/>
  <c r="T133" i="19"/>
  <c r="W47" i="19"/>
  <c r="Q90" i="19"/>
  <c r="K133" i="19"/>
  <c r="N90" i="19"/>
  <c r="N47" i="19"/>
  <c r="Q47" i="19"/>
  <c r="T47" i="19"/>
  <c r="K47" i="19"/>
  <c r="T220" i="19"/>
  <c r="W220" i="19"/>
  <c r="K220" i="19"/>
  <c r="Q220" i="19"/>
  <c r="N220" i="19"/>
  <c r="T177" i="19"/>
  <c r="W177" i="19"/>
  <c r="K177" i="19"/>
  <c r="N177" i="19"/>
  <c r="Q177" i="19"/>
  <c r="W134" i="19"/>
  <c r="K134" i="19"/>
  <c r="N134" i="19"/>
  <c r="Q134" i="19"/>
  <c r="Q91" i="19"/>
  <c r="T91" i="19"/>
  <c r="K91" i="19"/>
  <c r="W48" i="19"/>
  <c r="W91" i="19"/>
  <c r="T48" i="19"/>
  <c r="Q48" i="19"/>
  <c r="K48" i="19"/>
  <c r="N91" i="19"/>
  <c r="T134" i="19"/>
  <c r="N48" i="19"/>
  <c r="X220" i="19"/>
  <c r="L220" i="19"/>
  <c r="O220" i="19"/>
  <c r="U220" i="19"/>
  <c r="R220" i="19"/>
  <c r="X177" i="19"/>
  <c r="L177" i="19"/>
  <c r="O177" i="19"/>
  <c r="R177" i="19"/>
  <c r="O134" i="19"/>
  <c r="R134" i="19"/>
  <c r="U91" i="19"/>
  <c r="X134" i="19"/>
  <c r="X91" i="19"/>
  <c r="L91" i="19"/>
  <c r="U134" i="19"/>
  <c r="L134" i="19"/>
  <c r="X48" i="19"/>
  <c r="U177" i="19"/>
  <c r="R91" i="19"/>
  <c r="O91" i="19"/>
  <c r="O48" i="19"/>
  <c r="L48" i="19"/>
  <c r="R48" i="19"/>
  <c r="U48" i="19"/>
  <c r="AB133" i="1"/>
  <c r="AC133" i="1"/>
  <c r="AB130" i="1"/>
  <c r="AC130" i="1"/>
  <c r="AF135" i="1"/>
  <c r="AF138" i="1"/>
  <c r="AF136" i="1"/>
  <c r="AF132" i="1"/>
  <c r="AF137" i="1"/>
  <c r="F221" i="13" l="1"/>
  <c r="F220" i="13"/>
  <c r="F219" i="13"/>
  <c r="F218" i="13"/>
  <c r="F217" i="13"/>
  <c r="F216" i="13"/>
  <c r="F215" i="13"/>
  <c r="F214" i="13"/>
  <c r="F213" i="13"/>
  <c r="F212" i="13"/>
  <c r="F211" i="13"/>
  <c r="F210" i="13"/>
  <c r="K91" i="1" l="1"/>
  <c r="L91" i="1" l="1"/>
  <c r="T33" i="1" l="1"/>
  <c r="AE33" i="1" s="1"/>
  <c r="AD33" i="1" s="1"/>
  <c r="T18" i="1" l="1"/>
  <c r="AE18" i="1" s="1"/>
  <c r="AD18" i="1" s="1"/>
  <c r="T17" i="1"/>
  <c r="AE17" i="1" s="1"/>
  <c r="AD17" i="1" s="1"/>
  <c r="W126" i="1" l="1"/>
  <c r="T126" i="1"/>
  <c r="AE126" i="1" s="1"/>
  <c r="W125" i="1"/>
  <c r="T125" i="1"/>
  <c r="AE125" i="1" s="1"/>
  <c r="W124" i="1"/>
  <c r="T124" i="1"/>
  <c r="K124" i="1"/>
  <c r="T123" i="1"/>
  <c r="W122" i="1"/>
  <c r="T122" i="1"/>
  <c r="AE122" i="1" s="1"/>
  <c r="W121" i="1"/>
  <c r="T121" i="1"/>
  <c r="K121" i="1"/>
  <c r="T120" i="1"/>
  <c r="W119" i="1"/>
  <c r="T119" i="1"/>
  <c r="AE119" i="1" s="1"/>
  <c r="W118" i="1"/>
  <c r="T118" i="1"/>
  <c r="K118" i="1"/>
  <c r="T114" i="1"/>
  <c r="W113" i="1"/>
  <c r="T113" i="1"/>
  <c r="W112" i="1"/>
  <c r="T112" i="1"/>
  <c r="K112" i="1"/>
  <c r="K109" i="1"/>
  <c r="K106" i="1"/>
  <c r="K115" i="1"/>
  <c r="K100" i="1"/>
  <c r="K97" i="1"/>
  <c r="K94" i="1"/>
  <c r="K88" i="1"/>
  <c r="K85" i="1"/>
  <c r="K82" i="1"/>
  <c r="K79" i="1"/>
  <c r="K73" i="1"/>
  <c r="K70" i="1"/>
  <c r="K64" i="1"/>
  <c r="K61" i="1"/>
  <c r="K58" i="1"/>
  <c r="K55" i="1"/>
  <c r="K52" i="1"/>
  <c r="K49" i="1"/>
  <c r="K41" i="1"/>
  <c r="K37" i="1"/>
  <c r="K31" i="1"/>
  <c r="K28" i="1"/>
  <c r="K25" i="1"/>
  <c r="K19" i="1"/>
  <c r="K16" i="1"/>
  <c r="K13" i="1"/>
  <c r="K10" i="1"/>
  <c r="T111" i="1"/>
  <c r="W110" i="1"/>
  <c r="T110" i="1"/>
  <c r="T108" i="1"/>
  <c r="W107" i="1"/>
  <c r="T107" i="1"/>
  <c r="W106" i="1"/>
  <c r="T106" i="1"/>
  <c r="T102" i="1"/>
  <c r="AE102" i="1" s="1"/>
  <c r="T101" i="1"/>
  <c r="AE101" i="1" s="1"/>
  <c r="T99" i="1"/>
  <c r="W100" i="1"/>
  <c r="T100" i="1"/>
  <c r="T96" i="1"/>
  <c r="T95" i="1"/>
  <c r="W94" i="1"/>
  <c r="T94" i="1"/>
  <c r="W91" i="1"/>
  <c r="T91" i="1"/>
  <c r="W87" i="1"/>
  <c r="T87" i="1"/>
  <c r="W86" i="1"/>
  <c r="T86" i="1"/>
  <c r="AE86" i="1" s="1"/>
  <c r="T84" i="1"/>
  <c r="W82" i="1"/>
  <c r="T82" i="1"/>
  <c r="T83" i="1"/>
  <c r="W79" i="1"/>
  <c r="T79" i="1"/>
  <c r="T72" i="1"/>
  <c r="T66" i="1"/>
  <c r="AE66" i="1" s="1"/>
  <c r="AD66" i="1" s="1"/>
  <c r="T63" i="1"/>
  <c r="AE63" i="1" s="1"/>
  <c r="AD63" i="1" s="1"/>
  <c r="T60" i="1"/>
  <c r="T59" i="1"/>
  <c r="T57" i="1"/>
  <c r="AE57" i="1" s="1"/>
  <c r="AD57" i="1" s="1"/>
  <c r="W58" i="1"/>
  <c r="T58" i="1"/>
  <c r="T56" i="1"/>
  <c r="T54" i="1"/>
  <c r="AE54" i="1" s="1"/>
  <c r="AD54" i="1" s="1"/>
  <c r="T53" i="1"/>
  <c r="T51" i="1"/>
  <c r="AE51" i="1" s="1"/>
  <c r="AD51" i="1" s="1"/>
  <c r="W50" i="1"/>
  <c r="T50" i="1"/>
  <c r="AE50" i="1" s="1"/>
  <c r="W52" i="1"/>
  <c r="T52" i="1"/>
  <c r="W49" i="1"/>
  <c r="T49" i="1"/>
  <c r="T43" i="1"/>
  <c r="T42" i="1"/>
  <c r="W41" i="1"/>
  <c r="T41" i="1"/>
  <c r="T40" i="1"/>
  <c r="T38" i="1"/>
  <c r="W37" i="1"/>
  <c r="T37" i="1"/>
  <c r="W33" i="1"/>
  <c r="W32" i="1"/>
  <c r="T32" i="1"/>
  <c r="AE32" i="1" s="1"/>
  <c r="AD32" i="1" s="1"/>
  <c r="W31" i="1"/>
  <c r="T31" i="1"/>
  <c r="T30" i="1"/>
  <c r="AE30" i="1" s="1"/>
  <c r="AD30" i="1" s="1"/>
  <c r="W29" i="1"/>
  <c r="T29" i="1"/>
  <c r="AE29" i="1" s="1"/>
  <c r="W28" i="1"/>
  <c r="T28" i="1"/>
  <c r="T27" i="1"/>
  <c r="AE27" i="1" s="1"/>
  <c r="AD27" i="1" s="1"/>
  <c r="W25" i="1"/>
  <c r="T25" i="1"/>
  <c r="W21" i="1"/>
  <c r="T21" i="1"/>
  <c r="AE21" i="1" s="1"/>
  <c r="AD21" i="1" s="1"/>
  <c r="AA38" i="1" l="1"/>
  <c r="AE38" i="1"/>
  <c r="AD38" i="1" s="1"/>
  <c r="AE40" i="1"/>
  <c r="AD40" i="1" s="1"/>
  <c r="AA40" i="1"/>
  <c r="AE87" i="1"/>
  <c r="AD87" i="1" s="1"/>
  <c r="AD86" i="1"/>
  <c r="AE95" i="1"/>
  <c r="AD95" i="1" s="1"/>
  <c r="AE99" i="1"/>
  <c r="AD99" i="1" s="1"/>
  <c r="AA99" i="1"/>
  <c r="AE120" i="1"/>
  <c r="AD120" i="1" s="1"/>
  <c r="AD125" i="1"/>
  <c r="AD29" i="1"/>
  <c r="AE53" i="1"/>
  <c r="AD53" i="1" s="1"/>
  <c r="AE56" i="1"/>
  <c r="AD56" i="1" s="1"/>
  <c r="AE60" i="1"/>
  <c r="AD60" i="1" s="1"/>
  <c r="AE83" i="1"/>
  <c r="AD83" i="1" s="1"/>
  <c r="AE84" i="1"/>
  <c r="AD84" i="1" s="1"/>
  <c r="AE96" i="1"/>
  <c r="AD96" i="1" s="1"/>
  <c r="AD101" i="1"/>
  <c r="AD107" i="1"/>
  <c r="AD110" i="1"/>
  <c r="AE114" i="1"/>
  <c r="AD114" i="1" s="1"/>
  <c r="AD122" i="1"/>
  <c r="AE59" i="1"/>
  <c r="AD59" i="1" s="1"/>
  <c r="AD102" i="1"/>
  <c r="AE108" i="1"/>
  <c r="AD108" i="1" s="1"/>
  <c r="AE111" i="1"/>
  <c r="AD111" i="1" s="1"/>
  <c r="AD113" i="1"/>
  <c r="AE123" i="1"/>
  <c r="AD123" i="1" s="1"/>
  <c r="AD119" i="1"/>
  <c r="AD126" i="1"/>
  <c r="AE98" i="1"/>
  <c r="AD98" i="1" s="1"/>
  <c r="AD50" i="1"/>
  <c r="L124" i="1"/>
  <c r="AA124" i="1" s="1"/>
  <c r="AA125" i="1" s="1"/>
  <c r="AA126" i="1" s="1"/>
  <c r="L121" i="1"/>
  <c r="AA121" i="1" s="1"/>
  <c r="AA122" i="1" s="1"/>
  <c r="AA123" i="1" s="1"/>
  <c r="L118" i="1"/>
  <c r="AA118" i="1" s="1"/>
  <c r="AA119" i="1" s="1"/>
  <c r="AA120" i="1" s="1"/>
  <c r="L112" i="1"/>
  <c r="AA112" i="1" s="1"/>
  <c r="AA113" i="1" s="1"/>
  <c r="AA114" i="1" s="1"/>
  <c r="L109" i="1"/>
  <c r="L106" i="1"/>
  <c r="AA106" i="1" s="1"/>
  <c r="AA107" i="1" s="1"/>
  <c r="AA108" i="1" s="1"/>
  <c r="L115" i="1"/>
  <c r="L100" i="1"/>
  <c r="AA101" i="1" s="1"/>
  <c r="AA102" i="1" s="1"/>
  <c r="L97" i="1"/>
  <c r="L94" i="1"/>
  <c r="L88" i="1"/>
  <c r="L85" i="1"/>
  <c r="L82" i="1"/>
  <c r="AA82" i="1" s="1"/>
  <c r="AA83" i="1" s="1"/>
  <c r="AA84" i="1" s="1"/>
  <c r="L79" i="1"/>
  <c r="AA79" i="1" s="1"/>
  <c r="L73" i="1"/>
  <c r="L70" i="1"/>
  <c r="L64" i="1"/>
  <c r="AA64" i="1" s="1"/>
  <c r="L61" i="1"/>
  <c r="L58" i="1"/>
  <c r="AA58" i="1" s="1"/>
  <c r="AA59" i="1" s="1"/>
  <c r="AA60" i="1" s="1"/>
  <c r="L55" i="1"/>
  <c r="L52" i="1"/>
  <c r="AA52" i="1" s="1"/>
  <c r="AA53" i="1" s="1"/>
  <c r="AA54" i="1" s="1"/>
  <c r="L49" i="1"/>
  <c r="AA49" i="1" s="1"/>
  <c r="AA50" i="1" s="1"/>
  <c r="AA51" i="1" s="1"/>
  <c r="L41" i="1"/>
  <c r="AA41" i="1" s="1"/>
  <c r="L37" i="1"/>
  <c r="AA37" i="1" s="1"/>
  <c r="L31" i="1"/>
  <c r="AA32" i="1" s="1"/>
  <c r="AA33" i="1" s="1"/>
  <c r="L28" i="1"/>
  <c r="AA29" i="1" s="1"/>
  <c r="AA30" i="1" s="1"/>
  <c r="L25" i="1"/>
  <c r="AA25" i="1" s="1"/>
  <c r="AA27" i="1" s="1"/>
  <c r="L19" i="1"/>
  <c r="L16" i="1"/>
  <c r="L13" i="1"/>
  <c r="L10" i="1"/>
  <c r="T16" i="1"/>
  <c r="W16" i="1"/>
  <c r="T19" i="1"/>
  <c r="W19" i="1"/>
  <c r="T55" i="1"/>
  <c r="W55" i="1"/>
  <c r="T61" i="1"/>
  <c r="W61" i="1"/>
  <c r="T70" i="1"/>
  <c r="W70" i="1"/>
  <c r="T73" i="1"/>
  <c r="W73" i="1"/>
  <c r="T85" i="1"/>
  <c r="W85" i="1"/>
  <c r="T88" i="1"/>
  <c r="W88" i="1"/>
  <c r="T97" i="1"/>
  <c r="W97" i="1"/>
  <c r="T115" i="1"/>
  <c r="W115" i="1"/>
  <c r="T109" i="1"/>
  <c r="W109" i="1"/>
  <c r="T14" i="1"/>
  <c r="T15" i="1"/>
  <c r="T11" i="1"/>
  <c r="T12" i="1"/>
  <c r="AA65" i="1" l="1"/>
  <c r="AC64" i="1"/>
  <c r="AB64" i="1"/>
  <c r="AC38" i="1"/>
  <c r="AB38" i="1"/>
  <c r="AA31" i="1"/>
  <c r="AB31" i="1" s="1"/>
  <c r="AA100" i="1"/>
  <c r="AC100" i="1" s="1"/>
  <c r="AB34" i="1"/>
  <c r="AC34" i="1"/>
  <c r="AA19" i="1"/>
  <c r="AA28" i="1"/>
  <c r="AB28" i="1" s="1"/>
  <c r="AA88" i="1"/>
  <c r="AA91" i="1" s="1"/>
  <c r="AA94" i="1" s="1"/>
  <c r="AB94" i="1" s="1"/>
  <c r="AA97" i="1"/>
  <c r="AB125" i="1"/>
  <c r="AC125" i="1"/>
  <c r="AB124" i="1"/>
  <c r="AC124" i="1"/>
  <c r="AB126" i="1"/>
  <c r="AC126" i="1"/>
  <c r="AB121" i="1"/>
  <c r="AC121" i="1"/>
  <c r="AB122" i="1"/>
  <c r="AC122" i="1"/>
  <c r="AB123" i="1"/>
  <c r="AC123" i="1"/>
  <c r="AB118" i="1"/>
  <c r="AC118" i="1"/>
  <c r="AB119" i="1"/>
  <c r="AC119" i="1"/>
  <c r="AB120" i="1"/>
  <c r="AC120" i="1"/>
  <c r="AB112" i="1"/>
  <c r="AC112" i="1"/>
  <c r="AB113" i="1"/>
  <c r="AC113" i="1"/>
  <c r="AB114" i="1"/>
  <c r="AC114" i="1"/>
  <c r="AB108" i="1"/>
  <c r="AC108" i="1"/>
  <c r="AB107" i="1"/>
  <c r="AC107" i="1"/>
  <c r="AB106" i="1"/>
  <c r="AC106" i="1"/>
  <c r="AB102" i="1"/>
  <c r="AC102" i="1"/>
  <c r="AB101" i="1"/>
  <c r="AC101" i="1"/>
  <c r="AB99" i="1"/>
  <c r="AC99" i="1"/>
  <c r="AB98" i="1"/>
  <c r="AC98" i="1"/>
  <c r="AB84" i="1"/>
  <c r="AC84" i="1"/>
  <c r="AB82" i="1"/>
  <c r="AC82" i="1"/>
  <c r="AB83" i="1"/>
  <c r="AC83" i="1"/>
  <c r="AB79" i="1"/>
  <c r="AC79" i="1"/>
  <c r="AB60" i="1"/>
  <c r="AC60" i="1"/>
  <c r="AB59" i="1"/>
  <c r="AC59" i="1"/>
  <c r="AB58" i="1"/>
  <c r="AC58" i="1"/>
  <c r="AB54" i="1"/>
  <c r="AC54" i="1"/>
  <c r="AB53" i="1"/>
  <c r="AC53" i="1"/>
  <c r="AB51" i="1"/>
  <c r="AC51" i="1"/>
  <c r="AB50" i="1"/>
  <c r="AC50" i="1"/>
  <c r="AB52" i="1"/>
  <c r="AC52" i="1"/>
  <c r="AB49" i="1"/>
  <c r="AC49" i="1"/>
  <c r="AB41" i="1"/>
  <c r="AC41" i="1"/>
  <c r="AB40" i="1"/>
  <c r="AC40" i="1"/>
  <c r="AB37" i="1"/>
  <c r="AC37" i="1"/>
  <c r="AB33" i="1"/>
  <c r="AC33" i="1"/>
  <c r="AB32" i="1"/>
  <c r="AC32" i="1"/>
  <c r="AB30" i="1"/>
  <c r="AC30" i="1"/>
  <c r="AB29" i="1"/>
  <c r="AC29" i="1"/>
  <c r="AB27" i="1"/>
  <c r="AC27" i="1"/>
  <c r="AB25" i="1"/>
  <c r="AC25" i="1"/>
  <c r="T8" i="1"/>
  <c r="W8" i="1"/>
  <c r="T9" i="1"/>
  <c r="T7" i="1"/>
  <c r="T10" i="1"/>
  <c r="T13" i="1"/>
  <c r="U184" i="19" l="1"/>
  <c r="X184" i="19"/>
  <c r="L184" i="19"/>
  <c r="O184" i="19"/>
  <c r="U141" i="19"/>
  <c r="R184" i="19"/>
  <c r="X141" i="19"/>
  <c r="L141" i="19"/>
  <c r="O141" i="19"/>
  <c r="R98" i="19"/>
  <c r="U98" i="19"/>
  <c r="X98" i="19"/>
  <c r="L98" i="19"/>
  <c r="O98" i="19"/>
  <c r="U55" i="19"/>
  <c r="R141" i="19"/>
  <c r="X55" i="19"/>
  <c r="L55" i="19"/>
  <c r="R55" i="19"/>
  <c r="X12" i="19"/>
  <c r="U12" i="19"/>
  <c r="O12" i="19"/>
  <c r="O55" i="19"/>
  <c r="R12" i="19"/>
  <c r="L12" i="19"/>
  <c r="O186" i="19"/>
  <c r="R186" i="19"/>
  <c r="U186" i="19"/>
  <c r="X186" i="19"/>
  <c r="O143" i="19"/>
  <c r="R143" i="19"/>
  <c r="U143" i="19"/>
  <c r="X100" i="19"/>
  <c r="L100" i="19"/>
  <c r="L186" i="19"/>
  <c r="L143" i="19"/>
  <c r="O100" i="19"/>
  <c r="X143" i="19"/>
  <c r="R100" i="19"/>
  <c r="O57" i="19"/>
  <c r="R57" i="19"/>
  <c r="L57" i="19"/>
  <c r="R14" i="19"/>
  <c r="L14" i="19"/>
  <c r="U100" i="19"/>
  <c r="X57" i="19"/>
  <c r="X14" i="19"/>
  <c r="O14" i="19"/>
  <c r="U57" i="19"/>
  <c r="U14" i="19"/>
  <c r="W192" i="19"/>
  <c r="K192" i="19"/>
  <c r="N192" i="19"/>
  <c r="Q192" i="19"/>
  <c r="T192" i="19"/>
  <c r="Q149" i="19"/>
  <c r="T149" i="19"/>
  <c r="W149" i="19"/>
  <c r="K149" i="19"/>
  <c r="N106" i="19"/>
  <c r="Q106" i="19"/>
  <c r="N149" i="19"/>
  <c r="T106" i="19"/>
  <c r="K106" i="19"/>
  <c r="Q63" i="19"/>
  <c r="W20" i="19"/>
  <c r="W106" i="19"/>
  <c r="T63" i="19"/>
  <c r="W63" i="19"/>
  <c r="N63" i="19"/>
  <c r="T20" i="19"/>
  <c r="N20" i="19"/>
  <c r="K20" i="19"/>
  <c r="K63" i="19"/>
  <c r="Q20" i="19"/>
  <c r="U195" i="19"/>
  <c r="O195" i="19"/>
  <c r="X195" i="19"/>
  <c r="R195" i="19"/>
  <c r="L195" i="19"/>
  <c r="X152" i="19"/>
  <c r="L152" i="19"/>
  <c r="O152" i="19"/>
  <c r="R152" i="19"/>
  <c r="U109" i="19"/>
  <c r="U152" i="19"/>
  <c r="X109" i="19"/>
  <c r="L109" i="19"/>
  <c r="O109" i="19"/>
  <c r="X66" i="19"/>
  <c r="L66" i="19"/>
  <c r="O66" i="19"/>
  <c r="R66" i="19"/>
  <c r="R109" i="19"/>
  <c r="R23" i="19"/>
  <c r="L23" i="19"/>
  <c r="U66" i="19"/>
  <c r="U23" i="19"/>
  <c r="X23" i="19"/>
  <c r="O23" i="19"/>
  <c r="O208" i="19"/>
  <c r="L208" i="19"/>
  <c r="U208" i="19"/>
  <c r="R208" i="19"/>
  <c r="R165" i="19"/>
  <c r="U165" i="19"/>
  <c r="X165" i="19"/>
  <c r="L165" i="19"/>
  <c r="O122" i="19"/>
  <c r="X208" i="19"/>
  <c r="R122" i="19"/>
  <c r="O165" i="19"/>
  <c r="U122" i="19"/>
  <c r="R79" i="19"/>
  <c r="X36" i="19"/>
  <c r="L122" i="19"/>
  <c r="U79" i="19"/>
  <c r="X122" i="19"/>
  <c r="L79" i="19"/>
  <c r="U36" i="19"/>
  <c r="O36" i="19"/>
  <c r="X79" i="19"/>
  <c r="R36" i="19"/>
  <c r="O79" i="19"/>
  <c r="L36" i="19"/>
  <c r="P189" i="19"/>
  <c r="S189" i="19"/>
  <c r="V189" i="19"/>
  <c r="J189" i="19"/>
  <c r="M189" i="19"/>
  <c r="V146" i="19"/>
  <c r="J146" i="19"/>
  <c r="M146" i="19"/>
  <c r="P146" i="19"/>
  <c r="S103" i="19"/>
  <c r="V103" i="19"/>
  <c r="J103" i="19"/>
  <c r="S146" i="19"/>
  <c r="M103" i="19"/>
  <c r="P103" i="19"/>
  <c r="V60" i="19"/>
  <c r="J60" i="19"/>
  <c r="M60" i="19"/>
  <c r="S60" i="19"/>
  <c r="P17" i="19"/>
  <c r="J17" i="19"/>
  <c r="S17" i="19"/>
  <c r="P60" i="19"/>
  <c r="V17" i="19"/>
  <c r="M17" i="19"/>
  <c r="T193" i="19"/>
  <c r="W193" i="19"/>
  <c r="K193" i="19"/>
  <c r="N193" i="19"/>
  <c r="Q193" i="19"/>
  <c r="N150" i="19"/>
  <c r="Q150" i="19"/>
  <c r="T150" i="19"/>
  <c r="W150" i="19"/>
  <c r="W107" i="19"/>
  <c r="K107" i="19"/>
  <c r="N107" i="19"/>
  <c r="Q107" i="19"/>
  <c r="K150" i="19"/>
  <c r="N64" i="19"/>
  <c r="Q64" i="19"/>
  <c r="T107" i="19"/>
  <c r="Q21" i="19"/>
  <c r="K21" i="19"/>
  <c r="W64" i="19"/>
  <c r="W21" i="19"/>
  <c r="N21" i="19"/>
  <c r="K64" i="19"/>
  <c r="T64" i="19"/>
  <c r="T21" i="19"/>
  <c r="N203" i="19"/>
  <c r="T203" i="19"/>
  <c r="W203" i="19"/>
  <c r="Q203" i="19"/>
  <c r="K203" i="19"/>
  <c r="Q160" i="19"/>
  <c r="T160" i="19"/>
  <c r="W160" i="19"/>
  <c r="K160" i="19"/>
  <c r="N117" i="19"/>
  <c r="N160" i="19"/>
  <c r="Q117" i="19"/>
  <c r="T117" i="19"/>
  <c r="K117" i="19"/>
  <c r="Q74" i="19"/>
  <c r="W31" i="19"/>
  <c r="W117" i="19"/>
  <c r="T74" i="19"/>
  <c r="K74" i="19"/>
  <c r="T31" i="19"/>
  <c r="N31" i="19"/>
  <c r="K31" i="19"/>
  <c r="W74" i="19"/>
  <c r="N74" i="19"/>
  <c r="Q31" i="19"/>
  <c r="X209" i="19"/>
  <c r="L209" i="19"/>
  <c r="R209" i="19"/>
  <c r="U209" i="19"/>
  <c r="O209" i="19"/>
  <c r="O166" i="19"/>
  <c r="R166" i="19"/>
  <c r="U166" i="19"/>
  <c r="X166" i="19"/>
  <c r="U123" i="19"/>
  <c r="L123" i="19"/>
  <c r="O123" i="19"/>
  <c r="X123" i="19"/>
  <c r="R123" i="19"/>
  <c r="O80" i="19"/>
  <c r="R80" i="19"/>
  <c r="U80" i="19"/>
  <c r="R37" i="19"/>
  <c r="L37" i="19"/>
  <c r="L166" i="19"/>
  <c r="L80" i="19"/>
  <c r="X80" i="19"/>
  <c r="X37" i="19"/>
  <c r="O37" i="19"/>
  <c r="U37" i="19"/>
  <c r="X216" i="19"/>
  <c r="L216" i="19"/>
  <c r="O216" i="19"/>
  <c r="U216" i="19"/>
  <c r="X173" i="19"/>
  <c r="L173" i="19"/>
  <c r="O173" i="19"/>
  <c r="R173" i="19"/>
  <c r="R216" i="19"/>
  <c r="O130" i="19"/>
  <c r="U173" i="19"/>
  <c r="R130" i="19"/>
  <c r="U130" i="19"/>
  <c r="U87" i="19"/>
  <c r="L130" i="19"/>
  <c r="X87" i="19"/>
  <c r="R87" i="19"/>
  <c r="X44" i="19"/>
  <c r="X130" i="19"/>
  <c r="O87" i="19"/>
  <c r="U44" i="19"/>
  <c r="L87" i="19"/>
  <c r="O44" i="19"/>
  <c r="R44" i="19"/>
  <c r="L44" i="19"/>
  <c r="Q184" i="19"/>
  <c r="T184" i="19"/>
  <c r="W184" i="19"/>
  <c r="K184" i="19"/>
  <c r="Q141" i="19"/>
  <c r="T141" i="19"/>
  <c r="N184" i="19"/>
  <c r="W141" i="19"/>
  <c r="K141" i="19"/>
  <c r="N141" i="19"/>
  <c r="N98" i="19"/>
  <c r="Q98" i="19"/>
  <c r="T98" i="19"/>
  <c r="Q55" i="19"/>
  <c r="W12" i="19"/>
  <c r="K98" i="19"/>
  <c r="T55" i="19"/>
  <c r="W98" i="19"/>
  <c r="W55" i="19"/>
  <c r="T12" i="19"/>
  <c r="N12" i="19"/>
  <c r="K55" i="19"/>
  <c r="K12" i="19"/>
  <c r="Q12" i="19"/>
  <c r="N55" i="19"/>
  <c r="X193" i="19"/>
  <c r="L193" i="19"/>
  <c r="O193" i="19"/>
  <c r="R193" i="19"/>
  <c r="U193" i="19"/>
  <c r="R150" i="19"/>
  <c r="U150" i="19"/>
  <c r="X150" i="19"/>
  <c r="L150" i="19"/>
  <c r="O107" i="19"/>
  <c r="R107" i="19"/>
  <c r="O150" i="19"/>
  <c r="U107" i="19"/>
  <c r="L107" i="19"/>
  <c r="R64" i="19"/>
  <c r="X21" i="19"/>
  <c r="X107" i="19"/>
  <c r="U64" i="19"/>
  <c r="X64" i="19"/>
  <c r="O64" i="19"/>
  <c r="U21" i="19"/>
  <c r="O21" i="19"/>
  <c r="R21" i="19"/>
  <c r="L64" i="19"/>
  <c r="L21" i="19"/>
  <c r="Q195" i="19"/>
  <c r="T195" i="19"/>
  <c r="N195" i="19"/>
  <c r="W195" i="19"/>
  <c r="K195" i="19"/>
  <c r="T152" i="19"/>
  <c r="W152" i="19"/>
  <c r="K152" i="19"/>
  <c r="N152" i="19"/>
  <c r="Q109" i="19"/>
  <c r="T109" i="19"/>
  <c r="Q152" i="19"/>
  <c r="W109" i="19"/>
  <c r="K109" i="19"/>
  <c r="N109" i="19"/>
  <c r="T66" i="19"/>
  <c r="W66" i="19"/>
  <c r="K66" i="19"/>
  <c r="T23" i="19"/>
  <c r="N23" i="19"/>
  <c r="Q66" i="19"/>
  <c r="K23" i="19"/>
  <c r="N66" i="19"/>
  <c r="Q23" i="19"/>
  <c r="W23" i="19"/>
  <c r="W208" i="19"/>
  <c r="K208" i="19"/>
  <c r="Q208" i="19"/>
  <c r="T208" i="19"/>
  <c r="N208" i="19"/>
  <c r="N165" i="19"/>
  <c r="Q165" i="19"/>
  <c r="T165" i="19"/>
  <c r="W165" i="19"/>
  <c r="W122" i="19"/>
  <c r="K122" i="19"/>
  <c r="N122" i="19"/>
  <c r="Q122" i="19"/>
  <c r="K165" i="19"/>
  <c r="N79" i="19"/>
  <c r="Q79" i="19"/>
  <c r="T79" i="19"/>
  <c r="Q36" i="19"/>
  <c r="K36" i="19"/>
  <c r="K79" i="19"/>
  <c r="W36" i="19"/>
  <c r="T122" i="19"/>
  <c r="W79" i="19"/>
  <c r="T36" i="19"/>
  <c r="N36" i="19"/>
  <c r="T209" i="19"/>
  <c r="W209" i="19"/>
  <c r="Q209" i="19"/>
  <c r="K209" i="19"/>
  <c r="N209" i="19"/>
  <c r="W166" i="19"/>
  <c r="K166" i="19"/>
  <c r="N166" i="19"/>
  <c r="Q166" i="19"/>
  <c r="W123" i="19"/>
  <c r="T166" i="19"/>
  <c r="T123" i="19"/>
  <c r="K123" i="19"/>
  <c r="N123" i="19"/>
  <c r="Q123" i="19"/>
  <c r="W80" i="19"/>
  <c r="K80" i="19"/>
  <c r="N80" i="19"/>
  <c r="T80" i="19"/>
  <c r="Q37" i="19"/>
  <c r="K37" i="19"/>
  <c r="T37" i="19"/>
  <c r="Q80" i="19"/>
  <c r="W37" i="19"/>
  <c r="N37" i="19"/>
  <c r="R211" i="19"/>
  <c r="O211" i="19"/>
  <c r="X211" i="19"/>
  <c r="L211" i="19"/>
  <c r="R168" i="19"/>
  <c r="U211" i="19"/>
  <c r="X168" i="19"/>
  <c r="L168" i="19"/>
  <c r="U168" i="19"/>
  <c r="O168" i="19"/>
  <c r="U125" i="19"/>
  <c r="R125" i="19"/>
  <c r="L125" i="19"/>
  <c r="O125" i="19"/>
  <c r="U82" i="19"/>
  <c r="X125" i="19"/>
  <c r="X82" i="19"/>
  <c r="L82" i="19"/>
  <c r="O82" i="19"/>
  <c r="U39" i="19"/>
  <c r="O39" i="19"/>
  <c r="R39" i="19"/>
  <c r="L39" i="19"/>
  <c r="R82" i="19"/>
  <c r="X39" i="19"/>
  <c r="T213" i="19"/>
  <c r="Q213" i="19"/>
  <c r="K213" i="19"/>
  <c r="N213" i="19"/>
  <c r="Q170" i="19"/>
  <c r="W213" i="19"/>
  <c r="T170" i="19"/>
  <c r="K170" i="19"/>
  <c r="T127" i="19"/>
  <c r="W170" i="19"/>
  <c r="W127" i="19"/>
  <c r="K127" i="19"/>
  <c r="Q127" i="19"/>
  <c r="N127" i="19"/>
  <c r="N170" i="19"/>
  <c r="W84" i="19"/>
  <c r="K84" i="19"/>
  <c r="T41" i="19"/>
  <c r="N84" i="19"/>
  <c r="Q84" i="19"/>
  <c r="Q41" i="19"/>
  <c r="K41" i="19"/>
  <c r="N41" i="19"/>
  <c r="W41" i="19"/>
  <c r="T84" i="19"/>
  <c r="O215" i="19"/>
  <c r="R215" i="19"/>
  <c r="X215" i="19"/>
  <c r="U215" i="19"/>
  <c r="L215" i="19"/>
  <c r="O172" i="19"/>
  <c r="R172" i="19"/>
  <c r="U172" i="19"/>
  <c r="L172" i="19"/>
  <c r="X172" i="19"/>
  <c r="R129" i="19"/>
  <c r="U129" i="19"/>
  <c r="L129" i="19"/>
  <c r="X129" i="19"/>
  <c r="U86" i="19"/>
  <c r="O129" i="19"/>
  <c r="X86" i="19"/>
  <c r="L86" i="19"/>
  <c r="O43" i="19"/>
  <c r="R86" i="19"/>
  <c r="X43" i="19"/>
  <c r="R43" i="19"/>
  <c r="U43" i="19"/>
  <c r="O86" i="19"/>
  <c r="L43" i="19"/>
  <c r="T216" i="19"/>
  <c r="W216" i="19"/>
  <c r="K216" i="19"/>
  <c r="Q216" i="19"/>
  <c r="N216" i="19"/>
  <c r="T173" i="19"/>
  <c r="W173" i="19"/>
  <c r="K173" i="19"/>
  <c r="N173" i="19"/>
  <c r="W130" i="19"/>
  <c r="K130" i="19"/>
  <c r="N130" i="19"/>
  <c r="T130" i="19"/>
  <c r="Q130" i="19"/>
  <c r="W87" i="19"/>
  <c r="N87" i="19"/>
  <c r="Q87" i="19"/>
  <c r="W44" i="19"/>
  <c r="Q173" i="19"/>
  <c r="Q44" i="19"/>
  <c r="K44" i="19"/>
  <c r="K87" i="19"/>
  <c r="T87" i="19"/>
  <c r="T44" i="19"/>
  <c r="N44" i="19"/>
  <c r="U217" i="19"/>
  <c r="X217" i="19"/>
  <c r="L217" i="19"/>
  <c r="R217" i="19"/>
  <c r="O217" i="19"/>
  <c r="U174" i="19"/>
  <c r="X174" i="19"/>
  <c r="L174" i="19"/>
  <c r="O174" i="19"/>
  <c r="X131" i="19"/>
  <c r="L131" i="19"/>
  <c r="O131" i="19"/>
  <c r="R88" i="19"/>
  <c r="U131" i="19"/>
  <c r="U88" i="19"/>
  <c r="R174" i="19"/>
  <c r="R131" i="19"/>
  <c r="X88" i="19"/>
  <c r="O88" i="19"/>
  <c r="X45" i="19"/>
  <c r="R45" i="19"/>
  <c r="L45" i="19"/>
  <c r="L88" i="19"/>
  <c r="U45" i="19"/>
  <c r="O45" i="19"/>
  <c r="Q217" i="19"/>
  <c r="T217" i="19"/>
  <c r="W217" i="19"/>
  <c r="N217" i="19"/>
  <c r="Q174" i="19"/>
  <c r="T174" i="19"/>
  <c r="K217" i="19"/>
  <c r="W174" i="19"/>
  <c r="K174" i="19"/>
  <c r="N174" i="19"/>
  <c r="T131" i="19"/>
  <c r="W131" i="19"/>
  <c r="K131" i="19"/>
  <c r="N131" i="19"/>
  <c r="N88" i="19"/>
  <c r="Q88" i="19"/>
  <c r="T45" i="19"/>
  <c r="Q131" i="19"/>
  <c r="W88" i="19"/>
  <c r="K88" i="19"/>
  <c r="T88" i="19"/>
  <c r="Q45" i="19"/>
  <c r="K45" i="19"/>
  <c r="W45" i="19"/>
  <c r="N45" i="19"/>
  <c r="R185" i="19"/>
  <c r="U185" i="19"/>
  <c r="X185" i="19"/>
  <c r="L185" i="19"/>
  <c r="R142" i="19"/>
  <c r="U142" i="19"/>
  <c r="O185" i="19"/>
  <c r="X142" i="19"/>
  <c r="L142" i="19"/>
  <c r="O142" i="19"/>
  <c r="O99" i="19"/>
  <c r="R99" i="19"/>
  <c r="U99" i="19"/>
  <c r="R56" i="19"/>
  <c r="X13" i="19"/>
  <c r="L99" i="19"/>
  <c r="U56" i="19"/>
  <c r="X99" i="19"/>
  <c r="X56" i="19"/>
  <c r="U13" i="19"/>
  <c r="O13" i="19"/>
  <c r="L56" i="19"/>
  <c r="R13" i="19"/>
  <c r="O56" i="19"/>
  <c r="L13" i="19"/>
  <c r="R203" i="19"/>
  <c r="O203" i="19"/>
  <c r="X203" i="19"/>
  <c r="L203" i="19"/>
  <c r="U203" i="19"/>
  <c r="U160" i="19"/>
  <c r="X160" i="19"/>
  <c r="L160" i="19"/>
  <c r="O160" i="19"/>
  <c r="R160" i="19"/>
  <c r="R117" i="19"/>
  <c r="U117" i="19"/>
  <c r="X117" i="19"/>
  <c r="L117" i="19"/>
  <c r="U74" i="19"/>
  <c r="X74" i="19"/>
  <c r="L74" i="19"/>
  <c r="O117" i="19"/>
  <c r="X31" i="19"/>
  <c r="U31" i="19"/>
  <c r="O31" i="19"/>
  <c r="R74" i="19"/>
  <c r="O74" i="19"/>
  <c r="R31" i="19"/>
  <c r="L31" i="19"/>
  <c r="N211" i="19"/>
  <c r="T211" i="19"/>
  <c r="W211" i="19"/>
  <c r="Q211" i="19"/>
  <c r="W168" i="19"/>
  <c r="K211" i="19"/>
  <c r="Q168" i="19"/>
  <c r="K168" i="19"/>
  <c r="Q125" i="19"/>
  <c r="W125" i="19"/>
  <c r="K125" i="19"/>
  <c r="T168" i="19"/>
  <c r="T125" i="19"/>
  <c r="Q82" i="19"/>
  <c r="W39" i="19"/>
  <c r="N168" i="19"/>
  <c r="T82" i="19"/>
  <c r="N125" i="19"/>
  <c r="W82" i="19"/>
  <c r="N82" i="19"/>
  <c r="T39" i="19"/>
  <c r="N39" i="19"/>
  <c r="K82" i="19"/>
  <c r="Q39" i="19"/>
  <c r="K39" i="19"/>
  <c r="X213" i="19"/>
  <c r="L213" i="19"/>
  <c r="U213" i="19"/>
  <c r="O213" i="19"/>
  <c r="U170" i="19"/>
  <c r="X170" i="19"/>
  <c r="L170" i="19"/>
  <c r="R213" i="19"/>
  <c r="R170" i="19"/>
  <c r="X127" i="19"/>
  <c r="L127" i="19"/>
  <c r="O170" i="19"/>
  <c r="O127" i="19"/>
  <c r="U127" i="19"/>
  <c r="O84" i="19"/>
  <c r="R127" i="19"/>
  <c r="R84" i="19"/>
  <c r="U41" i="19"/>
  <c r="R41" i="19"/>
  <c r="L41" i="19"/>
  <c r="X84" i="19"/>
  <c r="X41" i="19"/>
  <c r="O41" i="19"/>
  <c r="L84" i="19"/>
  <c r="U84" i="19"/>
  <c r="W215" i="19"/>
  <c r="K215" i="19"/>
  <c r="N215" i="19"/>
  <c r="T215" i="19"/>
  <c r="W172" i="19"/>
  <c r="K172" i="19"/>
  <c r="Q215" i="19"/>
  <c r="N172" i="19"/>
  <c r="Q172" i="19"/>
  <c r="N129" i="19"/>
  <c r="T172" i="19"/>
  <c r="Q129" i="19"/>
  <c r="T129" i="19"/>
  <c r="K129" i="19"/>
  <c r="W129" i="19"/>
  <c r="Q86" i="19"/>
  <c r="W43" i="19"/>
  <c r="T86" i="19"/>
  <c r="N86" i="19"/>
  <c r="K86" i="19"/>
  <c r="N43" i="19"/>
  <c r="K43" i="19"/>
  <c r="Q43" i="19"/>
  <c r="W86" i="19"/>
  <c r="T43" i="19"/>
  <c r="N185" i="19"/>
  <c r="Q185" i="19"/>
  <c r="T185" i="19"/>
  <c r="W185" i="19"/>
  <c r="N142" i="19"/>
  <c r="Q142" i="19"/>
  <c r="T142" i="19"/>
  <c r="W99" i="19"/>
  <c r="K99" i="19"/>
  <c r="K142" i="19"/>
  <c r="N99" i="19"/>
  <c r="K185" i="19"/>
  <c r="W142" i="19"/>
  <c r="Q99" i="19"/>
  <c r="N56" i="19"/>
  <c r="Q56" i="19"/>
  <c r="K56" i="19"/>
  <c r="Q13" i="19"/>
  <c r="K13" i="19"/>
  <c r="T99" i="19"/>
  <c r="W56" i="19"/>
  <c r="T13" i="19"/>
  <c r="T56" i="19"/>
  <c r="W13" i="19"/>
  <c r="N13" i="19"/>
  <c r="W186" i="19"/>
  <c r="K186" i="19"/>
  <c r="N186" i="19"/>
  <c r="Q186" i="19"/>
  <c r="W143" i="19"/>
  <c r="K143" i="19"/>
  <c r="T186" i="19"/>
  <c r="N143" i="19"/>
  <c r="Q143" i="19"/>
  <c r="T100" i="19"/>
  <c r="W100" i="19"/>
  <c r="K100" i="19"/>
  <c r="N100" i="19"/>
  <c r="Q100" i="19"/>
  <c r="W57" i="19"/>
  <c r="K57" i="19"/>
  <c r="N57" i="19"/>
  <c r="T143" i="19"/>
  <c r="T57" i="19"/>
  <c r="W14" i="19"/>
  <c r="Q57" i="19"/>
  <c r="Q14" i="19"/>
  <c r="K14" i="19"/>
  <c r="T14" i="19"/>
  <c r="N14" i="19"/>
  <c r="O192" i="19"/>
  <c r="R192" i="19"/>
  <c r="U192" i="19"/>
  <c r="X192" i="19"/>
  <c r="L192" i="19"/>
  <c r="U149" i="19"/>
  <c r="X149" i="19"/>
  <c r="L149" i="19"/>
  <c r="O149" i="19"/>
  <c r="R106" i="19"/>
  <c r="R149" i="19"/>
  <c r="U106" i="19"/>
  <c r="X106" i="19"/>
  <c r="L106" i="19"/>
  <c r="U63" i="19"/>
  <c r="X63" i="19"/>
  <c r="L63" i="19"/>
  <c r="O106" i="19"/>
  <c r="O63" i="19"/>
  <c r="U20" i="19"/>
  <c r="O20" i="19"/>
  <c r="X20" i="19"/>
  <c r="R63" i="19"/>
  <c r="R20" i="19"/>
  <c r="L20" i="19"/>
  <c r="W188" i="19"/>
  <c r="K188" i="19"/>
  <c r="Q188" i="19"/>
  <c r="N188" i="19"/>
  <c r="T188" i="19"/>
  <c r="Q145" i="19"/>
  <c r="T145" i="19"/>
  <c r="W145" i="19"/>
  <c r="K145" i="19"/>
  <c r="N102" i="19"/>
  <c r="N145" i="19"/>
  <c r="Q102" i="19"/>
  <c r="T102" i="19"/>
  <c r="Q59" i="19"/>
  <c r="W16" i="19"/>
  <c r="T59" i="19"/>
  <c r="K102" i="19"/>
  <c r="W102" i="19"/>
  <c r="N59" i="19"/>
  <c r="K59" i="19"/>
  <c r="T16" i="19"/>
  <c r="N16" i="19"/>
  <c r="Q16" i="19"/>
  <c r="K16" i="19"/>
  <c r="W59" i="19"/>
  <c r="AF38" i="1"/>
  <c r="AC65" i="1"/>
  <c r="AB65" i="1"/>
  <c r="AC31" i="1"/>
  <c r="AB100" i="1"/>
  <c r="AC28" i="1"/>
  <c r="AC91" i="1"/>
  <c r="AB91" i="1"/>
  <c r="AC94" i="1"/>
  <c r="AF29" i="1"/>
  <c r="AF99" i="1"/>
  <c r="AF119" i="1"/>
  <c r="AF53" i="1"/>
  <c r="AF83" i="1"/>
  <c r="AF101" i="1"/>
  <c r="AF107" i="1"/>
  <c r="AF113" i="1"/>
  <c r="AF126" i="1"/>
  <c r="AF33" i="1"/>
  <c r="AF30" i="1"/>
  <c r="AF98" i="1"/>
  <c r="AF102" i="1"/>
  <c r="AF108" i="1"/>
  <c r="AF123" i="1"/>
  <c r="AF114" i="1"/>
  <c r="AF40" i="1"/>
  <c r="AF54" i="1"/>
  <c r="AF59" i="1"/>
  <c r="AF27" i="1"/>
  <c r="AF32" i="1"/>
  <c r="AF50" i="1"/>
  <c r="AF60" i="1"/>
  <c r="AF84" i="1"/>
  <c r="AF120" i="1"/>
  <c r="AF122" i="1"/>
  <c r="AF125" i="1"/>
  <c r="AF51" i="1"/>
  <c r="AA55" i="1"/>
  <c r="AA56" i="1" s="1"/>
  <c r="AA70" i="1"/>
  <c r="AA73" i="1"/>
  <c r="AA85" i="1"/>
  <c r="AA86" i="1" s="1"/>
  <c r="AA95" i="1"/>
  <c r="AA109" i="1"/>
  <c r="AA110" i="1" s="1"/>
  <c r="W197" i="19" l="1"/>
  <c r="K197" i="19"/>
  <c r="Q197" i="19"/>
  <c r="T197" i="19"/>
  <c r="N197" i="19"/>
  <c r="N154" i="19"/>
  <c r="Q154" i="19"/>
  <c r="T154" i="19"/>
  <c r="K154" i="19"/>
  <c r="W111" i="19"/>
  <c r="K111" i="19"/>
  <c r="W154" i="19"/>
  <c r="N111" i="19"/>
  <c r="Q111" i="19"/>
  <c r="N68" i="19"/>
  <c r="Q68" i="19"/>
  <c r="T68" i="19"/>
  <c r="Q25" i="19"/>
  <c r="K25" i="19"/>
  <c r="K68" i="19"/>
  <c r="T111" i="19"/>
  <c r="W68" i="19"/>
  <c r="T25" i="19"/>
  <c r="W25" i="19"/>
  <c r="N25" i="19"/>
  <c r="AF65" i="1"/>
  <c r="AA111" i="1"/>
  <c r="AC110" i="1"/>
  <c r="AB110" i="1"/>
  <c r="AA57" i="1"/>
  <c r="AC56" i="1"/>
  <c r="AB56" i="1"/>
  <c r="AA96" i="1"/>
  <c r="AB95" i="1"/>
  <c r="AC95" i="1"/>
  <c r="AA87" i="1"/>
  <c r="AB86" i="1"/>
  <c r="AC86" i="1"/>
  <c r="AA66" i="1"/>
  <c r="AC88" i="1"/>
  <c r="AB88" i="1"/>
  <c r="AC73" i="1"/>
  <c r="AB73" i="1"/>
  <c r="AC97" i="1"/>
  <c r="AB97" i="1"/>
  <c r="AC55" i="1"/>
  <c r="AB55" i="1"/>
  <c r="AC109" i="1"/>
  <c r="AB109" i="1"/>
  <c r="AC85" i="1"/>
  <c r="AB85" i="1"/>
  <c r="AC70" i="1"/>
  <c r="AB70" i="1"/>
  <c r="AA115" i="1"/>
  <c r="AA61" i="1"/>
  <c r="AA62" i="1" s="1"/>
  <c r="AA16" i="1"/>
  <c r="AA17" i="1" s="1"/>
  <c r="AB62" i="1" l="1"/>
  <c r="AF62" i="1" s="1"/>
  <c r="AC62" i="1"/>
  <c r="W204" i="19"/>
  <c r="K204" i="19"/>
  <c r="T204" i="19"/>
  <c r="N204" i="19"/>
  <c r="Q204" i="19"/>
  <c r="N161" i="19"/>
  <c r="Q161" i="19"/>
  <c r="T161" i="19"/>
  <c r="W118" i="19"/>
  <c r="K118" i="19"/>
  <c r="N118" i="19"/>
  <c r="K161" i="19"/>
  <c r="Q118" i="19"/>
  <c r="N75" i="19"/>
  <c r="W161" i="19"/>
  <c r="Q75" i="19"/>
  <c r="T118" i="19"/>
  <c r="T75" i="19"/>
  <c r="Q32" i="19"/>
  <c r="K32" i="19"/>
  <c r="K75" i="19"/>
  <c r="W75" i="19"/>
  <c r="W32" i="19"/>
  <c r="T32" i="19"/>
  <c r="N32" i="19"/>
  <c r="W212" i="19"/>
  <c r="K212" i="19"/>
  <c r="T212" i="19"/>
  <c r="N212" i="19"/>
  <c r="T169" i="19"/>
  <c r="Q212" i="19"/>
  <c r="W169" i="19"/>
  <c r="K169" i="19"/>
  <c r="Q169" i="19"/>
  <c r="N169" i="19"/>
  <c r="N126" i="19"/>
  <c r="W126" i="19"/>
  <c r="Q126" i="19"/>
  <c r="K126" i="19"/>
  <c r="N83" i="19"/>
  <c r="Q83" i="19"/>
  <c r="W40" i="19"/>
  <c r="Q40" i="19"/>
  <c r="K40" i="19"/>
  <c r="W83" i="19"/>
  <c r="T40" i="19"/>
  <c r="K83" i="19"/>
  <c r="N40" i="19"/>
  <c r="T126" i="19"/>
  <c r="T83" i="19"/>
  <c r="Q194" i="19"/>
  <c r="T194" i="19"/>
  <c r="W194" i="19"/>
  <c r="K194" i="19"/>
  <c r="W151" i="19"/>
  <c r="K151" i="19"/>
  <c r="N151" i="19"/>
  <c r="N194" i="19"/>
  <c r="Q151" i="19"/>
  <c r="T108" i="19"/>
  <c r="T151" i="19"/>
  <c r="W108" i="19"/>
  <c r="K108" i="19"/>
  <c r="N108" i="19"/>
  <c r="W65" i="19"/>
  <c r="K65" i="19"/>
  <c r="N65" i="19"/>
  <c r="Q65" i="19"/>
  <c r="Q108" i="19"/>
  <c r="W22" i="19"/>
  <c r="Q22" i="19"/>
  <c r="K22" i="19"/>
  <c r="T65" i="19"/>
  <c r="N22" i="19"/>
  <c r="T22" i="19"/>
  <c r="N207" i="19"/>
  <c r="K207" i="19"/>
  <c r="T207" i="19"/>
  <c r="W207" i="19"/>
  <c r="Q207" i="19"/>
  <c r="Q164" i="19"/>
  <c r="T164" i="19"/>
  <c r="W164" i="19"/>
  <c r="K164" i="19"/>
  <c r="N121" i="19"/>
  <c r="Q121" i="19"/>
  <c r="N164" i="19"/>
  <c r="T121" i="19"/>
  <c r="Q78" i="19"/>
  <c r="W35" i="19"/>
  <c r="K121" i="19"/>
  <c r="T78" i="19"/>
  <c r="W121" i="19"/>
  <c r="K78" i="19"/>
  <c r="T35" i="19"/>
  <c r="N35" i="19"/>
  <c r="W78" i="19"/>
  <c r="K35" i="19"/>
  <c r="N78" i="19"/>
  <c r="Q35" i="19"/>
  <c r="AF95" i="1"/>
  <c r="AF86" i="1"/>
  <c r="AC96" i="1"/>
  <c r="AB96" i="1"/>
  <c r="AF56" i="1"/>
  <c r="AB111" i="1"/>
  <c r="AC111" i="1"/>
  <c r="AA18" i="1"/>
  <c r="AB17" i="1"/>
  <c r="AC17" i="1"/>
  <c r="AB87" i="1"/>
  <c r="AC87" i="1"/>
  <c r="AA63" i="1"/>
  <c r="AC66" i="1"/>
  <c r="AB66" i="1"/>
  <c r="AB57" i="1"/>
  <c r="AC57" i="1"/>
  <c r="AF110" i="1"/>
  <c r="AC16" i="1"/>
  <c r="AB16" i="1"/>
  <c r="AC61" i="1"/>
  <c r="AB61" i="1"/>
  <c r="AC115" i="1"/>
  <c r="AB115" i="1"/>
  <c r="L7" i="1"/>
  <c r="AA7" i="1" s="1"/>
  <c r="B221" i="13" a="1"/>
  <c r="O197" i="19" l="1"/>
  <c r="L197" i="19"/>
  <c r="U197" i="19"/>
  <c r="X197" i="19"/>
  <c r="R197" i="19"/>
  <c r="R154" i="19"/>
  <c r="U154" i="19"/>
  <c r="X154" i="19"/>
  <c r="L154" i="19"/>
  <c r="O111" i="19"/>
  <c r="R111" i="19"/>
  <c r="U111" i="19"/>
  <c r="O154" i="19"/>
  <c r="R68" i="19"/>
  <c r="X25" i="19"/>
  <c r="L111" i="19"/>
  <c r="U68" i="19"/>
  <c r="X111" i="19"/>
  <c r="L68" i="19"/>
  <c r="U25" i="19"/>
  <c r="O25" i="19"/>
  <c r="L25" i="19"/>
  <c r="O68" i="19"/>
  <c r="R25" i="19"/>
  <c r="X68" i="19"/>
  <c r="N181" i="19"/>
  <c r="Q181" i="19"/>
  <c r="T181" i="19"/>
  <c r="N138" i="19"/>
  <c r="Q138" i="19"/>
  <c r="K181" i="19"/>
  <c r="T138" i="19"/>
  <c r="K138" i="19"/>
  <c r="W95" i="19"/>
  <c r="K95" i="19"/>
  <c r="W181" i="19"/>
  <c r="W138" i="19"/>
  <c r="N95" i="19"/>
  <c r="Q95" i="19"/>
  <c r="N52" i="19"/>
  <c r="Q52" i="19"/>
  <c r="T95" i="19"/>
  <c r="W52" i="19"/>
  <c r="Q9" i="19"/>
  <c r="K9" i="19"/>
  <c r="T52" i="19"/>
  <c r="K52" i="19"/>
  <c r="N9" i="19"/>
  <c r="W9" i="19"/>
  <c r="T9" i="19"/>
  <c r="R207" i="19"/>
  <c r="U207" i="19"/>
  <c r="O207" i="19"/>
  <c r="X207" i="19"/>
  <c r="L207" i="19"/>
  <c r="U164" i="19"/>
  <c r="X164" i="19"/>
  <c r="L164" i="19"/>
  <c r="O164" i="19"/>
  <c r="R121" i="19"/>
  <c r="R164" i="19"/>
  <c r="U121" i="19"/>
  <c r="X121" i="19"/>
  <c r="L121" i="19"/>
  <c r="O121" i="19"/>
  <c r="U78" i="19"/>
  <c r="X78" i="19"/>
  <c r="L78" i="19"/>
  <c r="U35" i="19"/>
  <c r="O35" i="19"/>
  <c r="R78" i="19"/>
  <c r="X35" i="19"/>
  <c r="L35" i="19"/>
  <c r="O78" i="19"/>
  <c r="R35" i="19"/>
  <c r="O204" i="19"/>
  <c r="U204" i="19"/>
  <c r="X204" i="19"/>
  <c r="R204" i="19"/>
  <c r="L204" i="19"/>
  <c r="R161" i="19"/>
  <c r="U161" i="19"/>
  <c r="X161" i="19"/>
  <c r="L161" i="19"/>
  <c r="O118" i="19"/>
  <c r="O161" i="19"/>
  <c r="R118" i="19"/>
  <c r="U118" i="19"/>
  <c r="L118" i="19"/>
  <c r="R75" i="19"/>
  <c r="X32" i="19"/>
  <c r="X118" i="19"/>
  <c r="U75" i="19"/>
  <c r="L75" i="19"/>
  <c r="U32" i="19"/>
  <c r="O32" i="19"/>
  <c r="R32" i="19"/>
  <c r="X75" i="19"/>
  <c r="O75" i="19"/>
  <c r="L32" i="19"/>
  <c r="U194" i="19"/>
  <c r="X194" i="19"/>
  <c r="L194" i="19"/>
  <c r="O194" i="19"/>
  <c r="R194" i="19"/>
  <c r="O151" i="19"/>
  <c r="R151" i="19"/>
  <c r="U151" i="19"/>
  <c r="X151" i="19"/>
  <c r="X108" i="19"/>
  <c r="L108" i="19"/>
  <c r="O108" i="19"/>
  <c r="R108" i="19"/>
  <c r="O65" i="19"/>
  <c r="R65" i="19"/>
  <c r="U108" i="19"/>
  <c r="X22" i="19"/>
  <c r="R22" i="19"/>
  <c r="L22" i="19"/>
  <c r="L151" i="19"/>
  <c r="X65" i="19"/>
  <c r="U65" i="19"/>
  <c r="U22" i="19"/>
  <c r="L65" i="19"/>
  <c r="O22" i="19"/>
  <c r="N196" i="19"/>
  <c r="K196" i="19"/>
  <c r="T196" i="19"/>
  <c r="Q196" i="19"/>
  <c r="W196" i="19"/>
  <c r="Q153" i="19"/>
  <c r="T153" i="19"/>
  <c r="W153" i="19"/>
  <c r="K153" i="19"/>
  <c r="N110" i="19"/>
  <c r="Q110" i="19"/>
  <c r="T110" i="19"/>
  <c r="Q67" i="19"/>
  <c r="W24" i="19"/>
  <c r="N153" i="19"/>
  <c r="K110" i="19"/>
  <c r="T67" i="19"/>
  <c r="W110" i="19"/>
  <c r="K67" i="19"/>
  <c r="T24" i="19"/>
  <c r="N24" i="19"/>
  <c r="Q24" i="19"/>
  <c r="K24" i="19"/>
  <c r="W67" i="19"/>
  <c r="N67" i="19"/>
  <c r="O212" i="19"/>
  <c r="U212" i="19"/>
  <c r="X212" i="19"/>
  <c r="R212" i="19"/>
  <c r="X169" i="19"/>
  <c r="L169" i="19"/>
  <c r="O169" i="19"/>
  <c r="L212" i="19"/>
  <c r="R169" i="19"/>
  <c r="R126" i="19"/>
  <c r="U169" i="19"/>
  <c r="X126" i="19"/>
  <c r="L126" i="19"/>
  <c r="U126" i="19"/>
  <c r="O126" i="19"/>
  <c r="R83" i="19"/>
  <c r="X40" i="19"/>
  <c r="U83" i="19"/>
  <c r="X83" i="19"/>
  <c r="O83" i="19"/>
  <c r="O40" i="19"/>
  <c r="L83" i="19"/>
  <c r="U40" i="19"/>
  <c r="L40" i="19"/>
  <c r="R40" i="19"/>
  <c r="AA8" i="1"/>
  <c r="AA9" i="1" s="1"/>
  <c r="AF66" i="1"/>
  <c r="AB63" i="1"/>
  <c r="AC63" i="1"/>
  <c r="AF87" i="1"/>
  <c r="AF17" i="1"/>
  <c r="AF96" i="1"/>
  <c r="AF57" i="1"/>
  <c r="AB18" i="1"/>
  <c r="AC18" i="1"/>
  <c r="AA21" i="1"/>
  <c r="AF111" i="1"/>
  <c r="AC19" i="1"/>
  <c r="AB19" i="1"/>
  <c r="B221" i="13"/>
  <c r="W182" i="19" l="1"/>
  <c r="K182" i="19"/>
  <c r="N182" i="19"/>
  <c r="Q182" i="19"/>
  <c r="T182" i="19"/>
  <c r="W139" i="19"/>
  <c r="K139" i="19"/>
  <c r="N139" i="19"/>
  <c r="Q139" i="19"/>
  <c r="T96" i="19"/>
  <c r="W96" i="19"/>
  <c r="K96" i="19"/>
  <c r="T139" i="19"/>
  <c r="N96" i="19"/>
  <c r="W53" i="19"/>
  <c r="K53" i="19"/>
  <c r="N53" i="19"/>
  <c r="Q96" i="19"/>
  <c r="W10" i="19"/>
  <c r="Q10" i="19"/>
  <c r="K10" i="19"/>
  <c r="N10" i="19"/>
  <c r="T53" i="19"/>
  <c r="Q53" i="19"/>
  <c r="T10" i="19"/>
  <c r="R181" i="19"/>
  <c r="U181" i="19"/>
  <c r="X181" i="19"/>
  <c r="L181" i="19"/>
  <c r="R138" i="19"/>
  <c r="O181" i="19"/>
  <c r="U138" i="19"/>
  <c r="X138" i="19"/>
  <c r="L138" i="19"/>
  <c r="O95" i="19"/>
  <c r="R95" i="19"/>
  <c r="U95" i="19"/>
  <c r="O138" i="19"/>
  <c r="L95" i="19"/>
  <c r="R52" i="19"/>
  <c r="X9" i="19"/>
  <c r="X95" i="19"/>
  <c r="U52" i="19"/>
  <c r="O52" i="19"/>
  <c r="L52" i="19"/>
  <c r="U9" i="19"/>
  <c r="O9" i="19"/>
  <c r="X52" i="19"/>
  <c r="L9" i="19"/>
  <c r="R9" i="19"/>
  <c r="R196" i="19"/>
  <c r="U196" i="19"/>
  <c r="O196" i="19"/>
  <c r="X196" i="19"/>
  <c r="L196" i="19"/>
  <c r="U153" i="19"/>
  <c r="X153" i="19"/>
  <c r="L153" i="19"/>
  <c r="O153" i="19"/>
  <c r="R110" i="19"/>
  <c r="U110" i="19"/>
  <c r="R153" i="19"/>
  <c r="X110" i="19"/>
  <c r="L110" i="19"/>
  <c r="O110" i="19"/>
  <c r="U67" i="19"/>
  <c r="X67" i="19"/>
  <c r="L67" i="19"/>
  <c r="X24" i="19"/>
  <c r="U24" i="19"/>
  <c r="O24" i="19"/>
  <c r="R67" i="19"/>
  <c r="R24" i="19"/>
  <c r="O67" i="19"/>
  <c r="L24" i="19"/>
  <c r="AB21" i="1"/>
  <c r="AC21" i="1"/>
  <c r="AF18" i="1"/>
  <c r="AF63" i="1"/>
  <c r="AB9" i="1"/>
  <c r="AC9" i="1"/>
  <c r="AC8" i="1"/>
  <c r="AB8" i="1"/>
  <c r="O182" i="19" l="1"/>
  <c r="R182" i="19"/>
  <c r="U182" i="19"/>
  <c r="O139" i="19"/>
  <c r="R139" i="19"/>
  <c r="L182" i="19"/>
  <c r="U139" i="19"/>
  <c r="X182" i="19"/>
  <c r="L139" i="19"/>
  <c r="X96" i="19"/>
  <c r="L96" i="19"/>
  <c r="X139" i="19"/>
  <c r="O96" i="19"/>
  <c r="R96" i="19"/>
  <c r="O53" i="19"/>
  <c r="R53" i="19"/>
  <c r="U96" i="19"/>
  <c r="X53" i="19"/>
  <c r="X10" i="19"/>
  <c r="R10" i="19"/>
  <c r="L10" i="19"/>
  <c r="U53" i="19"/>
  <c r="O10" i="19"/>
  <c r="U10" i="19"/>
  <c r="L53" i="19"/>
  <c r="AF21" i="1"/>
  <c r="AE15" i="1" l="1"/>
  <c r="AD15" i="1" s="1"/>
  <c r="AE14" i="1"/>
  <c r="AD14" i="1" s="1"/>
  <c r="AE12" i="1"/>
  <c r="AD12" i="1" s="1"/>
  <c r="AE11" i="1"/>
  <c r="AD11" i="1" s="1"/>
  <c r="W10" i="1"/>
  <c r="AA10" i="1" s="1"/>
  <c r="AA11" i="1" s="1"/>
  <c r="W13" i="1"/>
  <c r="AA13" i="1" s="1"/>
  <c r="AA14" i="1" s="1"/>
  <c r="AA15" i="1" l="1"/>
  <c r="AC14" i="1"/>
  <c r="AB14" i="1"/>
  <c r="AA12" i="1"/>
  <c r="AB11" i="1"/>
  <c r="AC11" i="1"/>
  <c r="AB7" i="1"/>
  <c r="Q180" i="19" l="1"/>
  <c r="T180" i="19"/>
  <c r="W180" i="19"/>
  <c r="K180" i="19"/>
  <c r="N180" i="19"/>
  <c r="T137" i="19"/>
  <c r="W137" i="19"/>
  <c r="K137" i="19"/>
  <c r="N94" i="19"/>
  <c r="Q137" i="19"/>
  <c r="Q94" i="19"/>
  <c r="N137" i="19"/>
  <c r="T94" i="19"/>
  <c r="Q51" i="19"/>
  <c r="W8" i="19"/>
  <c r="W94" i="19"/>
  <c r="K94" i="19"/>
  <c r="T51" i="19"/>
  <c r="N51" i="19"/>
  <c r="K51" i="19"/>
  <c r="T8" i="19"/>
  <c r="N8" i="19"/>
  <c r="W51" i="19"/>
  <c r="Q8" i="19"/>
  <c r="K8" i="19"/>
  <c r="N93" i="19"/>
  <c r="T50" i="19"/>
  <c r="Q93" i="19"/>
  <c r="Q179" i="19"/>
  <c r="W136" i="19"/>
  <c r="N7" i="19"/>
  <c r="N136" i="19"/>
  <c r="K93" i="19"/>
  <c r="Q50" i="19"/>
  <c r="Q7" i="19"/>
  <c r="T93" i="19"/>
  <c r="W179" i="19"/>
  <c r="N179" i="19"/>
  <c r="T136" i="19"/>
  <c r="T7" i="19"/>
  <c r="K50" i="19"/>
  <c r="K136" i="19"/>
  <c r="N50" i="19"/>
  <c r="T179" i="19"/>
  <c r="K179" i="19"/>
  <c r="Q136" i="19"/>
  <c r="W93" i="19"/>
  <c r="W7" i="19"/>
  <c r="W50" i="19"/>
  <c r="K7" i="19"/>
  <c r="AF14" i="1"/>
  <c r="AF11" i="1"/>
  <c r="AC15" i="1"/>
  <c r="AB15" i="1"/>
  <c r="AB12" i="1"/>
  <c r="AC12" i="1"/>
  <c r="AC7" i="1"/>
  <c r="U180" i="19" l="1"/>
  <c r="X180" i="19"/>
  <c r="L180" i="19"/>
  <c r="O180" i="19"/>
  <c r="R180" i="19"/>
  <c r="X137" i="19"/>
  <c r="L137" i="19"/>
  <c r="O137" i="19"/>
  <c r="R137" i="19"/>
  <c r="R94" i="19"/>
  <c r="U94" i="19"/>
  <c r="X94" i="19"/>
  <c r="L94" i="19"/>
  <c r="U51" i="19"/>
  <c r="U137" i="19"/>
  <c r="X51" i="19"/>
  <c r="L51" i="19"/>
  <c r="O94" i="19"/>
  <c r="U8" i="19"/>
  <c r="O8" i="19"/>
  <c r="X8" i="19"/>
  <c r="R51" i="19"/>
  <c r="L8" i="19"/>
  <c r="O51" i="19"/>
  <c r="R8" i="19"/>
  <c r="R179" i="19"/>
  <c r="X136" i="19"/>
  <c r="O7" i="19"/>
  <c r="L136" i="19"/>
  <c r="U93" i="19"/>
  <c r="R93" i="19"/>
  <c r="U50" i="19"/>
  <c r="L93" i="19"/>
  <c r="R50" i="19"/>
  <c r="R7" i="19"/>
  <c r="O179" i="19"/>
  <c r="U136" i="19"/>
  <c r="U7" i="19"/>
  <c r="O50" i="19"/>
  <c r="X179" i="19"/>
  <c r="U179" i="19"/>
  <c r="O93" i="19"/>
  <c r="L179" i="19"/>
  <c r="R136" i="19"/>
  <c r="X93" i="19"/>
  <c r="X7" i="19"/>
  <c r="L50" i="19"/>
  <c r="O136" i="19"/>
  <c r="X50" i="19"/>
  <c r="L7" i="19"/>
  <c r="AF15" i="1"/>
  <c r="AF12" i="1"/>
  <c r="AB10" i="1"/>
  <c r="AC10" i="1" l="1"/>
  <c r="AB13" i="1" s="1"/>
  <c r="AC13" i="1" l="1"/>
  <c r="AE9" i="1" l="1"/>
  <c r="AD9" i="1" s="1"/>
  <c r="R6" i="19" l="1"/>
  <c r="X178" i="19"/>
  <c r="O92" i="19"/>
  <c r="R135" i="19"/>
  <c r="L178" i="19"/>
  <c r="U135" i="19"/>
  <c r="O49" i="19"/>
  <c r="X49" i="19"/>
  <c r="U49" i="19"/>
  <c r="L135" i="19"/>
  <c r="U178" i="19"/>
  <c r="X135" i="19"/>
  <c r="L49" i="19"/>
  <c r="L92" i="19"/>
  <c r="U92" i="19"/>
  <c r="O178" i="19"/>
  <c r="O6" i="19"/>
  <c r="R92" i="19"/>
  <c r="X92" i="19"/>
  <c r="R49" i="19"/>
  <c r="R178" i="19"/>
  <c r="X6" i="19"/>
  <c r="U6" i="19"/>
  <c r="O135" i="19"/>
  <c r="L6" i="19"/>
  <c r="AF9" i="1"/>
  <c r="B223" i="13"/>
  <c r="B222" i="13"/>
  <c r="N7" i="1" s="1"/>
  <c r="O7" i="1" s="1"/>
  <c r="Q7" i="1" l="1"/>
  <c r="AX78" i="18"/>
  <c r="AX6" i="18"/>
  <c r="AD42" i="18"/>
  <c r="AD78" i="18"/>
  <c r="AX42" i="18"/>
  <c r="AN60" i="18"/>
  <c r="AD60" i="18"/>
  <c r="T42" i="18"/>
  <c r="AN42" i="18"/>
  <c r="T60" i="18"/>
  <c r="AX60" i="18"/>
  <c r="AN78" i="18"/>
  <c r="T78" i="18"/>
  <c r="AN24" i="18"/>
  <c r="J78" i="18"/>
  <c r="J42" i="18"/>
  <c r="AN6" i="18"/>
  <c r="AD6" i="18"/>
  <c r="T6" i="18"/>
  <c r="AX24" i="18"/>
  <c r="AD24" i="18"/>
  <c r="T24" i="18"/>
  <c r="J60" i="18"/>
  <c r="J24" i="18"/>
  <c r="N127" i="1"/>
  <c r="O127" i="1" s="1"/>
  <c r="N103" i="1"/>
  <c r="O103" i="1" s="1"/>
  <c r="N67" i="1"/>
  <c r="O67" i="1" s="1"/>
  <c r="N34" i="1"/>
  <c r="O34" i="1" s="1"/>
  <c r="N44" i="1"/>
  <c r="O44" i="1" s="1"/>
  <c r="N22" i="1"/>
  <c r="O22" i="1" s="1"/>
  <c r="N16" i="1"/>
  <c r="O16" i="1" s="1"/>
  <c r="N121" i="1"/>
  <c r="O121" i="1" s="1"/>
  <c r="N73" i="1"/>
  <c r="O73" i="1" s="1"/>
  <c r="N112" i="1"/>
  <c r="O112" i="1" s="1"/>
  <c r="N10" i="1"/>
  <c r="O10" i="1" s="1"/>
  <c r="N118" i="1"/>
  <c r="O118" i="1" s="1"/>
  <c r="N109" i="1"/>
  <c r="O109" i="1" s="1"/>
  <c r="N13" i="1"/>
  <c r="O13" i="1" s="1"/>
  <c r="N76" i="1"/>
  <c r="O76" i="1" s="1"/>
  <c r="N106" i="1"/>
  <c r="O106" i="1" s="1"/>
  <c r="N94" i="1"/>
  <c r="O94" i="1" s="1"/>
  <c r="N49" i="1"/>
  <c r="O49" i="1" s="1"/>
  <c r="N97" i="1"/>
  <c r="O97" i="1" s="1"/>
  <c r="N88" i="1"/>
  <c r="O88" i="1" s="1"/>
  <c r="N115" i="1"/>
  <c r="O115" i="1" s="1"/>
  <c r="N31" i="1"/>
  <c r="O31" i="1" s="1"/>
  <c r="N130" i="1"/>
  <c r="O130" i="1" s="1"/>
  <c r="N79" i="1"/>
  <c r="O79" i="1" s="1"/>
  <c r="N82" i="1"/>
  <c r="O82" i="1" s="1"/>
  <c r="N64" i="1"/>
  <c r="O64" i="1" s="1"/>
  <c r="N19" i="1"/>
  <c r="O19" i="1" s="1"/>
  <c r="N133" i="1"/>
  <c r="O133" i="1" s="1"/>
  <c r="N52" i="1"/>
  <c r="O52" i="1" s="1"/>
  <c r="N37" i="1"/>
  <c r="O37" i="1" s="1"/>
  <c r="N25" i="1"/>
  <c r="O25" i="1" s="1"/>
  <c r="N136" i="1"/>
  <c r="O136" i="1" s="1"/>
  <c r="N100" i="1"/>
  <c r="O100" i="1" s="1"/>
  <c r="N55" i="1"/>
  <c r="O55" i="1" s="1"/>
  <c r="N85" i="1"/>
  <c r="O85" i="1" s="1"/>
  <c r="N41" i="1"/>
  <c r="O41" i="1" s="1"/>
  <c r="N91" i="1"/>
  <c r="O91" i="1" s="1"/>
  <c r="N70" i="1"/>
  <c r="O70" i="1" s="1"/>
  <c r="N28" i="1"/>
  <c r="O28" i="1" s="1"/>
  <c r="N61" i="1"/>
  <c r="O61" i="1" s="1"/>
  <c r="N124" i="1"/>
  <c r="O124" i="1" s="1"/>
  <c r="N58" i="1"/>
  <c r="O58" i="1" s="1"/>
  <c r="H210" i="13"/>
  <c r="BB44" i="18" l="1"/>
  <c r="AR44" i="18"/>
  <c r="AH44" i="18"/>
  <c r="BB26" i="18"/>
  <c r="N80" i="18"/>
  <c r="BB8" i="18"/>
  <c r="AR8" i="18"/>
  <c r="AH80" i="18"/>
  <c r="X80" i="18"/>
  <c r="X44" i="18"/>
  <c r="AR26" i="18"/>
  <c r="N62" i="18"/>
  <c r="AH8" i="18"/>
  <c r="BB62" i="18"/>
  <c r="AR80" i="18"/>
  <c r="N26" i="18"/>
  <c r="X62" i="18"/>
  <c r="AR62" i="18"/>
  <c r="BB80" i="18"/>
  <c r="AH26" i="18"/>
  <c r="N44" i="18"/>
  <c r="X8" i="18"/>
  <c r="AH62" i="18"/>
  <c r="X26" i="18"/>
  <c r="N8" i="18"/>
  <c r="AP80" i="18"/>
  <c r="AF80" i="18"/>
  <c r="AP62" i="18"/>
  <c r="AP8" i="18"/>
  <c r="AZ26" i="18"/>
  <c r="L80" i="18"/>
  <c r="AZ8" i="18"/>
  <c r="AF62" i="18"/>
  <c r="V62" i="18"/>
  <c r="AZ62" i="18"/>
  <c r="AF8" i="18"/>
  <c r="AP26" i="18"/>
  <c r="L62" i="18"/>
  <c r="AZ44" i="18"/>
  <c r="AF44" i="18"/>
  <c r="V26" i="18"/>
  <c r="V44" i="18"/>
  <c r="AP44" i="18"/>
  <c r="AZ80" i="18"/>
  <c r="V8" i="18"/>
  <c r="AF26" i="18"/>
  <c r="L44" i="18"/>
  <c r="V80" i="18"/>
  <c r="L8" i="18"/>
  <c r="L26" i="18"/>
  <c r="AX94" i="18"/>
  <c r="T76" i="18"/>
  <c r="AD76" i="18"/>
  <c r="J76" i="18"/>
  <c r="T22" i="18"/>
  <c r="J94" i="18"/>
  <c r="AX58" i="18"/>
  <c r="AN40" i="18"/>
  <c r="T40" i="18"/>
  <c r="AX76" i="18"/>
  <c r="AN94" i="18"/>
  <c r="J22" i="18"/>
  <c r="J40" i="18"/>
  <c r="AX40" i="18"/>
  <c r="J58" i="18"/>
  <c r="AN58" i="18"/>
  <c r="AD58" i="18"/>
  <c r="T58" i="18"/>
  <c r="AD22" i="18"/>
  <c r="AX22" i="18"/>
  <c r="AD40" i="18"/>
  <c r="T94" i="18"/>
  <c r="AD94" i="18"/>
  <c r="AN22" i="18"/>
  <c r="AR86" i="18"/>
  <c r="AH86" i="18"/>
  <c r="BB86" i="18"/>
  <c r="AR14" i="18"/>
  <c r="BB32" i="18"/>
  <c r="N86" i="18"/>
  <c r="BB14" i="18"/>
  <c r="AH68" i="18"/>
  <c r="X68" i="18"/>
  <c r="AR68" i="18"/>
  <c r="AH14" i="18"/>
  <c r="AR32" i="18"/>
  <c r="N68" i="18"/>
  <c r="AR50" i="18"/>
  <c r="BB68" i="18"/>
  <c r="X14" i="18"/>
  <c r="AH32" i="18"/>
  <c r="N50" i="18"/>
  <c r="BB50" i="18"/>
  <c r="X86" i="18"/>
  <c r="AH50" i="18"/>
  <c r="N14" i="18"/>
  <c r="X32" i="18"/>
  <c r="N32" i="18"/>
  <c r="BD60" i="18"/>
  <c r="AT78" i="18"/>
  <c r="AT60" i="18"/>
  <c r="Z24" i="18"/>
  <c r="P24" i="18"/>
  <c r="AJ6" i="18"/>
  <c r="BD42" i="18"/>
  <c r="AT42" i="18"/>
  <c r="AJ42" i="18"/>
  <c r="BD24" i="18"/>
  <c r="P78" i="18"/>
  <c r="BD6" i="18"/>
  <c r="Z6" i="18"/>
  <c r="Z60" i="18"/>
  <c r="AJ60" i="18"/>
  <c r="P42" i="18"/>
  <c r="AJ78" i="18"/>
  <c r="Z78" i="18"/>
  <c r="Z42" i="18"/>
  <c r="AT24" i="18"/>
  <c r="P60" i="18"/>
  <c r="AT6" i="18"/>
  <c r="BD78" i="18"/>
  <c r="AJ24" i="18"/>
  <c r="P6" i="18"/>
  <c r="AX86" i="18"/>
  <c r="AX50" i="18"/>
  <c r="AN86" i="18"/>
  <c r="J68" i="18"/>
  <c r="T14" i="18"/>
  <c r="J86" i="18"/>
  <c r="AX68" i="18"/>
  <c r="AN68" i="18"/>
  <c r="AD68" i="18"/>
  <c r="J14" i="18"/>
  <c r="J32" i="18"/>
  <c r="AX32" i="18"/>
  <c r="J50" i="18"/>
  <c r="T86" i="18"/>
  <c r="AN14" i="18"/>
  <c r="AN50" i="18"/>
  <c r="AD50" i="18"/>
  <c r="T68" i="18"/>
  <c r="AD14" i="18"/>
  <c r="AX14" i="18"/>
  <c r="AD32" i="18"/>
  <c r="AD86" i="18"/>
  <c r="AN32" i="18"/>
  <c r="T32" i="18"/>
  <c r="AT84" i="18"/>
  <c r="AJ84" i="18"/>
  <c r="AT12" i="18"/>
  <c r="AT30" i="18"/>
  <c r="P66" i="18"/>
  <c r="P12" i="18"/>
  <c r="AJ66" i="18"/>
  <c r="Z66" i="18"/>
  <c r="BD84" i="18"/>
  <c r="AJ12" i="18"/>
  <c r="AJ30" i="18"/>
  <c r="P48" i="18"/>
  <c r="Z84" i="18"/>
  <c r="BD30" i="18"/>
  <c r="BD12" i="18"/>
  <c r="Z48" i="18"/>
  <c r="BD66" i="18"/>
  <c r="AJ48" i="18"/>
  <c r="Z12" i="18"/>
  <c r="Z30" i="18"/>
  <c r="P30" i="18"/>
  <c r="BD48" i="18"/>
  <c r="AT66" i="18"/>
  <c r="P84" i="18"/>
  <c r="AT82" i="18"/>
  <c r="AT46" i="18"/>
  <c r="AJ82" i="18"/>
  <c r="P28" i="18"/>
  <c r="BD28" i="18"/>
  <c r="BD10" i="18"/>
  <c r="BD82" i="18"/>
  <c r="AJ64" i="18"/>
  <c r="Z64" i="18"/>
  <c r="AJ28" i="18"/>
  <c r="AT10" i="18"/>
  <c r="AT28" i="18"/>
  <c r="P10" i="18"/>
  <c r="AJ46" i="18"/>
  <c r="Z82" i="18"/>
  <c r="Z10" i="18"/>
  <c r="AT64" i="18"/>
  <c r="Z46" i="18"/>
  <c r="BD64" i="18"/>
  <c r="Z28" i="18"/>
  <c r="AJ10" i="18"/>
  <c r="P82" i="18"/>
  <c r="BD46" i="18"/>
  <c r="P64" i="18"/>
  <c r="P46" i="18"/>
  <c r="AH60" i="18"/>
  <c r="X60" i="18"/>
  <c r="AH42" i="18"/>
  <c r="AH6" i="18"/>
  <c r="AH24" i="18"/>
  <c r="N42" i="18"/>
  <c r="X42" i="18"/>
  <c r="BB60" i="18"/>
  <c r="AR42" i="18"/>
  <c r="X6" i="18"/>
  <c r="X24" i="18"/>
  <c r="N24" i="18"/>
  <c r="AH78" i="18"/>
  <c r="BB78" i="18"/>
  <c r="AR24" i="18"/>
  <c r="BB42" i="18"/>
  <c r="X78" i="18"/>
  <c r="AR60" i="18"/>
  <c r="BB24" i="18"/>
  <c r="N78" i="18"/>
  <c r="BB6" i="18"/>
  <c r="AR78" i="18"/>
  <c r="AR6" i="18"/>
  <c r="N60" i="18"/>
  <c r="N6" i="18"/>
  <c r="AX80" i="18"/>
  <c r="AD62" i="18"/>
  <c r="AN44" i="18"/>
  <c r="AD26" i="18"/>
  <c r="AN8" i="18"/>
  <c r="AN26" i="18"/>
  <c r="J8" i="18"/>
  <c r="AN62" i="18"/>
  <c r="T44" i="18"/>
  <c r="T62" i="18"/>
  <c r="T26" i="18"/>
  <c r="AD8" i="18"/>
  <c r="J80" i="18"/>
  <c r="AD44" i="18"/>
  <c r="AX62" i="18"/>
  <c r="T80" i="18"/>
  <c r="J62" i="18"/>
  <c r="T8" i="18"/>
  <c r="J44" i="18"/>
  <c r="AN80" i="18"/>
  <c r="AX44" i="18"/>
  <c r="AD80" i="18"/>
  <c r="J26" i="18"/>
  <c r="AX26" i="18"/>
  <c r="AX8" i="18"/>
  <c r="AJ74" i="18"/>
  <c r="Z74" i="18"/>
  <c r="BD74" i="18"/>
  <c r="AJ20" i="18"/>
  <c r="AT38" i="18"/>
  <c r="P74" i="18"/>
  <c r="Z56" i="18"/>
  <c r="BD92" i="18"/>
  <c r="Z20" i="18"/>
  <c r="AJ38" i="18"/>
  <c r="P56" i="18"/>
  <c r="AJ92" i="18"/>
  <c r="AT20" i="18"/>
  <c r="P92" i="18"/>
  <c r="BD56" i="18"/>
  <c r="Z92" i="18"/>
  <c r="AJ56" i="18"/>
  <c r="P20" i="18"/>
  <c r="Z38" i="18"/>
  <c r="P38" i="18"/>
  <c r="AT92" i="18"/>
  <c r="AT74" i="18"/>
  <c r="BD38" i="18"/>
  <c r="BD20" i="18"/>
  <c r="T72" i="18"/>
  <c r="T90" i="18"/>
  <c r="AD18" i="18"/>
  <c r="AN36" i="18"/>
  <c r="J72" i="18"/>
  <c r="J90" i="18"/>
  <c r="T54" i="18"/>
  <c r="AN54" i="18"/>
  <c r="AX90" i="18"/>
  <c r="T18" i="18"/>
  <c r="AD36" i="18"/>
  <c r="J54" i="18"/>
  <c r="AD90" i="18"/>
  <c r="AN18" i="18"/>
  <c r="AX18" i="18"/>
  <c r="AX54" i="18"/>
  <c r="AX72" i="18"/>
  <c r="AD54" i="18"/>
  <c r="J18" i="18"/>
  <c r="T36" i="18"/>
  <c r="J36" i="18"/>
  <c r="AN90" i="18"/>
  <c r="AN72" i="18"/>
  <c r="AX36" i="18"/>
  <c r="AX74" i="18"/>
  <c r="AN92" i="18"/>
  <c r="AN74" i="18"/>
  <c r="T38" i="18"/>
  <c r="J38" i="18"/>
  <c r="AN20" i="18"/>
  <c r="AX56" i="18"/>
  <c r="AN56" i="18"/>
  <c r="AD56" i="18"/>
  <c r="AX38" i="18"/>
  <c r="J92" i="18"/>
  <c r="AX20" i="18"/>
  <c r="T20" i="18"/>
  <c r="T74" i="18"/>
  <c r="AD74" i="18"/>
  <c r="J56" i="18"/>
  <c r="AD92" i="18"/>
  <c r="T92" i="18"/>
  <c r="T56" i="18"/>
  <c r="AN38" i="18"/>
  <c r="J74" i="18"/>
  <c r="AD20" i="18"/>
  <c r="AX92" i="18"/>
  <c r="J20" i="18"/>
  <c r="BD70" i="18"/>
  <c r="AT70" i="18"/>
  <c r="P16" i="18"/>
  <c r="P70" i="18"/>
  <c r="Z16" i="18"/>
  <c r="P52" i="18"/>
  <c r="AT52" i="18"/>
  <c r="AJ52" i="18"/>
  <c r="BD52" i="18"/>
  <c r="AJ16" i="18"/>
  <c r="P34" i="18"/>
  <c r="AJ34" i="18"/>
  <c r="Z70" i="18"/>
  <c r="AT34" i="18"/>
  <c r="AT16" i="18"/>
  <c r="Z88" i="18"/>
  <c r="AJ88" i="18"/>
  <c r="Z52" i="18"/>
  <c r="BD34" i="18"/>
  <c r="BD16" i="18"/>
  <c r="Z34" i="18"/>
  <c r="BD88" i="18"/>
  <c r="AT88" i="18"/>
  <c r="P88" i="18"/>
  <c r="AZ86" i="18"/>
  <c r="AF68" i="18"/>
  <c r="V68" i="18"/>
  <c r="V32" i="18"/>
  <c r="AF14" i="18"/>
  <c r="AF32" i="18"/>
  <c r="L14" i="18"/>
  <c r="AP68" i="18"/>
  <c r="AZ68" i="18"/>
  <c r="L68" i="18"/>
  <c r="V14" i="18"/>
  <c r="L86" i="18"/>
  <c r="AP86" i="18"/>
  <c r="AF86" i="18"/>
  <c r="AP32" i="18"/>
  <c r="AF50" i="18"/>
  <c r="AZ50" i="18"/>
  <c r="V86" i="18"/>
  <c r="L32" i="18"/>
  <c r="AZ32" i="18"/>
  <c r="L50" i="18"/>
  <c r="AP50" i="18"/>
  <c r="AP14" i="18"/>
  <c r="AZ14" i="18"/>
  <c r="AL20" i="18"/>
  <c r="AV20" i="18"/>
  <c r="AB20" i="18"/>
  <c r="BF56" i="18"/>
  <c r="AV56" i="18"/>
  <c r="AL56" i="18"/>
  <c r="R20" i="18"/>
  <c r="R38" i="18"/>
  <c r="AB38" i="18"/>
  <c r="R56" i="18"/>
  <c r="AL38" i="18"/>
  <c r="AB74" i="18"/>
  <c r="AV74" i="18"/>
  <c r="AV92" i="18"/>
  <c r="AB92" i="18"/>
  <c r="BF92" i="18"/>
  <c r="R74" i="18"/>
  <c r="AV38" i="18"/>
  <c r="BF74" i="18"/>
  <c r="AL74" i="18"/>
  <c r="AB56" i="18"/>
  <c r="BF20" i="18"/>
  <c r="R92" i="18"/>
  <c r="BF38" i="18"/>
  <c r="AD52" i="18"/>
  <c r="AX52" i="18"/>
  <c r="AN52" i="18"/>
  <c r="AD34" i="18"/>
  <c r="AX16" i="18"/>
  <c r="T16" i="18"/>
  <c r="AN88" i="18"/>
  <c r="AX70" i="18"/>
  <c r="T70" i="18"/>
  <c r="T34" i="18"/>
  <c r="J16" i="18"/>
  <c r="J70" i="18"/>
  <c r="AN70" i="18"/>
  <c r="AD16" i="18"/>
  <c r="AX88" i="18"/>
  <c r="AD70" i="18"/>
  <c r="AD88" i="18"/>
  <c r="AX34" i="18"/>
  <c r="J88" i="18"/>
  <c r="AN16" i="18"/>
  <c r="J34" i="18"/>
  <c r="T52" i="18"/>
  <c r="T88" i="18"/>
  <c r="J52" i="18"/>
  <c r="AB78" i="18"/>
  <c r="AL78" i="18"/>
  <c r="AV78" i="18"/>
  <c r="BF24" i="18"/>
  <c r="AV6" i="18"/>
  <c r="AB24" i="18"/>
  <c r="BF78" i="18"/>
  <c r="BF42" i="18"/>
  <c r="AB42" i="18"/>
  <c r="R60" i="18"/>
  <c r="AB6" i="18"/>
  <c r="R78" i="18"/>
  <c r="AV42" i="18"/>
  <c r="AL60" i="18"/>
  <c r="BF6" i="18"/>
  <c r="BF60" i="18"/>
  <c r="AV60" i="18"/>
  <c r="AB60" i="18"/>
  <c r="R6" i="18"/>
  <c r="R24" i="18"/>
  <c r="AV24" i="18"/>
  <c r="R42" i="18"/>
  <c r="AL42" i="18"/>
  <c r="AL6" i="18"/>
  <c r="AL24" i="18"/>
  <c r="AL52" i="18"/>
  <c r="BF70" i="18"/>
  <c r="AL88" i="18"/>
  <c r="AL16" i="18"/>
  <c r="AL34" i="18"/>
  <c r="R34" i="18"/>
  <c r="AV88" i="18"/>
  <c r="BF52" i="18"/>
  <c r="AB88" i="18"/>
  <c r="AB16" i="18"/>
  <c r="AB34" i="18"/>
  <c r="BF16" i="18"/>
  <c r="AB70" i="18"/>
  <c r="AV34" i="18"/>
  <c r="BF88" i="18"/>
  <c r="AL70" i="18"/>
  <c r="R70" i="18"/>
  <c r="BF34" i="18"/>
  <c r="R88" i="18"/>
  <c r="R16" i="18"/>
  <c r="AV70" i="18"/>
  <c r="AB52" i="18"/>
  <c r="AV16" i="18"/>
  <c r="R52" i="18"/>
  <c r="AZ42" i="18"/>
  <c r="AF60" i="18"/>
  <c r="AF42" i="18"/>
  <c r="L78" i="18"/>
  <c r="AZ24" i="18"/>
  <c r="L60" i="18"/>
  <c r="AP60" i="18"/>
  <c r="AZ6" i="18"/>
  <c r="AF78" i="18"/>
  <c r="AZ60" i="18"/>
  <c r="AP78" i="18"/>
  <c r="L24" i="18"/>
  <c r="V24" i="18"/>
  <c r="AP24" i="18"/>
  <c r="V42" i="18"/>
  <c r="AF6" i="18"/>
  <c r="AZ78" i="18"/>
  <c r="V60" i="18"/>
  <c r="AP42" i="18"/>
  <c r="AP6" i="18"/>
  <c r="L42" i="18"/>
  <c r="V6" i="18"/>
  <c r="V78" i="18"/>
  <c r="AF24" i="18"/>
  <c r="BF66" i="18"/>
  <c r="AV84" i="18"/>
  <c r="AV66" i="18"/>
  <c r="AB30" i="18"/>
  <c r="R30" i="18"/>
  <c r="R12" i="18"/>
  <c r="BF48" i="18"/>
  <c r="AV48" i="18"/>
  <c r="AL48" i="18"/>
  <c r="BF30" i="18"/>
  <c r="R84" i="18"/>
  <c r="BF12" i="18"/>
  <c r="AV12" i="18"/>
  <c r="AB84" i="18"/>
  <c r="AB48" i="18"/>
  <c r="AV30" i="18"/>
  <c r="AL12" i="18"/>
  <c r="AB66" i="18"/>
  <c r="BF84" i="18"/>
  <c r="AL66" i="18"/>
  <c r="R48" i="18"/>
  <c r="AB12" i="18"/>
  <c r="AL84" i="18"/>
  <c r="R66" i="18"/>
  <c r="AZ84" i="18"/>
  <c r="V66" i="18"/>
  <c r="L66" i="18"/>
  <c r="V12" i="18"/>
  <c r="L84" i="18"/>
  <c r="AZ66" i="18"/>
  <c r="AP66" i="18"/>
  <c r="AF84" i="18"/>
  <c r="L12" i="18"/>
  <c r="L30" i="18"/>
  <c r="AZ30" i="18"/>
  <c r="L48" i="18"/>
  <c r="V84" i="18"/>
  <c r="V48" i="18"/>
  <c r="AP12" i="18"/>
  <c r="AP48" i="18"/>
  <c r="AF48" i="18"/>
  <c r="AP84" i="18"/>
  <c r="AF12" i="18"/>
  <c r="AZ12" i="18"/>
  <c r="AP30" i="18"/>
  <c r="AZ48" i="18"/>
  <c r="V30" i="18"/>
  <c r="AF30" i="18"/>
  <c r="AX48" i="18"/>
  <c r="AN48" i="18"/>
  <c r="AX84" i="18"/>
  <c r="AX30" i="18"/>
  <c r="J84" i="18"/>
  <c r="AX12" i="18"/>
  <c r="T12" i="18"/>
  <c r="T84" i="18"/>
  <c r="AN84" i="18"/>
  <c r="AN30" i="18"/>
  <c r="J66" i="18"/>
  <c r="AN12" i="18"/>
  <c r="AX66" i="18"/>
  <c r="T48" i="18"/>
  <c r="J30" i="18"/>
  <c r="T66" i="18"/>
  <c r="AN66" i="18"/>
  <c r="AD48" i="18"/>
  <c r="AD30" i="18"/>
  <c r="J48" i="18"/>
  <c r="AD12" i="18"/>
  <c r="AD66" i="18"/>
  <c r="T30" i="18"/>
  <c r="J12" i="18"/>
  <c r="AD64" i="18"/>
  <c r="T64" i="18"/>
  <c r="AD46" i="18"/>
  <c r="AD10" i="18"/>
  <c r="AD28" i="18"/>
  <c r="J46" i="18"/>
  <c r="J10" i="18"/>
  <c r="T46" i="18"/>
  <c r="AX64" i="18"/>
  <c r="AN46" i="18"/>
  <c r="T10" i="18"/>
  <c r="T28" i="18"/>
  <c r="J28" i="18"/>
  <c r="AN82" i="18"/>
  <c r="AX82" i="18"/>
  <c r="AN28" i="18"/>
  <c r="AX46" i="18"/>
  <c r="T82" i="18"/>
  <c r="AN64" i="18"/>
  <c r="AX28" i="18"/>
  <c r="J82" i="18"/>
  <c r="AX10" i="18"/>
  <c r="AD82" i="18"/>
  <c r="AN10" i="18"/>
  <c r="J64" i="18"/>
  <c r="Z80" i="18"/>
  <c r="BD44" i="18"/>
  <c r="AJ80" i="18"/>
  <c r="Z8" i="18"/>
  <c r="AJ8" i="18"/>
  <c r="P80" i="18"/>
  <c r="BD80" i="18"/>
  <c r="Z62" i="18"/>
  <c r="AJ62" i="18"/>
  <c r="AT26" i="18"/>
  <c r="BD26" i="18"/>
  <c r="P62" i="18"/>
  <c r="AT44" i="18"/>
  <c r="Z44" i="18"/>
  <c r="BD8" i="18"/>
  <c r="BD62" i="18"/>
  <c r="AT62" i="18"/>
  <c r="AT80" i="18"/>
  <c r="P8" i="18"/>
  <c r="P26" i="18"/>
  <c r="AJ26" i="18"/>
  <c r="P44" i="18"/>
  <c r="AJ44" i="18"/>
  <c r="AT8" i="18"/>
  <c r="Z26" i="18"/>
  <c r="AV90" i="18"/>
  <c r="AL90" i="18"/>
  <c r="BF90" i="18"/>
  <c r="AV18" i="18"/>
  <c r="AV36" i="18"/>
  <c r="R72" i="18"/>
  <c r="R18" i="18"/>
  <c r="BF18" i="18"/>
  <c r="AL72" i="18"/>
  <c r="AB72" i="18"/>
  <c r="AL54" i="18"/>
  <c r="AL18" i="18"/>
  <c r="AL36" i="18"/>
  <c r="R54" i="18"/>
  <c r="AB90" i="18"/>
  <c r="BF36" i="18"/>
  <c r="AB54" i="18"/>
  <c r="BF72" i="18"/>
  <c r="AB18" i="18"/>
  <c r="AB36" i="18"/>
  <c r="R36" i="18"/>
  <c r="BF54" i="18"/>
  <c r="AV72" i="18"/>
  <c r="R90" i="18"/>
  <c r="AZ54" i="18"/>
  <c r="AP54" i="18"/>
  <c r="AZ90" i="18"/>
  <c r="AZ36" i="18"/>
  <c r="L90" i="18"/>
  <c r="AZ18" i="18"/>
  <c r="V18" i="18"/>
  <c r="V72" i="18"/>
  <c r="AP72" i="18"/>
  <c r="V54" i="18"/>
  <c r="AF36" i="18"/>
  <c r="L54" i="18"/>
  <c r="L18" i="18"/>
  <c r="AF90" i="18"/>
  <c r="V90" i="18"/>
  <c r="AP90" i="18"/>
  <c r="AP36" i="18"/>
  <c r="L72" i="18"/>
  <c r="AF18" i="18"/>
  <c r="AZ72" i="18"/>
  <c r="AF54" i="18"/>
  <c r="V36" i="18"/>
  <c r="L36" i="18"/>
  <c r="AP18" i="18"/>
  <c r="BB52" i="18"/>
  <c r="AR52" i="18"/>
  <c r="AH52" i="18"/>
  <c r="BB34" i="18"/>
  <c r="N88" i="18"/>
  <c r="BB16" i="18"/>
  <c r="X16" i="18"/>
  <c r="AH16" i="18"/>
  <c r="BB88" i="18"/>
  <c r="AH70" i="18"/>
  <c r="AH34" i="18"/>
  <c r="N52" i="18"/>
  <c r="N16" i="18"/>
  <c r="BB70" i="18"/>
  <c r="AR88" i="18"/>
  <c r="AR70" i="18"/>
  <c r="X34" i="18"/>
  <c r="N34" i="18"/>
  <c r="AR16" i="18"/>
  <c r="AH88" i="18"/>
  <c r="X88" i="18"/>
  <c r="X52" i="18"/>
  <c r="AR34" i="18"/>
  <c r="N70" i="18"/>
  <c r="AB64" i="18"/>
  <c r="AB82" i="18"/>
  <c r="AL10" i="18"/>
  <c r="AV28" i="18"/>
  <c r="R64" i="18"/>
  <c r="AB46" i="18"/>
  <c r="AV46" i="18"/>
  <c r="BF82" i="18"/>
  <c r="AB10" i="18"/>
  <c r="AL28" i="18"/>
  <c r="R46" i="18"/>
  <c r="AV82" i="18"/>
  <c r="AV64" i="18"/>
  <c r="BF28" i="18"/>
  <c r="BF10" i="18"/>
  <c r="BF46" i="18"/>
  <c r="BF64" i="18"/>
  <c r="AL46" i="18"/>
  <c r="R10" i="18"/>
  <c r="AB28" i="18"/>
  <c r="R28" i="18"/>
  <c r="AL82" i="18"/>
  <c r="AV10" i="18"/>
  <c r="R82" i="18"/>
  <c r="BF86" i="18"/>
  <c r="AB68" i="18"/>
  <c r="AL68" i="18"/>
  <c r="R68" i="18"/>
  <c r="AB14" i="18"/>
  <c r="BF68" i="18"/>
  <c r="AV68" i="18"/>
  <c r="AV86" i="18"/>
  <c r="R14" i="18"/>
  <c r="R32" i="18"/>
  <c r="BF32" i="18"/>
  <c r="R50" i="18"/>
  <c r="BF50" i="18"/>
  <c r="AV32" i="18"/>
  <c r="AB32" i="18"/>
  <c r="AV50" i="18"/>
  <c r="AL50" i="18"/>
  <c r="AB50" i="18"/>
  <c r="AL14" i="18"/>
  <c r="BF14" i="18"/>
  <c r="AL32" i="18"/>
  <c r="AB86" i="18"/>
  <c r="AL86" i="18"/>
  <c r="AV14" i="18"/>
  <c r="AT72" i="18"/>
  <c r="Z54" i="18"/>
  <c r="BD54" i="18"/>
  <c r="AJ36" i="18"/>
  <c r="P36" i="18"/>
  <c r="AJ18" i="18"/>
  <c r="BD72" i="18"/>
  <c r="Z72" i="18"/>
  <c r="Z36" i="18"/>
  <c r="BD18" i="18"/>
  <c r="Z18" i="18"/>
  <c r="BD90" i="18"/>
  <c r="Z90" i="18"/>
  <c r="P54" i="18"/>
  <c r="P72" i="18"/>
  <c r="AT90" i="18"/>
  <c r="AJ90" i="18"/>
  <c r="AT54" i="18"/>
  <c r="P90" i="18"/>
  <c r="P18" i="18"/>
  <c r="BD36" i="18"/>
  <c r="AJ72" i="18"/>
  <c r="AT36" i="18"/>
  <c r="AT18" i="18"/>
  <c r="BB64" i="18"/>
  <c r="AR64" i="18"/>
  <c r="BB46" i="18"/>
  <c r="N10" i="18"/>
  <c r="AH28" i="18"/>
  <c r="AR10" i="18"/>
  <c r="BB10" i="18"/>
  <c r="AR46" i="18"/>
  <c r="AH46" i="18"/>
  <c r="X64" i="18"/>
  <c r="AH10" i="18"/>
  <c r="N82" i="18"/>
  <c r="X10" i="18"/>
  <c r="BB82" i="18"/>
  <c r="AH64" i="18"/>
  <c r="X46" i="18"/>
  <c r="AR28" i="18"/>
  <c r="N46" i="18"/>
  <c r="X82" i="18"/>
  <c r="AH82" i="18"/>
  <c r="AR82" i="18"/>
  <c r="BB28" i="18"/>
  <c r="N64" i="18"/>
  <c r="X28" i="18"/>
  <c r="N28" i="18"/>
  <c r="AH48" i="18"/>
  <c r="BB66" i="18"/>
  <c r="BB48" i="18"/>
  <c r="N48" i="18"/>
  <c r="AH12" i="18"/>
  <c r="X30" i="18"/>
  <c r="AR84" i="18"/>
  <c r="AH84" i="18"/>
  <c r="X66" i="18"/>
  <c r="BB12" i="18"/>
  <c r="X12" i="18"/>
  <c r="N66" i="18"/>
  <c r="AR66" i="18"/>
  <c r="AR12" i="18"/>
  <c r="BB84" i="18"/>
  <c r="AH66" i="18"/>
  <c r="X84" i="18"/>
  <c r="AR30" i="18"/>
  <c r="N12" i="18"/>
  <c r="BB30" i="18"/>
  <c r="N30" i="18"/>
  <c r="X48" i="18"/>
  <c r="N84" i="18"/>
  <c r="AH30" i="18"/>
  <c r="AZ46" i="18"/>
  <c r="AP46" i="18"/>
  <c r="AF46" i="18"/>
  <c r="AZ28" i="18"/>
  <c r="L82" i="18"/>
  <c r="AZ10" i="18"/>
  <c r="V10" i="18"/>
  <c r="AF82" i="18"/>
  <c r="V82" i="18"/>
  <c r="V46" i="18"/>
  <c r="AP28" i="18"/>
  <c r="L64" i="18"/>
  <c r="L10" i="18"/>
  <c r="AP82" i="18"/>
  <c r="V28" i="18"/>
  <c r="L28" i="18"/>
  <c r="V64" i="18"/>
  <c r="AZ82" i="18"/>
  <c r="AF64" i="18"/>
  <c r="AF28" i="18"/>
  <c r="L46" i="18"/>
  <c r="AP10" i="18"/>
  <c r="AZ64" i="18"/>
  <c r="AP64" i="18"/>
  <c r="AF10" i="18"/>
  <c r="AR94" i="18"/>
  <c r="AH94" i="18"/>
  <c r="BB94" i="18"/>
  <c r="AR22" i="18"/>
  <c r="AR40" i="18"/>
  <c r="N76" i="18"/>
  <c r="N22" i="18"/>
  <c r="BB58" i="18"/>
  <c r="AR76" i="18"/>
  <c r="N94" i="18"/>
  <c r="AH76" i="18"/>
  <c r="X76" i="18"/>
  <c r="AH58" i="18"/>
  <c r="AH22" i="18"/>
  <c r="AH40" i="18"/>
  <c r="N58" i="18"/>
  <c r="X58" i="18"/>
  <c r="BB76" i="18"/>
  <c r="AR58" i="18"/>
  <c r="X22" i="18"/>
  <c r="X40" i="18"/>
  <c r="N40" i="18"/>
  <c r="X94" i="18"/>
  <c r="BB40" i="18"/>
  <c r="BB22" i="18"/>
  <c r="AF58" i="18"/>
  <c r="AZ76" i="18"/>
  <c r="AP58" i="18"/>
  <c r="L94" i="18"/>
  <c r="AP22" i="18"/>
  <c r="AF40" i="18"/>
  <c r="V58" i="18"/>
  <c r="L22" i="18"/>
  <c r="AP94" i="18"/>
  <c r="AF94" i="18"/>
  <c r="V76" i="18"/>
  <c r="L58" i="18"/>
  <c r="AF22" i="18"/>
  <c r="L76" i="18"/>
  <c r="AZ94" i="18"/>
  <c r="V94" i="18"/>
  <c r="AP40" i="18"/>
  <c r="AZ22" i="18"/>
  <c r="V22" i="18"/>
  <c r="L40" i="18"/>
  <c r="AP76" i="18"/>
  <c r="AZ58" i="18"/>
  <c r="V40" i="18"/>
  <c r="AZ40" i="18"/>
  <c r="AJ86" i="18"/>
  <c r="Z86" i="18"/>
  <c r="BD86" i="18"/>
  <c r="AT32" i="18"/>
  <c r="P68" i="18"/>
  <c r="P14" i="18"/>
  <c r="Z68" i="18"/>
  <c r="AT68" i="18"/>
  <c r="AT86" i="18"/>
  <c r="AJ32" i="18"/>
  <c r="P50" i="18"/>
  <c r="AT14" i="18"/>
  <c r="BD50" i="18"/>
  <c r="P86" i="18"/>
  <c r="Z14" i="18"/>
  <c r="BD68" i="18"/>
  <c r="AJ68" i="18"/>
  <c r="Z50" i="18"/>
  <c r="Z32" i="18"/>
  <c r="P32" i="18"/>
  <c r="AJ14" i="18"/>
  <c r="AT50" i="18"/>
  <c r="BD32" i="18"/>
  <c r="BD14" i="18"/>
  <c r="V52" i="18"/>
  <c r="AZ70" i="18"/>
  <c r="AP52" i="18"/>
  <c r="V16" i="18"/>
  <c r="V34" i="18"/>
  <c r="L34" i="18"/>
  <c r="AZ52" i="18"/>
  <c r="V88" i="18"/>
  <c r="AP70" i="18"/>
  <c r="AZ34" i="18"/>
  <c r="L88" i="18"/>
  <c r="AZ16" i="18"/>
  <c r="AF70" i="18"/>
  <c r="AF52" i="18"/>
  <c r="L52" i="18"/>
  <c r="AP88" i="18"/>
  <c r="AF88" i="18"/>
  <c r="AZ88" i="18"/>
  <c r="AP16" i="18"/>
  <c r="AP34" i="18"/>
  <c r="L16" i="18"/>
  <c r="V70" i="18"/>
  <c r="AF16" i="18"/>
  <c r="AF34" i="18"/>
  <c r="BB90" i="18"/>
  <c r="X72" i="18"/>
  <c r="AH72" i="18"/>
  <c r="N72" i="18"/>
  <c r="X18" i="18"/>
  <c r="N90" i="18"/>
  <c r="BB72" i="18"/>
  <c r="AR72" i="18"/>
  <c r="AH90" i="18"/>
  <c r="N18" i="18"/>
  <c r="N36" i="18"/>
  <c r="BB36" i="18"/>
  <c r="N54" i="18"/>
  <c r="X90" i="18"/>
  <c r="X54" i="18"/>
  <c r="AR18" i="18"/>
  <c r="AR54" i="18"/>
  <c r="AR90" i="18"/>
  <c r="AH18" i="18"/>
  <c r="BB18" i="18"/>
  <c r="AH36" i="18"/>
  <c r="BB54" i="18"/>
  <c r="AR36" i="18"/>
  <c r="X36" i="18"/>
  <c r="V92" i="18"/>
  <c r="AF92" i="18"/>
  <c r="V56" i="18"/>
  <c r="AP38" i="18"/>
  <c r="AP20" i="18"/>
  <c r="V38" i="18"/>
  <c r="AZ92" i="18"/>
  <c r="AZ56" i="18"/>
  <c r="AP92" i="18"/>
  <c r="L74" i="18"/>
  <c r="V20" i="18"/>
  <c r="L92" i="18"/>
  <c r="AP56" i="18"/>
  <c r="AF20" i="18"/>
  <c r="AF38" i="18"/>
  <c r="AZ74" i="18"/>
  <c r="AP74" i="18"/>
  <c r="AF74" i="18"/>
  <c r="L20" i="18"/>
  <c r="L38" i="18"/>
  <c r="AZ38" i="18"/>
  <c r="L56" i="18"/>
  <c r="V74" i="18"/>
  <c r="AZ20" i="18"/>
  <c r="AR92" i="18"/>
  <c r="AH92" i="18"/>
  <c r="X20" i="18"/>
  <c r="X38" i="18"/>
  <c r="BB20" i="18"/>
  <c r="X92" i="18"/>
  <c r="BB92" i="18"/>
  <c r="AH74" i="18"/>
  <c r="X74" i="18"/>
  <c r="N74" i="18"/>
  <c r="BB38" i="18"/>
  <c r="N92" i="18"/>
  <c r="N20" i="18"/>
  <c r="AH56" i="18"/>
  <c r="AH38" i="18"/>
  <c r="AR74" i="18"/>
  <c r="X56" i="18"/>
  <c r="BB74" i="18"/>
  <c r="AR20" i="18"/>
  <c r="AR38" i="18"/>
  <c r="N56" i="18"/>
  <c r="BB56" i="18"/>
  <c r="AH20" i="18"/>
  <c r="N38" i="18"/>
  <c r="BF80" i="18"/>
  <c r="AL62" i="18"/>
  <c r="AB80" i="18"/>
  <c r="BF26" i="18"/>
  <c r="BF8" i="18"/>
  <c r="AB8" i="18"/>
  <c r="R26" i="18"/>
  <c r="AL26" i="18"/>
  <c r="AV62" i="18"/>
  <c r="AB44" i="18"/>
  <c r="AV44" i="18"/>
  <c r="AV26" i="18"/>
  <c r="R8" i="18"/>
  <c r="AL44" i="18"/>
  <c r="BF62" i="18"/>
  <c r="BF44" i="18"/>
  <c r="R80" i="18"/>
  <c r="AB26" i="18"/>
  <c r="AV80" i="18"/>
  <c r="AL80" i="18"/>
  <c r="AB62" i="18"/>
  <c r="R44" i="18"/>
  <c r="AL8" i="18"/>
  <c r="R62" i="18"/>
  <c r="AV8" i="18"/>
  <c r="P127" i="1"/>
  <c r="AE127" i="1" s="1"/>
  <c r="AD127" i="1" s="1"/>
  <c r="Q127" i="1"/>
  <c r="P34" i="1"/>
  <c r="AE34" i="1" s="1"/>
  <c r="AD34" i="1" s="1"/>
  <c r="P67" i="1"/>
  <c r="AE67" i="1" s="1"/>
  <c r="AD67" i="1" s="1"/>
  <c r="Q103" i="1"/>
  <c r="P103" i="1"/>
  <c r="AE103" i="1" s="1"/>
  <c r="AD103" i="1" s="1"/>
  <c r="Q67" i="1"/>
  <c r="Q34" i="1"/>
  <c r="P44" i="1"/>
  <c r="AE44" i="1" s="1"/>
  <c r="AD44" i="1" s="1"/>
  <c r="Q44" i="1"/>
  <c r="P22" i="1"/>
  <c r="AE22" i="1" s="1"/>
  <c r="AD22" i="1" s="1"/>
  <c r="Q22" i="1"/>
  <c r="P82" i="1"/>
  <c r="AE82" i="1" s="1"/>
  <c r="AD82" i="1" s="1"/>
  <c r="Q82" i="1"/>
  <c r="P106" i="1"/>
  <c r="AE106" i="1" s="1"/>
  <c r="AD106" i="1" s="1"/>
  <c r="Q106" i="1"/>
  <c r="J6" i="18"/>
  <c r="P7" i="1"/>
  <c r="P55" i="1"/>
  <c r="AE55" i="1" s="1"/>
  <c r="AD55" i="1" s="1"/>
  <c r="Q55" i="1"/>
  <c r="P100" i="1"/>
  <c r="AE100" i="1" s="1"/>
  <c r="AD100" i="1" s="1"/>
  <c r="Q100" i="1"/>
  <c r="P76" i="1"/>
  <c r="AE76" i="1" s="1"/>
  <c r="AD76" i="1" s="1"/>
  <c r="Q76" i="1"/>
  <c r="Q58" i="1"/>
  <c r="P58" i="1"/>
  <c r="AE58" i="1" s="1"/>
  <c r="AD58" i="1" s="1"/>
  <c r="Q136" i="1"/>
  <c r="P136" i="1"/>
  <c r="P79" i="1"/>
  <c r="AE79" i="1" s="1"/>
  <c r="AD79" i="1" s="1"/>
  <c r="Q79" i="1"/>
  <c r="Q13" i="1"/>
  <c r="P13" i="1"/>
  <c r="AE13" i="1" s="1"/>
  <c r="AD13" i="1" s="1"/>
  <c r="P130" i="1"/>
  <c r="AE130" i="1" s="1"/>
  <c r="AD130" i="1" s="1"/>
  <c r="Q130" i="1"/>
  <c r="P109" i="1"/>
  <c r="AE109" i="1" s="1"/>
  <c r="AD109" i="1" s="1"/>
  <c r="Q109" i="1"/>
  <c r="P25" i="1"/>
  <c r="AE25" i="1" s="1"/>
  <c r="AD25" i="1" s="1"/>
  <c r="Q25" i="1"/>
  <c r="Q37" i="1"/>
  <c r="P37" i="1"/>
  <c r="AE37" i="1" s="1"/>
  <c r="AD37" i="1" s="1"/>
  <c r="P31" i="1"/>
  <c r="AE31" i="1" s="1"/>
  <c r="AD31" i="1" s="1"/>
  <c r="Q31" i="1"/>
  <c r="Q118" i="1"/>
  <c r="P118" i="1"/>
  <c r="AE118" i="1" s="1"/>
  <c r="AD118" i="1" s="1"/>
  <c r="Q61" i="1"/>
  <c r="P61" i="1"/>
  <c r="AE61" i="1" s="1"/>
  <c r="AD61" i="1" s="1"/>
  <c r="P52" i="1"/>
  <c r="AE52" i="1" s="1"/>
  <c r="AD52" i="1" s="1"/>
  <c r="Q52" i="1"/>
  <c r="P115" i="1"/>
  <c r="AE115" i="1" s="1"/>
  <c r="AD115" i="1" s="1"/>
  <c r="Q115" i="1"/>
  <c r="L6" i="18"/>
  <c r="Q10" i="1"/>
  <c r="P10" i="1"/>
  <c r="AE10" i="1" s="1"/>
  <c r="AD10" i="1" s="1"/>
  <c r="P91" i="1"/>
  <c r="Q91" i="1"/>
  <c r="P28" i="1"/>
  <c r="AE28" i="1" s="1"/>
  <c r="AD28" i="1" s="1"/>
  <c r="Q28" i="1"/>
  <c r="Q88" i="1"/>
  <c r="P88" i="1"/>
  <c r="P112" i="1"/>
  <c r="AE112" i="1" s="1"/>
  <c r="AD112" i="1" s="1"/>
  <c r="Q112" i="1"/>
  <c r="P124" i="1"/>
  <c r="AE124" i="1" s="1"/>
  <c r="AD124" i="1" s="1"/>
  <c r="Q124" i="1"/>
  <c r="P70" i="1"/>
  <c r="AE70" i="1" s="1"/>
  <c r="AD70" i="1" s="1"/>
  <c r="Q70" i="1"/>
  <c r="P97" i="1"/>
  <c r="AE97" i="1" s="1"/>
  <c r="AD97" i="1" s="1"/>
  <c r="Q97" i="1"/>
  <c r="P133" i="1"/>
  <c r="AE133" i="1" s="1"/>
  <c r="AD133" i="1" s="1"/>
  <c r="Q133" i="1"/>
  <c r="Q73" i="1"/>
  <c r="P73" i="1"/>
  <c r="AE73" i="1" s="1"/>
  <c r="AD73" i="1" s="1"/>
  <c r="P41" i="1"/>
  <c r="AE41" i="1" s="1"/>
  <c r="AD41" i="1" s="1"/>
  <c r="Q41" i="1"/>
  <c r="P19" i="1"/>
  <c r="AE19" i="1" s="1"/>
  <c r="AD19" i="1" s="1"/>
  <c r="Q19" i="1"/>
  <c r="P49" i="1"/>
  <c r="AE49" i="1" s="1"/>
  <c r="AD49" i="1" s="1"/>
  <c r="Q49" i="1"/>
  <c r="Q121" i="1"/>
  <c r="P121" i="1"/>
  <c r="AE121" i="1" s="1"/>
  <c r="AD121" i="1" s="1"/>
  <c r="P85" i="1"/>
  <c r="AE85" i="1" s="1"/>
  <c r="AD85" i="1" s="1"/>
  <c r="Q85" i="1"/>
  <c r="P64" i="1"/>
  <c r="AE64" i="1" s="1"/>
  <c r="AD64" i="1" s="1"/>
  <c r="Q64" i="1"/>
  <c r="P94" i="1"/>
  <c r="Q94" i="1"/>
  <c r="P16" i="1"/>
  <c r="AE16" i="1" s="1"/>
  <c r="AD16" i="1" s="1"/>
  <c r="Q16" i="1"/>
  <c r="V193" i="19" l="1"/>
  <c r="M150" i="19"/>
  <c r="S150" i="19"/>
  <c r="V64" i="19"/>
  <c r="V21" i="19"/>
  <c r="S21" i="19"/>
  <c r="S193" i="19"/>
  <c r="S64" i="19"/>
  <c r="J193" i="19"/>
  <c r="P150" i="19"/>
  <c r="V107" i="19"/>
  <c r="J64" i="19"/>
  <c r="P21" i="19"/>
  <c r="P107" i="19"/>
  <c r="M193" i="19"/>
  <c r="P64" i="19"/>
  <c r="P193" i="19"/>
  <c r="V150" i="19"/>
  <c r="S107" i="19"/>
  <c r="J107" i="19"/>
  <c r="M64" i="19"/>
  <c r="J21" i="19"/>
  <c r="M21" i="19"/>
  <c r="J150" i="19"/>
  <c r="M107" i="19"/>
  <c r="J194" i="19"/>
  <c r="J151" i="19"/>
  <c r="P151" i="19"/>
  <c r="S65" i="19"/>
  <c r="M22" i="19"/>
  <c r="J22" i="19"/>
  <c r="V151" i="19"/>
  <c r="S22" i="19"/>
  <c r="M194" i="19"/>
  <c r="V194" i="19"/>
  <c r="M151" i="19"/>
  <c r="V108" i="19"/>
  <c r="V65" i="19"/>
  <c r="P65" i="19"/>
  <c r="V22" i="19"/>
  <c r="S108" i="19"/>
  <c r="P194" i="19"/>
  <c r="S151" i="19"/>
  <c r="P108" i="19"/>
  <c r="J108" i="19"/>
  <c r="J65" i="19"/>
  <c r="P22" i="19"/>
  <c r="S194" i="19"/>
  <c r="M108" i="19"/>
  <c r="M65" i="19"/>
  <c r="P183" i="19"/>
  <c r="P140" i="19"/>
  <c r="J140" i="19"/>
  <c r="S97" i="19"/>
  <c r="S54" i="19"/>
  <c r="M11" i="19"/>
  <c r="M54" i="19"/>
  <c r="P54" i="19"/>
  <c r="J54" i="19"/>
  <c r="J11" i="19"/>
  <c r="S183" i="19"/>
  <c r="S140" i="19"/>
  <c r="M140" i="19"/>
  <c r="V97" i="19"/>
  <c r="V54" i="19"/>
  <c r="J183" i="19"/>
  <c r="J97" i="19"/>
  <c r="V183" i="19"/>
  <c r="M183" i="19"/>
  <c r="M97" i="19"/>
  <c r="V11" i="19"/>
  <c r="P11" i="19"/>
  <c r="V140" i="19"/>
  <c r="P97" i="19"/>
  <c r="S11" i="19"/>
  <c r="S197" i="19"/>
  <c r="M197" i="19"/>
  <c r="P154" i="19"/>
  <c r="S154" i="19"/>
  <c r="J68" i="19"/>
  <c r="J25" i="19"/>
  <c r="P68" i="19"/>
  <c r="V197" i="19"/>
  <c r="V154" i="19"/>
  <c r="S111" i="19"/>
  <c r="M111" i="19"/>
  <c r="M68" i="19"/>
  <c r="V25" i="19"/>
  <c r="M154" i="19"/>
  <c r="V68" i="19"/>
  <c r="S25" i="19"/>
  <c r="P197" i="19"/>
  <c r="J154" i="19"/>
  <c r="V111" i="19"/>
  <c r="P111" i="19"/>
  <c r="S68" i="19"/>
  <c r="M25" i="19"/>
  <c r="J197" i="19"/>
  <c r="J111" i="19"/>
  <c r="P25" i="19"/>
  <c r="M195" i="19"/>
  <c r="P152" i="19"/>
  <c r="J152" i="19"/>
  <c r="P66" i="19"/>
  <c r="M152" i="19"/>
  <c r="M23" i="19"/>
  <c r="M66" i="19"/>
  <c r="V195" i="19"/>
  <c r="S109" i="19"/>
  <c r="S23" i="19"/>
  <c r="J195" i="19"/>
  <c r="P195" i="19"/>
  <c r="M109" i="19"/>
  <c r="V23" i="19"/>
  <c r="V109" i="19"/>
  <c r="J23" i="19"/>
  <c r="V152" i="19"/>
  <c r="S66" i="19"/>
  <c r="V66" i="19"/>
  <c r="S195" i="19"/>
  <c r="S152" i="19"/>
  <c r="P109" i="19"/>
  <c r="J109" i="19"/>
  <c r="J66" i="19"/>
  <c r="P23" i="19"/>
  <c r="P210" i="19"/>
  <c r="V167" i="19"/>
  <c r="J124" i="19"/>
  <c r="S81" i="19"/>
  <c r="M81" i="19"/>
  <c r="J38" i="19"/>
  <c r="S124" i="19"/>
  <c r="S210" i="19"/>
  <c r="P167" i="19"/>
  <c r="P124" i="19"/>
  <c r="P81" i="19"/>
  <c r="M124" i="19"/>
  <c r="M38" i="19"/>
  <c r="V210" i="19"/>
  <c r="S167" i="19"/>
  <c r="V124" i="19"/>
  <c r="V38" i="19"/>
  <c r="V81" i="19"/>
  <c r="M210" i="19"/>
  <c r="J210" i="19"/>
  <c r="J167" i="19"/>
  <c r="M167" i="19"/>
  <c r="S38" i="19"/>
  <c r="P38" i="19"/>
  <c r="J81" i="19"/>
  <c r="V200" i="19"/>
  <c r="J157" i="19"/>
  <c r="S157" i="19"/>
  <c r="V71" i="19"/>
  <c r="V28" i="19"/>
  <c r="S71" i="19"/>
  <c r="S28" i="19"/>
  <c r="V157" i="19"/>
  <c r="P114" i="19"/>
  <c r="M200" i="19"/>
  <c r="M157" i="19"/>
  <c r="V114" i="19"/>
  <c r="J71" i="19"/>
  <c r="P28" i="19"/>
  <c r="J200" i="19"/>
  <c r="M114" i="19"/>
  <c r="S200" i="19"/>
  <c r="P200" i="19"/>
  <c r="P157" i="19"/>
  <c r="J114" i="19"/>
  <c r="M71" i="19"/>
  <c r="J28" i="19"/>
  <c r="M28" i="19"/>
  <c r="S114" i="19"/>
  <c r="P71" i="19"/>
  <c r="J201" i="19"/>
  <c r="J158" i="19"/>
  <c r="S115" i="19"/>
  <c r="M115" i="19"/>
  <c r="S29" i="19"/>
  <c r="J29" i="19"/>
  <c r="P115" i="19"/>
  <c r="P201" i="19"/>
  <c r="S201" i="19"/>
  <c r="M158" i="19"/>
  <c r="V115" i="19"/>
  <c r="V72" i="19"/>
  <c r="M29" i="19"/>
  <c r="V29" i="19"/>
  <c r="V158" i="19"/>
  <c r="M72" i="19"/>
  <c r="V201" i="19"/>
  <c r="S158" i="19"/>
  <c r="P158" i="19"/>
  <c r="J115" i="19"/>
  <c r="J72" i="19"/>
  <c r="P72" i="19"/>
  <c r="M201" i="19"/>
  <c r="S72" i="19"/>
  <c r="P29" i="19"/>
  <c r="M211" i="19"/>
  <c r="M168" i="19"/>
  <c r="V125" i="19"/>
  <c r="P82" i="19"/>
  <c r="V82" i="19"/>
  <c r="S39" i="19"/>
  <c r="V211" i="19"/>
  <c r="P211" i="19"/>
  <c r="P168" i="19"/>
  <c r="P125" i="19"/>
  <c r="S125" i="19"/>
  <c r="V39" i="19"/>
  <c r="S82" i="19"/>
  <c r="J39" i="19"/>
  <c r="J211" i="19"/>
  <c r="S168" i="19"/>
  <c r="M125" i="19"/>
  <c r="J125" i="19"/>
  <c r="P39" i="19"/>
  <c r="M39" i="19"/>
  <c r="S211" i="19"/>
  <c r="V168" i="19"/>
  <c r="J168" i="19"/>
  <c r="M82" i="19"/>
  <c r="J82" i="19"/>
  <c r="M187" i="19"/>
  <c r="S144" i="19"/>
  <c r="M144" i="19"/>
  <c r="V15" i="19"/>
  <c r="V101" i="19"/>
  <c r="J15" i="19"/>
  <c r="S187" i="19"/>
  <c r="V144" i="19"/>
  <c r="P101" i="19"/>
  <c r="S58" i="19"/>
  <c r="J58" i="19"/>
  <c r="V58" i="19"/>
  <c r="P187" i="19"/>
  <c r="M101" i="19"/>
  <c r="M58" i="19"/>
  <c r="V187" i="19"/>
  <c r="J187" i="19"/>
  <c r="J144" i="19"/>
  <c r="S101" i="19"/>
  <c r="J101" i="19"/>
  <c r="S15" i="19"/>
  <c r="P15" i="19"/>
  <c r="P144" i="19"/>
  <c r="P58" i="19"/>
  <c r="M15" i="19"/>
  <c r="M181" i="19"/>
  <c r="M138" i="19"/>
  <c r="V95" i="19"/>
  <c r="V52" i="19"/>
  <c r="P9" i="19"/>
  <c r="S52" i="19"/>
  <c r="P181" i="19"/>
  <c r="P138" i="19"/>
  <c r="J95" i="19"/>
  <c r="J52" i="19"/>
  <c r="J9" i="19"/>
  <c r="P52" i="19"/>
  <c r="V181" i="19"/>
  <c r="S181" i="19"/>
  <c r="S95" i="19"/>
  <c r="S138" i="19"/>
  <c r="M52" i="19"/>
  <c r="S9" i="19"/>
  <c r="M9" i="19"/>
  <c r="J181" i="19"/>
  <c r="V138" i="19"/>
  <c r="J138" i="19"/>
  <c r="M95" i="19"/>
  <c r="V9" i="19"/>
  <c r="P95" i="19"/>
  <c r="J217" i="19"/>
  <c r="P174" i="19"/>
  <c r="V174" i="19"/>
  <c r="J88" i="19"/>
  <c r="P88" i="19"/>
  <c r="P45" i="19"/>
  <c r="V88" i="19"/>
  <c r="V217" i="19"/>
  <c r="S174" i="19"/>
  <c r="S131" i="19"/>
  <c r="M131" i="19"/>
  <c r="V45" i="19"/>
  <c r="S45" i="19"/>
  <c r="S217" i="19"/>
  <c r="J131" i="19"/>
  <c r="M217" i="19"/>
  <c r="M174" i="19"/>
  <c r="J174" i="19"/>
  <c r="V131" i="19"/>
  <c r="M88" i="19"/>
  <c r="M45" i="19"/>
  <c r="J45" i="19"/>
  <c r="P217" i="19"/>
  <c r="P131" i="19"/>
  <c r="S88" i="19"/>
  <c r="J196" i="19"/>
  <c r="M153" i="19"/>
  <c r="V110" i="19"/>
  <c r="P110" i="19"/>
  <c r="S67" i="19"/>
  <c r="V24" i="19"/>
  <c r="P196" i="19"/>
  <c r="P153" i="19"/>
  <c r="J110" i="19"/>
  <c r="M67" i="19"/>
  <c r="P24" i="19"/>
  <c r="V67" i="19"/>
  <c r="S196" i="19"/>
  <c r="S153" i="19"/>
  <c r="V153" i="19"/>
  <c r="P67" i="19"/>
  <c r="J24" i="19"/>
  <c r="M24" i="19"/>
  <c r="V196" i="19"/>
  <c r="M196" i="19"/>
  <c r="J153" i="19"/>
  <c r="M110" i="19"/>
  <c r="S110" i="19"/>
  <c r="J67" i="19"/>
  <c r="S24" i="19"/>
  <c r="V93" i="19"/>
  <c r="J50" i="19"/>
  <c r="V136" i="19"/>
  <c r="V7" i="19"/>
  <c r="M179" i="19"/>
  <c r="M50" i="19"/>
  <c r="S179" i="19"/>
  <c r="M136" i="19"/>
  <c r="M7" i="19"/>
  <c r="J93" i="19"/>
  <c r="S136" i="19"/>
  <c r="V179" i="19"/>
  <c r="M93" i="19"/>
  <c r="S93" i="19"/>
  <c r="J179" i="19"/>
  <c r="P50" i="19"/>
  <c r="S7" i="19"/>
  <c r="J136" i="19"/>
  <c r="S50" i="19"/>
  <c r="P179" i="19"/>
  <c r="P136" i="19"/>
  <c r="P7" i="19"/>
  <c r="P93" i="19"/>
  <c r="V50" i="19"/>
  <c r="J214" i="19"/>
  <c r="M171" i="19"/>
  <c r="P128" i="19"/>
  <c r="P85" i="19"/>
  <c r="J85" i="19"/>
  <c r="J42" i="19"/>
  <c r="V214" i="19"/>
  <c r="S214" i="19"/>
  <c r="S171" i="19"/>
  <c r="V128" i="19"/>
  <c r="V42" i="19"/>
  <c r="M85" i="19"/>
  <c r="P42" i="19"/>
  <c r="M214" i="19"/>
  <c r="V171" i="19"/>
  <c r="M128" i="19"/>
  <c r="J128" i="19"/>
  <c r="S85" i="19"/>
  <c r="M42" i="19"/>
  <c r="P214" i="19"/>
  <c r="J171" i="19"/>
  <c r="P171" i="19"/>
  <c r="S128" i="19"/>
  <c r="V85" i="19"/>
  <c r="S42" i="19"/>
  <c r="M186" i="19"/>
  <c r="P186" i="19"/>
  <c r="S100" i="19"/>
  <c r="M100" i="19"/>
  <c r="M14" i="19"/>
  <c r="P14" i="19"/>
  <c r="P100" i="19"/>
  <c r="S186" i="19"/>
  <c r="S143" i="19"/>
  <c r="M143" i="19"/>
  <c r="V100" i="19"/>
  <c r="V57" i="19"/>
  <c r="V14" i="19"/>
  <c r="J14" i="19"/>
  <c r="J186" i="19"/>
  <c r="S57" i="19"/>
  <c r="P57" i="19"/>
  <c r="V186" i="19"/>
  <c r="V143" i="19"/>
  <c r="P143" i="19"/>
  <c r="J100" i="19"/>
  <c r="J57" i="19"/>
  <c r="M57" i="19"/>
  <c r="J143" i="19"/>
  <c r="S14" i="19"/>
  <c r="V184" i="19"/>
  <c r="V98" i="19"/>
  <c r="V141" i="19"/>
  <c r="P55" i="19"/>
  <c r="J12" i="19"/>
  <c r="S55" i="19"/>
  <c r="M184" i="19"/>
  <c r="M141" i="19"/>
  <c r="J98" i="19"/>
  <c r="P98" i="19"/>
  <c r="S98" i="19"/>
  <c r="V12" i="19"/>
  <c r="S12" i="19"/>
  <c r="S141" i="19"/>
  <c r="M55" i="19"/>
  <c r="M12" i="19"/>
  <c r="P184" i="19"/>
  <c r="P141" i="19"/>
  <c r="J141" i="19"/>
  <c r="J184" i="19"/>
  <c r="J55" i="19"/>
  <c r="V55" i="19"/>
  <c r="S184" i="19"/>
  <c r="M98" i="19"/>
  <c r="P12" i="19"/>
  <c r="S219" i="19"/>
  <c r="S176" i="19"/>
  <c r="M176" i="19"/>
  <c r="M133" i="19"/>
  <c r="J90" i="19"/>
  <c r="M90" i="19"/>
  <c r="M47" i="19"/>
  <c r="J176" i="19"/>
  <c r="V133" i="19"/>
  <c r="V47" i="19"/>
  <c r="P219" i="19"/>
  <c r="M219" i="19"/>
  <c r="S90" i="19"/>
  <c r="S47" i="19"/>
  <c r="V219" i="19"/>
  <c r="V176" i="19"/>
  <c r="P176" i="19"/>
  <c r="P133" i="19"/>
  <c r="S133" i="19"/>
  <c r="P47" i="19"/>
  <c r="J219" i="19"/>
  <c r="P90" i="19"/>
  <c r="J47" i="19"/>
  <c r="J133" i="19"/>
  <c r="V90" i="19"/>
  <c r="J202" i="19"/>
  <c r="V159" i="19"/>
  <c r="S116" i="19"/>
  <c r="S73" i="19"/>
  <c r="M30" i="19"/>
  <c r="M73" i="19"/>
  <c r="S202" i="19"/>
  <c r="S159" i="19"/>
  <c r="P116" i="19"/>
  <c r="J73" i="19"/>
  <c r="M202" i="19"/>
  <c r="V202" i="19"/>
  <c r="J159" i="19"/>
  <c r="J116" i="19"/>
  <c r="M159" i="19"/>
  <c r="V116" i="19"/>
  <c r="J30" i="19"/>
  <c r="S30" i="19"/>
  <c r="P202" i="19"/>
  <c r="P159" i="19"/>
  <c r="M116" i="19"/>
  <c r="P73" i="19"/>
  <c r="V73" i="19"/>
  <c r="P30" i="19"/>
  <c r="V30" i="19"/>
  <c r="J209" i="19"/>
  <c r="J166" i="19"/>
  <c r="P166" i="19"/>
  <c r="V80" i="19"/>
  <c r="S37" i="19"/>
  <c r="J37" i="19"/>
  <c r="P209" i="19"/>
  <c r="S209" i="19"/>
  <c r="M166" i="19"/>
  <c r="J123" i="19"/>
  <c r="J80" i="19"/>
  <c r="M37" i="19"/>
  <c r="P80" i="19"/>
  <c r="V166" i="19"/>
  <c r="P37" i="19"/>
  <c r="M209" i="19"/>
  <c r="S166" i="19"/>
  <c r="S123" i="19"/>
  <c r="S80" i="19"/>
  <c r="M80" i="19"/>
  <c r="V123" i="19"/>
  <c r="V209" i="19"/>
  <c r="P123" i="19"/>
  <c r="M123" i="19"/>
  <c r="V37" i="19"/>
  <c r="S203" i="19"/>
  <c r="P160" i="19"/>
  <c r="M117" i="19"/>
  <c r="P74" i="19"/>
  <c r="P31" i="19"/>
  <c r="V74" i="19"/>
  <c r="J117" i="19"/>
  <c r="V31" i="19"/>
  <c r="M203" i="19"/>
  <c r="S160" i="19"/>
  <c r="J160" i="19"/>
  <c r="V160" i="19"/>
  <c r="J31" i="19"/>
  <c r="M31" i="19"/>
  <c r="J203" i="19"/>
  <c r="M74" i="19"/>
  <c r="V203" i="19"/>
  <c r="M160" i="19"/>
  <c r="V117" i="19"/>
  <c r="P117" i="19"/>
  <c r="S117" i="19"/>
  <c r="J74" i="19"/>
  <c r="S31" i="19"/>
  <c r="P203" i="19"/>
  <c r="S74" i="19"/>
  <c r="Q190" i="19"/>
  <c r="N190" i="19"/>
  <c r="Q147" i="19"/>
  <c r="K104" i="19"/>
  <c r="K61" i="19"/>
  <c r="K18" i="19"/>
  <c r="W18" i="19"/>
  <c r="T190" i="19"/>
  <c r="W147" i="19"/>
  <c r="T104" i="19"/>
  <c r="N104" i="19"/>
  <c r="N61" i="19"/>
  <c r="T61" i="19"/>
  <c r="W190" i="19"/>
  <c r="K147" i="19"/>
  <c r="T147" i="19"/>
  <c r="Q104" i="19"/>
  <c r="Q61" i="19"/>
  <c r="T18" i="19"/>
  <c r="K190" i="19"/>
  <c r="N147" i="19"/>
  <c r="W104" i="19"/>
  <c r="W61" i="19"/>
  <c r="Q18" i="19"/>
  <c r="N18" i="19"/>
  <c r="AF127" i="1"/>
  <c r="M218" i="19"/>
  <c r="J175" i="19"/>
  <c r="P132" i="19"/>
  <c r="V89" i="19"/>
  <c r="V46" i="19"/>
  <c r="J46" i="19"/>
  <c r="J218" i="19"/>
  <c r="M132" i="19"/>
  <c r="V132" i="19"/>
  <c r="M46" i="19"/>
  <c r="S218" i="19"/>
  <c r="M175" i="19"/>
  <c r="S89" i="19"/>
  <c r="J89" i="19"/>
  <c r="P89" i="19"/>
  <c r="P46" i="19"/>
  <c r="V218" i="19"/>
  <c r="P218" i="19"/>
  <c r="P175" i="19"/>
  <c r="S175" i="19"/>
  <c r="S132" i="19"/>
  <c r="S46" i="19"/>
  <c r="M89" i="19"/>
  <c r="V175" i="19"/>
  <c r="J132" i="19"/>
  <c r="M216" i="19"/>
  <c r="V173" i="19"/>
  <c r="V130" i="19"/>
  <c r="S44" i="19"/>
  <c r="S87" i="19"/>
  <c r="M44" i="19"/>
  <c r="V216" i="19"/>
  <c r="J44" i="19"/>
  <c r="P216" i="19"/>
  <c r="J216" i="19"/>
  <c r="J173" i="19"/>
  <c r="J130" i="19"/>
  <c r="V87" i="19"/>
  <c r="V44" i="19"/>
  <c r="P87" i="19"/>
  <c r="S173" i="19"/>
  <c r="P130" i="19"/>
  <c r="S216" i="19"/>
  <c r="P173" i="19"/>
  <c r="M173" i="19"/>
  <c r="M130" i="19"/>
  <c r="M87" i="19"/>
  <c r="P44" i="19"/>
  <c r="S130" i="19"/>
  <c r="J87" i="19"/>
  <c r="M212" i="19"/>
  <c r="J169" i="19"/>
  <c r="S126" i="19"/>
  <c r="V83" i="19"/>
  <c r="P83" i="19"/>
  <c r="M40" i="19"/>
  <c r="P126" i="19"/>
  <c r="S212" i="19"/>
  <c r="V212" i="19"/>
  <c r="V169" i="19"/>
  <c r="M126" i="19"/>
  <c r="J83" i="19"/>
  <c r="V40" i="19"/>
  <c r="S83" i="19"/>
  <c r="S169" i="19"/>
  <c r="J40" i="19"/>
  <c r="P212" i="19"/>
  <c r="P169" i="19"/>
  <c r="V126" i="19"/>
  <c r="M169" i="19"/>
  <c r="S40" i="19"/>
  <c r="P40" i="19"/>
  <c r="J212" i="19"/>
  <c r="J126" i="19"/>
  <c r="M83" i="19"/>
  <c r="M182" i="19"/>
  <c r="J139" i="19"/>
  <c r="V96" i="19"/>
  <c r="V53" i="19"/>
  <c r="M10" i="19"/>
  <c r="V10" i="19"/>
  <c r="S182" i="19"/>
  <c r="S139" i="19"/>
  <c r="M139" i="19"/>
  <c r="J96" i="19"/>
  <c r="J53" i="19"/>
  <c r="P139" i="19"/>
  <c r="J10" i="19"/>
  <c r="V182" i="19"/>
  <c r="P182" i="19"/>
  <c r="P96" i="19"/>
  <c r="M96" i="19"/>
  <c r="P53" i="19"/>
  <c r="M53" i="19"/>
  <c r="J182" i="19"/>
  <c r="V139" i="19"/>
  <c r="S96" i="19"/>
  <c r="S53" i="19"/>
  <c r="S10" i="19"/>
  <c r="P10" i="19"/>
  <c r="P208" i="19"/>
  <c r="J165" i="19"/>
  <c r="S165" i="19"/>
  <c r="P122" i="19"/>
  <c r="S79" i="19"/>
  <c r="V36" i="19"/>
  <c r="V208" i="19"/>
  <c r="M122" i="19"/>
  <c r="J208" i="19"/>
  <c r="M165" i="19"/>
  <c r="V122" i="19"/>
  <c r="V79" i="19"/>
  <c r="P36" i="19"/>
  <c r="P79" i="19"/>
  <c r="S122" i="19"/>
  <c r="M36" i="19"/>
  <c r="S208" i="19"/>
  <c r="M208" i="19"/>
  <c r="P165" i="19"/>
  <c r="J122" i="19"/>
  <c r="J79" i="19"/>
  <c r="J36" i="19"/>
  <c r="S36" i="19"/>
  <c r="V165" i="19"/>
  <c r="M79" i="19"/>
  <c r="S204" i="19"/>
  <c r="V204" i="19"/>
  <c r="P161" i="19"/>
  <c r="J118" i="19"/>
  <c r="M75" i="19"/>
  <c r="P75" i="19"/>
  <c r="M32" i="19"/>
  <c r="P118" i="19"/>
  <c r="P204" i="19"/>
  <c r="V161" i="19"/>
  <c r="S161" i="19"/>
  <c r="M118" i="19"/>
  <c r="S75" i="19"/>
  <c r="V32" i="19"/>
  <c r="J75" i="19"/>
  <c r="J204" i="19"/>
  <c r="J161" i="19"/>
  <c r="S118" i="19"/>
  <c r="V75" i="19"/>
  <c r="P32" i="19"/>
  <c r="S32" i="19"/>
  <c r="M204" i="19"/>
  <c r="M161" i="19"/>
  <c r="V118" i="19"/>
  <c r="J32" i="19"/>
  <c r="V192" i="19"/>
  <c r="M149" i="19"/>
  <c r="V106" i="19"/>
  <c r="M63" i="19"/>
  <c r="P20" i="19"/>
  <c r="V20" i="19"/>
  <c r="P106" i="19"/>
  <c r="J192" i="19"/>
  <c r="P149" i="19"/>
  <c r="J106" i="19"/>
  <c r="J149" i="19"/>
  <c r="J20" i="19"/>
  <c r="S20" i="19"/>
  <c r="P192" i="19"/>
  <c r="V149" i="19"/>
  <c r="S106" i="19"/>
  <c r="S63" i="19"/>
  <c r="M20" i="19"/>
  <c r="M192" i="19"/>
  <c r="S149" i="19"/>
  <c r="M106" i="19"/>
  <c r="P63" i="19"/>
  <c r="V63" i="19"/>
  <c r="J63" i="19"/>
  <c r="S192" i="19"/>
  <c r="Q189" i="19"/>
  <c r="T146" i="19"/>
  <c r="N103" i="19"/>
  <c r="Q60" i="19"/>
  <c r="K17" i="19"/>
  <c r="N17" i="19"/>
  <c r="N189" i="19"/>
  <c r="Q146" i="19"/>
  <c r="K103" i="19"/>
  <c r="K60" i="19"/>
  <c r="T189" i="19"/>
  <c r="K189" i="19"/>
  <c r="W146" i="19"/>
  <c r="K146" i="19"/>
  <c r="T103" i="19"/>
  <c r="W17" i="19"/>
  <c r="T17" i="19"/>
  <c r="N60" i="19"/>
  <c r="W189" i="19"/>
  <c r="N146" i="19"/>
  <c r="W103" i="19"/>
  <c r="Q103" i="19"/>
  <c r="T60" i="19"/>
  <c r="W60" i="19"/>
  <c r="Q17" i="19"/>
  <c r="J220" i="19"/>
  <c r="J177" i="19"/>
  <c r="J134" i="19"/>
  <c r="M134" i="19"/>
  <c r="V91" i="19"/>
  <c r="M48" i="19"/>
  <c r="S220" i="19"/>
  <c r="P134" i="19"/>
  <c r="J48" i="19"/>
  <c r="M220" i="19"/>
  <c r="V134" i="19"/>
  <c r="J91" i="19"/>
  <c r="P220" i="19"/>
  <c r="P177" i="19"/>
  <c r="M177" i="19"/>
  <c r="M91" i="19"/>
  <c r="S91" i="19"/>
  <c r="P48" i="19"/>
  <c r="V220" i="19"/>
  <c r="S177" i="19"/>
  <c r="S134" i="19"/>
  <c r="S48" i="19"/>
  <c r="V177" i="19"/>
  <c r="P91" i="19"/>
  <c r="V48" i="19"/>
  <c r="S199" i="19"/>
  <c r="S156" i="19"/>
  <c r="P156" i="19"/>
  <c r="V113" i="19"/>
  <c r="J113" i="19"/>
  <c r="P70" i="19"/>
  <c r="P113" i="19"/>
  <c r="M113" i="19"/>
  <c r="M199" i="19"/>
  <c r="M156" i="19"/>
  <c r="J156" i="19"/>
  <c r="S70" i="19"/>
  <c r="V70" i="19"/>
  <c r="P27" i="19"/>
  <c r="P199" i="19"/>
  <c r="V27" i="19"/>
  <c r="J70" i="19"/>
  <c r="J199" i="19"/>
  <c r="V199" i="19"/>
  <c r="S113" i="19"/>
  <c r="M70" i="19"/>
  <c r="S27" i="19"/>
  <c r="J27" i="19"/>
  <c r="V156" i="19"/>
  <c r="M27" i="19"/>
  <c r="J213" i="19"/>
  <c r="M213" i="19"/>
  <c r="S127" i="19"/>
  <c r="S84" i="19"/>
  <c r="M41" i="19"/>
  <c r="J41" i="19"/>
  <c r="S213" i="19"/>
  <c r="S170" i="19"/>
  <c r="V127" i="19"/>
  <c r="V84" i="19"/>
  <c r="P84" i="19"/>
  <c r="V41" i="19"/>
  <c r="P170" i="19"/>
  <c r="M127" i="19"/>
  <c r="M84" i="19"/>
  <c r="P213" i="19"/>
  <c r="M170" i="19"/>
  <c r="J170" i="19"/>
  <c r="V170" i="19"/>
  <c r="J84" i="19"/>
  <c r="S41" i="19"/>
  <c r="P41" i="19"/>
  <c r="V213" i="19"/>
  <c r="P127" i="19"/>
  <c r="J127" i="19"/>
  <c r="J185" i="19"/>
  <c r="J142" i="19"/>
  <c r="S99" i="19"/>
  <c r="S142" i="19"/>
  <c r="M56" i="19"/>
  <c r="J13" i="19"/>
  <c r="M185" i="19"/>
  <c r="S185" i="19"/>
  <c r="V99" i="19"/>
  <c r="P99" i="19"/>
  <c r="S56" i="19"/>
  <c r="M13" i="19"/>
  <c r="V185" i="19"/>
  <c r="P142" i="19"/>
  <c r="J56" i="19"/>
  <c r="V13" i="19"/>
  <c r="P185" i="19"/>
  <c r="M142" i="19"/>
  <c r="J99" i="19"/>
  <c r="V56" i="19"/>
  <c r="P56" i="19"/>
  <c r="S13" i="19"/>
  <c r="V142" i="19"/>
  <c r="M99" i="19"/>
  <c r="P13" i="19"/>
  <c r="P215" i="19"/>
  <c r="J172" i="19"/>
  <c r="M129" i="19"/>
  <c r="M86" i="19"/>
  <c r="S43" i="19"/>
  <c r="S86" i="19"/>
  <c r="J215" i="19"/>
  <c r="J86" i="19"/>
  <c r="S215" i="19"/>
  <c r="M215" i="19"/>
  <c r="M172" i="19"/>
  <c r="P172" i="19"/>
  <c r="P86" i="19"/>
  <c r="P43" i="19"/>
  <c r="M43" i="19"/>
  <c r="V172" i="19"/>
  <c r="P129" i="19"/>
  <c r="V215" i="19"/>
  <c r="S172" i="19"/>
  <c r="V129" i="19"/>
  <c r="S129" i="19"/>
  <c r="V43" i="19"/>
  <c r="J43" i="19"/>
  <c r="J129" i="19"/>
  <c r="V86" i="19"/>
  <c r="J188" i="19"/>
  <c r="S145" i="19"/>
  <c r="J145" i="19"/>
  <c r="V145" i="19"/>
  <c r="P16" i="19"/>
  <c r="S16" i="19"/>
  <c r="P145" i="19"/>
  <c r="S188" i="19"/>
  <c r="M145" i="19"/>
  <c r="V102" i="19"/>
  <c r="P102" i="19"/>
  <c r="P59" i="19"/>
  <c r="J16" i="19"/>
  <c r="M16" i="19"/>
  <c r="M102" i="19"/>
  <c r="J59" i="19"/>
  <c r="M188" i="19"/>
  <c r="P188" i="19"/>
  <c r="J102" i="19"/>
  <c r="S102" i="19"/>
  <c r="V59" i="19"/>
  <c r="S59" i="19"/>
  <c r="V188" i="19"/>
  <c r="M59" i="19"/>
  <c r="V16" i="19"/>
  <c r="M180" i="19"/>
  <c r="J180" i="19"/>
  <c r="J94" i="19"/>
  <c r="P94" i="19"/>
  <c r="S94" i="19"/>
  <c r="S51" i="19"/>
  <c r="M8" i="19"/>
  <c r="P180" i="19"/>
  <c r="S137" i="19"/>
  <c r="M94" i="19"/>
  <c r="M51" i="19"/>
  <c r="V51" i="19"/>
  <c r="V8" i="19"/>
  <c r="S180" i="19"/>
  <c r="J137" i="19"/>
  <c r="V180" i="19"/>
  <c r="P51" i="19"/>
  <c r="P8" i="19"/>
  <c r="S8" i="19"/>
  <c r="P137" i="19"/>
  <c r="V94" i="19"/>
  <c r="V137" i="19"/>
  <c r="M137" i="19"/>
  <c r="J8" i="19"/>
  <c r="J51" i="19"/>
  <c r="J198" i="19"/>
  <c r="J155" i="19"/>
  <c r="V112" i="19"/>
  <c r="V69" i="19"/>
  <c r="S26" i="19"/>
  <c r="P26" i="19"/>
  <c r="V155" i="19"/>
  <c r="M69" i="19"/>
  <c r="P198" i="19"/>
  <c r="S198" i="19"/>
  <c r="M155" i="19"/>
  <c r="J112" i="19"/>
  <c r="J69" i="19"/>
  <c r="M26" i="19"/>
  <c r="P69" i="19"/>
  <c r="M198" i="19"/>
  <c r="P112" i="19"/>
  <c r="S69" i="19"/>
  <c r="P155" i="19"/>
  <c r="V26" i="19"/>
  <c r="S155" i="19"/>
  <c r="V198" i="19"/>
  <c r="S112" i="19"/>
  <c r="M112" i="19"/>
  <c r="J26" i="19"/>
  <c r="AF103" i="1"/>
  <c r="AF34" i="1"/>
  <c r="AF64" i="1"/>
  <c r="AF22" i="1"/>
  <c r="AF67" i="1"/>
  <c r="AF44" i="1"/>
  <c r="AE7" i="1"/>
  <c r="AD7" i="1" s="1"/>
  <c r="AE8" i="1"/>
  <c r="AD8" i="1" s="1"/>
  <c r="AF121" i="1"/>
  <c r="AF19" i="1"/>
  <c r="AF70" i="1"/>
  <c r="AF31" i="1"/>
  <c r="AF109" i="1"/>
  <c r="AF58" i="1"/>
  <c r="AF130" i="1"/>
  <c r="AF73" i="1"/>
  <c r="AF52" i="1"/>
  <c r="AF13" i="1"/>
  <c r="AF85" i="1"/>
  <c r="AF97" i="1"/>
  <c r="AF28" i="1"/>
  <c r="AF37" i="1"/>
  <c r="AF100" i="1"/>
  <c r="AF41" i="1"/>
  <c r="AF61" i="1"/>
  <c r="AF124" i="1"/>
  <c r="AF112" i="1"/>
  <c r="AE94" i="1"/>
  <c r="AD94" i="1" s="1"/>
  <c r="AE88" i="1"/>
  <c r="J7" i="19"/>
  <c r="AF10" i="1"/>
  <c r="AF118" i="1"/>
  <c r="AF49" i="1"/>
  <c r="AF25" i="1"/>
  <c r="AF106" i="1"/>
  <c r="AF79" i="1"/>
  <c r="AF16" i="1"/>
  <c r="AF133" i="1"/>
  <c r="AF115" i="1"/>
  <c r="AF76" i="1"/>
  <c r="AF55" i="1"/>
  <c r="AF82" i="1"/>
  <c r="S207" i="19" l="1"/>
  <c r="S164" i="19"/>
  <c r="M121" i="19"/>
  <c r="P78" i="19"/>
  <c r="J35" i="19"/>
  <c r="M35" i="19"/>
  <c r="V207" i="19"/>
  <c r="M207" i="19"/>
  <c r="V164" i="19"/>
  <c r="P121" i="19"/>
  <c r="S78" i="19"/>
  <c r="J78" i="19"/>
  <c r="S121" i="19"/>
  <c r="J164" i="19"/>
  <c r="J207" i="19"/>
  <c r="M164" i="19"/>
  <c r="V121" i="19"/>
  <c r="M78" i="19"/>
  <c r="V35" i="19"/>
  <c r="S35" i="19"/>
  <c r="P207" i="19"/>
  <c r="P164" i="19"/>
  <c r="J121" i="19"/>
  <c r="P35" i="19"/>
  <c r="V78" i="19"/>
  <c r="N178" i="19"/>
  <c r="T178" i="19"/>
  <c r="K178" i="19"/>
  <c r="W6" i="19"/>
  <c r="T92" i="19"/>
  <c r="T6" i="19"/>
  <c r="W49" i="19"/>
  <c r="K135" i="19"/>
  <c r="T49" i="19"/>
  <c r="W92" i="19"/>
  <c r="N92" i="19"/>
  <c r="K92" i="19"/>
  <c r="W135" i="19"/>
  <c r="N135" i="19"/>
  <c r="N6" i="19"/>
  <c r="Q92" i="19"/>
  <c r="Q135" i="19"/>
  <c r="Q178" i="19"/>
  <c r="K49" i="19"/>
  <c r="Q49" i="19"/>
  <c r="T135" i="19"/>
  <c r="N49" i="19"/>
  <c r="Q6" i="19"/>
  <c r="W178" i="19"/>
  <c r="S135" i="19"/>
  <c r="J135" i="19"/>
  <c r="V135" i="19"/>
  <c r="P49" i="19"/>
  <c r="P135" i="19"/>
  <c r="J49" i="19"/>
  <c r="J178" i="19"/>
  <c r="V6" i="19"/>
  <c r="M135" i="19"/>
  <c r="P6" i="19"/>
  <c r="V49" i="19"/>
  <c r="P92" i="19"/>
  <c r="M49" i="19"/>
  <c r="S49" i="19"/>
  <c r="M178" i="19"/>
  <c r="V92" i="19"/>
  <c r="S178" i="19"/>
  <c r="M92" i="19"/>
  <c r="P178" i="19"/>
  <c r="J92" i="19"/>
  <c r="S6" i="19"/>
  <c r="V178" i="19"/>
  <c r="M6" i="19"/>
  <c r="S92" i="19"/>
  <c r="J6" i="19"/>
  <c r="AF7" i="1"/>
  <c r="K6" i="19"/>
  <c r="AF8" i="1"/>
  <c r="AD88" i="1"/>
  <c r="AE91" i="1"/>
  <c r="AD91" i="1" s="1"/>
  <c r="AF94" i="1"/>
  <c r="S206" i="19" l="1"/>
  <c r="V163" i="19"/>
  <c r="M120" i="19"/>
  <c r="P77" i="19"/>
  <c r="V77" i="19"/>
  <c r="J34" i="19"/>
  <c r="S77" i="19"/>
  <c r="J206" i="19"/>
  <c r="J163" i="19"/>
  <c r="P120" i="19"/>
  <c r="V34" i="19"/>
  <c r="S34" i="19"/>
  <c r="P34" i="19"/>
  <c r="S163" i="19"/>
  <c r="V120" i="19"/>
  <c r="M206" i="19"/>
  <c r="P163" i="19"/>
  <c r="V206" i="19"/>
  <c r="S120" i="19"/>
  <c r="J120" i="19"/>
  <c r="M34" i="19"/>
  <c r="J77" i="19"/>
  <c r="P206" i="19"/>
  <c r="M163" i="19"/>
  <c r="M77" i="19"/>
  <c r="V205" i="19"/>
  <c r="S162" i="19"/>
  <c r="P119" i="19"/>
  <c r="J119" i="19"/>
  <c r="J76" i="19"/>
  <c r="V33" i="19"/>
  <c r="P205" i="19"/>
  <c r="V119" i="19"/>
  <c r="J205" i="19"/>
  <c r="V162" i="19"/>
  <c r="P162" i="19"/>
  <c r="M119" i="19"/>
  <c r="M76" i="19"/>
  <c r="J33" i="19"/>
  <c r="M162" i="19"/>
  <c r="M33" i="19"/>
  <c r="S205" i="19"/>
  <c r="J162" i="19"/>
  <c r="S119" i="19"/>
  <c r="S76" i="19"/>
  <c r="S33" i="19"/>
  <c r="P76" i="19"/>
  <c r="M205" i="19"/>
  <c r="V76" i="19"/>
  <c r="P33" i="19"/>
  <c r="AF91" i="1"/>
  <c r="AF88" i="1"/>
  <c r="A52" i="1"/>
  <c r="AL64" i="18" s="1"/>
  <c r="A55" i="1" l="1"/>
  <c r="AD84" i="18" s="1"/>
  <c r="A58" i="1" l="1"/>
  <c r="AF66" i="18" s="1"/>
  <c r="A61" i="1" l="1"/>
  <c r="AR48" i="18" s="1"/>
  <c r="A64" i="1" l="1"/>
  <c r="AT48" i="18" s="1"/>
  <c r="A67" i="1" l="1"/>
  <c r="AL30" i="18" s="1"/>
  <c r="A70" i="1" l="1"/>
  <c r="T50" i="18" s="1"/>
  <c r="A73" i="1" l="1"/>
  <c r="V50" i="18" s="1"/>
  <c r="A76" i="1" l="1"/>
  <c r="X50" i="18" s="1"/>
  <c r="A79" i="1" l="1"/>
  <c r="AJ50" i="18" s="1"/>
  <c r="A82" i="1" l="1"/>
  <c r="R86" i="18" s="1"/>
  <c r="A85" i="1" l="1"/>
  <c r="AN34" i="18" s="1"/>
  <c r="A88" i="1" l="1"/>
  <c r="L70" i="18" s="1"/>
  <c r="A91" i="1" l="1"/>
  <c r="X70" i="18" s="1"/>
  <c r="A94" i="1" l="1"/>
  <c r="AJ70" i="18" s="1"/>
  <c r="A97" i="1" l="1"/>
  <c r="AV52" i="18" s="1"/>
  <c r="A100" i="1" l="1"/>
  <c r="AD72" i="18" s="1"/>
  <c r="A103" i="1" l="1"/>
  <c r="AF72" i="18" s="1"/>
  <c r="A106" i="1" l="1"/>
  <c r="AH54" i="18" s="1"/>
  <c r="A109" i="1" l="1"/>
  <c r="AJ54" i="18" s="1"/>
  <c r="A112" i="1" l="1"/>
  <c r="AV54" i="18" s="1"/>
  <c r="A115" i="1" l="1"/>
  <c r="AD38" i="18" s="1"/>
  <c r="A118" i="1" l="1"/>
  <c r="AF56" i="18" s="1"/>
  <c r="A121" i="1" l="1"/>
  <c r="AR56" i="18" s="1"/>
  <c r="A124" i="1" l="1"/>
  <c r="A127" i="1" l="1"/>
  <c r="AT56" i="18"/>
  <c r="A130" i="1" l="1"/>
  <c r="AL92" i="18"/>
  <c r="AN76" i="18" l="1"/>
  <c r="A133" i="1"/>
  <c r="AF76" i="18" l="1"/>
  <c r="A136" i="1"/>
</calcChain>
</file>

<file path=xl/sharedStrings.xml><?xml version="1.0" encoding="utf-8"?>
<sst xmlns="http://schemas.openxmlformats.org/spreadsheetml/2006/main" count="1992" uniqueCount="788">
  <si>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</si>
  <si>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</si>
  <si>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</si>
  <si>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</si>
  <si>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</si>
  <si>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</si>
  <si>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</si>
  <si>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</si>
  <si>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</si>
  <si>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</si>
  <si>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</si>
  <si>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</si>
  <si>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</si>
  <si>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</si>
  <si>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</si>
  <si>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</si>
  <si>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</si>
  <si>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</si>
  <si>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</si>
  <si>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</si>
  <si>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</si>
  <si>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</si>
  <si>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</si>
  <si>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</si>
  <si>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</si>
  <si>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</si>
  <si>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</si>
  <si>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</si>
  <si>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</si>
  <si>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</si>
  <si>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</si>
  <si>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</si>
  <si>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</si>
  <si>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</si>
  <si>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</si>
  <si>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Estado</t>
  </si>
  <si>
    <t>Finalizado</t>
  </si>
  <si>
    <t>En curso</t>
  </si>
  <si>
    <t>Causa Raíz</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</si>
  <si>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</si>
  <si>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</si>
  <si>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</si>
  <si>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</si>
  <si>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</si>
  <si>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</si>
  <si>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</si>
  <si>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</si>
  <si>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</si>
  <si>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</si>
  <si>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</si>
  <si>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</si>
  <si>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</si>
  <si>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</si>
  <si>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</si>
  <si>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</si>
  <si>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</si>
  <si>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</si>
  <si>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</si>
  <si>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</si>
  <si>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</si>
  <si>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</si>
  <si>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</si>
  <si>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</si>
  <si>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</si>
  <si>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</si>
  <si>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</si>
  <si>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</si>
  <si>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</si>
  <si>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</si>
  <si>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</si>
  <si>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</si>
  <si>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</si>
  <si>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</si>
  <si>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</si>
  <si>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</si>
  <si>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</si>
  <si>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</si>
  <si>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</si>
  <si>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</si>
  <si>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</si>
  <si>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</si>
  <si>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</si>
  <si>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</si>
  <si>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</si>
  <si>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</si>
  <si>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</si>
  <si>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</si>
  <si>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</si>
  <si>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</si>
  <si>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</si>
  <si>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</si>
  <si>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</si>
  <si>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</si>
  <si>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</si>
  <si>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</si>
  <si>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</si>
  <si>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</si>
  <si>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</si>
  <si>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</si>
  <si>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</si>
  <si>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</si>
  <si>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</si>
  <si>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</si>
  <si>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</si>
  <si>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</si>
  <si>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</si>
  <si>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</si>
  <si>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</si>
  <si>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</si>
  <si>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</si>
  <si>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</si>
  <si>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</si>
  <si>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</si>
  <si>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</si>
  <si>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Fraude Externo</t>
  </si>
  <si>
    <t>Fraude Interno</t>
  </si>
  <si>
    <t>Relaciones Laborales</t>
  </si>
  <si>
    <t>Usuarios, productos y practicas , organizacionales</t>
  </si>
  <si>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</si>
  <si>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</si>
  <si>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</si>
  <si>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</si>
  <si>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</si>
  <si>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</si>
  <si>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</si>
  <si>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</si>
  <si>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</si>
  <si>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</si>
  <si>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</si>
  <si>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Subcriterios</t>
  </si>
  <si>
    <t>❌</t>
  </si>
  <si>
    <t>✔</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</si>
  <si>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</si>
  <si>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</si>
  <si>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</si>
  <si>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</si>
  <si>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</si>
  <si>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</si>
  <si>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</si>
  <si>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</si>
  <si>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</si>
  <si>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</si>
  <si>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</si>
  <si>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</si>
  <si>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</si>
  <si>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</si>
  <si>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</si>
  <si>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</si>
  <si>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</si>
  <si>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</si>
  <si>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</si>
  <si>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</si>
  <si>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</si>
  <si>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</si>
  <si>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</si>
  <si>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</si>
  <si>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</si>
  <si>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</si>
  <si>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</si>
  <si>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</si>
  <si>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</si>
  <si>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</si>
  <si>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</si>
  <si>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</si>
  <si>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</si>
  <si>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</si>
  <si>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</si>
  <si>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</si>
  <si>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</si>
  <si>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</si>
  <si>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</si>
  <si>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</si>
  <si>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</si>
  <si>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</si>
  <si>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</si>
  <si>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</si>
  <si>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</si>
  <si>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</si>
  <si>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</si>
  <si>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</si>
  <si>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</si>
  <si>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</si>
  <si>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</si>
  <si>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</si>
  <si>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</si>
  <si>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</si>
  <si>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</si>
  <si>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</si>
  <si>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 xml:space="preserve">Proceso </t>
  </si>
  <si>
    <t xml:space="preserve">Objetivo </t>
  </si>
  <si>
    <t>Acción de tratamiento</t>
  </si>
  <si>
    <t>Fecha Inicio</t>
  </si>
  <si>
    <t>Fecha fin</t>
  </si>
  <si>
    <t>Trimestral</t>
  </si>
  <si>
    <t>Entrega de información incompleta por parte de los procesos.</t>
  </si>
  <si>
    <t>Anual</t>
  </si>
  <si>
    <t>Periodicidad de Seguimiento</t>
  </si>
  <si>
    <t>Semestral</t>
  </si>
  <si>
    <t>Desconocimiento en el adecuado manejo de la información confidencial.</t>
  </si>
  <si>
    <t>Retrasos en la formulación de instrumentos de planeamiento.</t>
  </si>
  <si>
    <t>Posibilidad de afectación reputacional por retrasos en la formulación de instrumentos de planeamiento debido a dificultades en la contratación de estudios técnicos, demora en la emisión de respuestas o conceptos por parte de las entidades distritales.</t>
  </si>
  <si>
    <t xml:space="preserve">Multas, sanciones o demandas
</t>
  </si>
  <si>
    <t xml:space="preserve">
Demoras en la entrega de las obras de urbanismo
</t>
  </si>
  <si>
    <t>Mensual</t>
  </si>
  <si>
    <t>Diario</t>
  </si>
  <si>
    <t>Enero</t>
  </si>
  <si>
    <t>Diciembre</t>
  </si>
  <si>
    <t>Gestión Jurídica</t>
  </si>
  <si>
    <t>Soborno.
Intereses particulares.</t>
  </si>
  <si>
    <t>Acuerdos entre apoderados para viciar la defensa judicial durante las etapas del proceso.</t>
  </si>
  <si>
    <t>Gestión Contractual</t>
  </si>
  <si>
    <t>Posibilidad de recibir o solicitar cualquier dádiva o beneficio a nombre propio o de terceros con el fin de adjudicar un proceso de contratación para favorecer a personas o grupos determinados.</t>
  </si>
  <si>
    <t>Gestión de TIC</t>
  </si>
  <si>
    <t>Realizar seguimiento a la contratación de los servicios de mantenimiento preventivo y correctivo del hardware de la Empresa a través del Plan de Adquisiciones.</t>
  </si>
  <si>
    <t>Indisponibilidad de los servicios o infraestructura de TI.</t>
  </si>
  <si>
    <t>Gestión Financiera</t>
  </si>
  <si>
    <t>Evaluación y Seguimiento</t>
  </si>
  <si>
    <t>Inicia con la planificación del Plan Anual de Auditoría basado en riesgos, su ejecución, evaluación, seguimiento de actividades planificadas, elaboración de informes y/o asesoría para la toma de decisiones, evaluación de la gestión del riesgo, finalizando con la implementación de los Planes de Mejoramiento correspondientes a fin de agregar valor y mejora en los procesos y operaciones de la Empresa, proporcionando aseguramiento, análisis basado en riesgos y de manera paralela interactuando con los entes de control conforme la normatividad vigente.</t>
  </si>
  <si>
    <t>Ejecución y Administración de procesos</t>
  </si>
  <si>
    <t>Daños Activos Físicos</t>
  </si>
  <si>
    <t>Fallas Tecnológicas</t>
  </si>
  <si>
    <t>El aplicativo ENTUITY de manera permanente realiza monitoreo web a la infraestructura tecnológica compuesta por canales de datos, canal internet y equipos tipo servidor, para verificar la disponibilidad y el estado del funcionamiento de los aplicativos, al encontrar una falla envía un correo de alerta al proceso Gestión de TIC para adelantar las acciones que corresponda.</t>
  </si>
  <si>
    <t>Fuente: Adaptado de Curso Riesgo Operativo Universidad del Rosario por Dirección de Gestión y Desempeño Institucional de Función Pública, 2020.</t>
  </si>
  <si>
    <t>Dirigir los procesos jurídicos necesarios para la implementación de proyectos misionales y ejercer la representación judicial y extrajudicial de la Empresa, con base en los lineamientos contemplados en el Manual de Prevención del Daño Antijurídico y las Políticas que se adopten con el fin de garantizar la prevención del daño antijurídico.</t>
  </si>
  <si>
    <t>Debilidad en los controles establecidos.</t>
  </si>
  <si>
    <t>Informar a las instancias internas y externas de control que corresponda.</t>
  </si>
  <si>
    <t>Realizar socializaciones sobre los requisitos exigidos por las Entidades Competentes, de acuerdo a lo establecido en el Procedimiento PD-90 Recibo y entrega de obras y áreas de cesiones públicas.</t>
  </si>
  <si>
    <t>Dejar la obra en condiciones de recibo, revisar que falta para entregar y verificar que lo que ya está se pueda entregar e ir entregando en la medida en que se vaya terminando.</t>
  </si>
  <si>
    <t>Posibilidad de afectación reputacional por divulgación de información institucional, confusa e inoportuna debido a entrega de información incompleta por parte de los procesos.</t>
  </si>
  <si>
    <t>Divulgación del procedimiento para solicitudes de Comunicaciones.</t>
  </si>
  <si>
    <t>Mantenimiento correctivo.</t>
  </si>
  <si>
    <t>Realizar seguimiento al contrato que soporta los servicios de TI, capacitar al personal del proceso de Gestión de TIC de acuerdo con la necesidad.</t>
  </si>
  <si>
    <t>Aplicar los ANS con el proveedor y restablecer el servicio.</t>
  </si>
  <si>
    <t>Generar el reporte a los entes internos y externos que corresponda.</t>
  </si>
  <si>
    <t>Gestión de Talento Humano</t>
  </si>
  <si>
    <t>Informar al jefe inmediato y generar una estrategia de convocatoria.</t>
  </si>
  <si>
    <t>Bajos niveles de agregación de valor para mejorar las operaciones en los procesos de gobierno, riesgos y control.</t>
  </si>
  <si>
    <t>Concentración de poder.</t>
  </si>
  <si>
    <t>Excesiva discrecionalidad.</t>
  </si>
  <si>
    <t>Dificultades en la contratación de estudios, demora en la emisión de respuestas o conceptos por parte de las entidades distritales.</t>
  </si>
  <si>
    <t>Vencimiento de términos judiciales.</t>
  </si>
  <si>
    <t>Descuido del apoderado en sus procesos judiciales.</t>
  </si>
  <si>
    <t>Posibilidad de afectación reputacional por el vencimiento de términos judiciales debido a descuido del apoderado en sus procesos judiciales.</t>
  </si>
  <si>
    <t xml:space="preserve">Manipulación indebida de documentos precontractuales. </t>
  </si>
  <si>
    <t>Alteración de la información financiera.</t>
  </si>
  <si>
    <t>Falta de conocimiento frente a la norma, la política y al manejo de las PQRS.</t>
  </si>
  <si>
    <t xml:space="preserve"> Afectación menor a 10 SMLMV .</t>
  </si>
  <si>
    <t xml:space="preserve"> El riesgo afecta la imagen de alguna área de la organización</t>
  </si>
  <si>
    <t xml:space="preserve"> Entre 10 y 50 SMLMV </t>
  </si>
  <si>
    <t xml:space="preserve"> Entre 50 y 100 SMLMV </t>
  </si>
  <si>
    <t xml:space="preserve"> El riesgo afecta la imagen de la entidad con algunos usuarios de relevancia frente al logro de los objetivos</t>
  </si>
  <si>
    <t xml:space="preserve"> Entre 100 y 500 SMLMV </t>
  </si>
  <si>
    <t xml:space="preserve"> Mayor a 500 SMLMV </t>
  </si>
  <si>
    <t xml:space="preserve"> El riesgo afecta la imagen de la entidad a nivel nacional, con efecto publicitarios sostenible a nivel país</t>
  </si>
  <si>
    <t>El riesgo afecta la imagen de la entidad internamente, de conocimiento general, nivel interno, de junta directiva y accionistas y/o de proveedores</t>
  </si>
  <si>
    <t xml:space="preserve"> 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</si>
  <si>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</si>
  <si>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 xml:space="preserve"> El riesgo afecta la imagen de la entidad con efecto publicitario sostenido a nivel de sector administrativo, nivel departamental o municipal</t>
  </si>
  <si>
    <t>Plan de acción (solo para la opción reducir)</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</si>
  <si>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Subgerencia de Planeación y Administración de Proyectos.</t>
    </r>
  </si>
  <si>
    <t>Elaborar y socializar un protocolo de seguridad de tesorería.</t>
  </si>
  <si>
    <t>Debilidad en la aplicación de controles a las operaciones financieras.</t>
  </si>
  <si>
    <t>Posibilidad de que, por acción u omisión, se use el poder para manipular de manera indebida los procesos judiciales para favorecer un interés particular.</t>
  </si>
  <si>
    <t>El Dependiente Judicial realiza control y vigilancia a los procesos judiciales a través de la Matriz de Seguimiento, en la cual se dejan las alertas que correspondan como insumo para los apoderados.</t>
  </si>
  <si>
    <t>Revisión del estado general de los procesos dentro del Comité de Autoevaluación.</t>
  </si>
  <si>
    <t>Posibilidad de que por acción, omisión o abuso de poder, se profieran decisiones a favor o en contra de los sujetos procesales en beneficio propio o de terceros.</t>
  </si>
  <si>
    <t>Mensualmente se realizan reuniones donde se actualiza el archivo de seguimiento disponible en Drive con las actuaciones realizadas en el mes y se verifican los términos.</t>
  </si>
  <si>
    <t>Contribuir al fortalecimiento y protección de los principios de la función pública a través de la generación de actividades de prevención en materia disciplinaria, así como adelantar las actuaciones administrativas a los servidores y exservidores públicos de la Empresa, cuando incurran en conductas que puedan constituir faltas disciplinarias de conformidad con lo establecido en la normatividad vigente.</t>
  </si>
  <si>
    <t>Inicia con el diseño de estrategias de prevención y socialización relacionadas con asuntos disciplinarios, contempla el análisis de las quejas o denuncias, o remisiones por competencia o informe de autoridad competente, la generación de las indagaciones previas y/o las investigaciones disciplinarias por las infracciones a la Constitución, las leyes y manuales de funciones o por la omisión o extralimitación en el ejercicio de sus funciones, de conformidad con lo establecido en la Ley.</t>
  </si>
  <si>
    <t>Materialización de la figura jurídica de la prescripción establecida en la ley.</t>
  </si>
  <si>
    <t>Presiones indebidas por un tercero o un superior jerárquico.
Recibir o solicitar dádivas o beneficios a nombre propio o de un tercero.</t>
  </si>
  <si>
    <t>Interés particular del servidor público.</t>
  </si>
  <si>
    <t>Posibilidad de que, por acción u omisión, haya uso indebido de información privilegiada para favorecimiento de un interés particular.</t>
  </si>
  <si>
    <t>A demanda</t>
  </si>
  <si>
    <t>El Gestor Senior 1 de atención al ciudadano cada vez que ingresa un colaborador genera la inducción en las temáticas de Atención al Ciudadano, resultado de esta reunión quedan las grabaciones y las listas de asistencia.</t>
  </si>
  <si>
    <t>Gestión del Conocimiento y la Innovación</t>
  </si>
  <si>
    <t>Acción de Contingencia ante posible materialización</t>
  </si>
  <si>
    <t>Direccionamiento y Planeación Institucional</t>
  </si>
  <si>
    <t xml:space="preserve">Establecer y liderar la implementación de metodologías, lineamientos estratégicos y de operación de la Empresa, para la programación y seguimiento al cumplimiento de objetivos, políticas y metas institucionales. </t>
  </si>
  <si>
    <t xml:space="preserve">Inicia con la definición y/o actualización del marco estratégico, incluye la definición de lineamientos y metodologías para la planeación, gestión y mejora, y termina con el seguimiento y la presentación de los resultados de la gestión institucional. </t>
  </si>
  <si>
    <t>Posibilidad de que por acción u omisión haya priorización de planes, programas o proyectos o de toma de decisiones para favorecer intereses particulares.</t>
  </si>
  <si>
    <t>El Comité Institucional de Gestión y Desempeño al inicio de cada vigencia verifica y aprueba los planes, programas o proyectos de inversión que se formulan de manera participativa entre la alta dirección y los responsables de los procesos. De otra parte, el Comité de Proyectos realiza la verificación objetiva de la viabilidad de los criterios técnicos, jurídicos, socioambientales y financieros, así como la alineación con los objetivos estratégicos de la empresa presentada por la Subgerencia de Planeamiento y Estructuración. En caso de encontrar alguna desviación se generan observaciones para presentar en siguiente iteración.</t>
  </si>
  <si>
    <t>Capacitar al equipo responsable en el uso y aplicación efectiva de las guías y procedimientos asociadas a la formulación de proyectos.</t>
  </si>
  <si>
    <t>Semestralmente la Oficina Asesora de Planeación en el marco de las mesas de trabajo con los líderes operativos presenta el cronograma de seguimientos a realizar durante el periodo, esto con el fin de que los equipos de trabajo planifiquen la entrega de información de manera oportuna y veraz.</t>
  </si>
  <si>
    <t>Reportar a la Instancia de Seguimiento correspondiente para evitar que la situación se vuelva a repetir.</t>
  </si>
  <si>
    <t>Toma de decisiones estratégicas inadecuadas.</t>
  </si>
  <si>
    <t xml:space="preserve">Relacionamiento y Comunicaciones </t>
  </si>
  <si>
    <t>Diseñar y desarrollar las políticas, planes y estrategias de relacionamiento estratégico, comunicación interna y externa de la Empresa necesarias para la promoción, posicionamiento y fortalecimiento de la imagen institucional.</t>
  </si>
  <si>
    <t>Inicia con la definición del Plan Estratégico de Comunicaciones, comprende las acciones de comunicación interna y externa, la gestión del modelo de relacionamiento con los grupos de interés y finaliza con la evaluación del Plan.</t>
  </si>
  <si>
    <t>Divulgación de información institucional confusa e inoportuna.</t>
  </si>
  <si>
    <t>El jefe y los profesionales de la Oficina Asesora de Relacionamiento y Comunicaciones cada vez que se reciben las solicitudes de divulgación de los procesos, realizan una validación con cada proceso para garantizar su veracidad y que esté acorde con los procedimientos establecidos. Cuando se encuentran diferencias se solicitan los ajustes correspondientes mediante correo electrónico y/o las herramientas de comunicación disponibles a los responsables de cada proceso, y una vez ajustada la información, se realizan las piezas de comunicación y/o actualización solicitadas. Las evidencias del control corresponden a las solicitudes realizadas por las áreas, los correos electrónicos enviados y las piezas de comunicación diseñadas.</t>
  </si>
  <si>
    <t>Asesorar y acompañar la implementación de la Política de Gestión del Conocimiento y la Innovación para materializar ideas, generar y preservar el conocimiento y generar una cultura de innovación que conlleven al mejoramiento del desempeño de la Empresa.</t>
  </si>
  <si>
    <t>Inicia con la definición del Plan y la Estrategia de Gestión del Conocimiento y la Innovación, comprende la implementación de mecanismos para generación o construcción del conocimiento y la innovación, su sistematización o documentación y finaliza con la implementación de acciones de mejora.</t>
  </si>
  <si>
    <t>Posibilidad de afectación reputacional por la pérdida del conocimiento crítico y/o estratégico de la empresa debido a la desactualización del conocimiento explicito.</t>
  </si>
  <si>
    <t>Desactualización del conocimiento explicito.</t>
  </si>
  <si>
    <t>Pérdida del conocimiento crítico y/o estratégico de la empresa.</t>
  </si>
  <si>
    <t>Informar a las instancias que corresponda para actualizar el conocimiento explícito.</t>
  </si>
  <si>
    <t>Única</t>
  </si>
  <si>
    <t>Gestión Urbana</t>
  </si>
  <si>
    <t xml:space="preserve">Liderar la formulación de los instrumentos de planeación con los estudios y diseños necesarios para determinar la viabilidad técnica, social y financiera, que deriven en la gestión y habilitación del suelo requerido para el desarrollo de los programas y proyectos de renovación y desarrollo urbano, a través de la Aplicación de instrumentos de gestión establecidos en la Ley. </t>
  </si>
  <si>
    <t xml:space="preserve">Inicia con la identificación y evaluación de las áreas de oportunidad, la elaboración de estudios técnicos, la radicación de la formulación del instrumento ante las autoridades competentes para su aprobación, además, incluye la administración de Sistemas de Información Geográfica. </t>
  </si>
  <si>
    <t>Cada vez que se requiere llevar a cabo una contratación, el abogado de la Dirección Técnica de Planeamiento y Gestión Urbana, verifica que en la solicitud de los contratos de prestación de servicios que hacen parte integral del contrato, se incluya en las obligaciones generales guardar la estricta reserva de toda la información y documentos que tenga acceso, con el fin de dar un manejo adecuado de la información por parte de los contratistas, y en caso de no encontrarla, se solicita mediante comunicación interna su incorporación a la Dirección de Contratación.</t>
  </si>
  <si>
    <t>Capacitar al personal en las directrices y el adecuado tratamiento de datos e información confidencial semestralmente.</t>
  </si>
  <si>
    <t>El Líder Operativo verifica que cada vez que se de inicio a la formulación de un instrumento, el líder del proyecto haya solicitado a la entidad competente en su primera fase, la emisión de los estudios y/o conceptos requeridos mediante una solicitud oficial; en caso de encontrar que la solicitud no se realizó en los tiempos establecidos se solicita en el marco de los seguimientos la evidencia y se registra en el cronograma de trabajo.</t>
  </si>
  <si>
    <t>El líder operativo en el marco del seguimiento al proyecto verifica que se hayan entregado los estudios o conceptos en el plazo establecido en el cronograma, de lo contrario generara una alerta al Dirección Técnica de Planeamiento y Gestión Urbana.</t>
  </si>
  <si>
    <t>Realizar el ajuste a la planeación establecida actualizando metas y cronogramas para la vigencia.</t>
  </si>
  <si>
    <t>Estructuración de Proyectos</t>
  </si>
  <si>
    <t xml:space="preserve">Dirigir la estructuración integral de los proyectos para evaluar la viabilidad económica y financiera de los proyectos urbanos e inmobiliarios de la Empresa. </t>
  </si>
  <si>
    <t>Inicia con la definición de la política de priorización de las áreas de oportunidad para el desarrollo de los proyectos a cargo de la Empresa, incluye el análisis jurídico, social, técnico ambiental y económico y termina con el documento de zonas de oportunidad, prefactibilidad o factibilidad del proyecto.</t>
  </si>
  <si>
    <t>Posibilidad de afectación económica y reputacional por estructurar procesos de selección que no son acordes a la realidad del proyecto, por falta de información, o información que no cuenta con criterios de calidad para la validación del proceso.</t>
  </si>
  <si>
    <t>Estructuración de procesos de selección que no son acordes a la realidad.</t>
  </si>
  <si>
    <t>Falta de información, o información que no cuenta con criterios de calidad para la validación del proceso.</t>
  </si>
  <si>
    <t>El profesional responsable del proyecto verifica cada vez que surja la necesidad, que la documentación entregada se ajuste a los criterios de calidad y oportunidad establecidos en el cronograma del proyecto. En caso de presentarse inconsistencias se solicita a las áreas responsables, a través de correo electrónico, o se realizan mesas de trabajo para garantizar la entrega de la información y efectuar los ajustes correspondientes.</t>
  </si>
  <si>
    <t>Actualizar el procedimiento "Modelaciones Financieras de los Proyectos", con el propósito de documentar los controles establecidos.</t>
  </si>
  <si>
    <t>´- Se informa internamente a la Gerencia General.
- Se informa Externamente a la Alcaldía Mayor.
- Se procede a dar un alcance (corrección o eliminación) a la información publicada.</t>
  </si>
  <si>
    <t>´- Cuantificar los costos incurridos en el desarrollo del instrumento de estructuración de proyectos y presentarlos a la Gerencia de la Empresa y a la Subgerencia de Planeamiento y Estructuración.
- Realizar el ajuste a la estructuración de los procesos de selección.</t>
  </si>
  <si>
    <t>Gestión Predial</t>
  </si>
  <si>
    <t xml:space="preserve">Ejecutar los procesos de adquisición del suelo que se requieran en nuevas áreas de oportunidad para el desarrollo de los planes, programas y proyectos de renovación y desarrollo urbano de la ciudad, así como administrar y movilizar, los predios fideicomitidos y de la empresa. </t>
  </si>
  <si>
    <t xml:space="preserve">Inicia con el análisis e identificación de nuevas áreas de oportunidad, la definición y ejecución del Plan de Gestión del Suelo, incluye la administración de predios, el trámite de las liquidaciones de los pagos por concepto de compensación y termina con la transferencia efectiva del derecho real de dominio a favor de la Empresa, del tercero concurrente o la Fiduciaria correspondiente. </t>
  </si>
  <si>
    <t>´- Debilidad en los controles establecidos.
- Desconocer el Código de Integridad de la Empresa.
- Favorecer a terceros en la liquidación de la obligación VIS/VIP.
- Cobro por parte de funcionarios públicos o contratistas a los ciudadanos para la asesoría del trámite "Cumplimiento de la obligación VIS-VIP a través de compensación económica".</t>
  </si>
  <si>
    <t>Falta de información o claridad de los obligados en el inicio y fin del trámite que surte la Empresa.</t>
  </si>
  <si>
    <t>Adelantar estrategias de divulgación del trámite y sus requisitos.</t>
  </si>
  <si>
    <t>Gestión de la Participación Ciudadana y Asuntos Sociales</t>
  </si>
  <si>
    <t xml:space="preserve">Definir e implementar las políticas de Gestión Social y de Participación Ciudadana para la garantía de los derechos de la comunidad en los proyectos que adelanta la Empresa. </t>
  </si>
  <si>
    <t xml:space="preserve">Inicia con la definición de la Estrategia de Participación Ciudadana, comprende la elaboración de estudios socioeconómicos requeridos en el marco de la identificación de zonas de oportunidad, la implementación de los censos de población, diagnósticos socioeconómicos, evaluación de impactos, la formulación del Planes de Gestión Social, incluyendo la identificación de espacios, el diseño y ejecución de estrategias y mecanismos de participación, comunicación y divulgación, en cumplimiento de lo establecido en la normatividad relacionada con la política de protección a moradores y finaliza con el restablecimiento de las condiciones iniciales de la población ubicada en los territorios intervenidos. </t>
  </si>
  <si>
    <t>Bimensual</t>
  </si>
  <si>
    <t>Ejecución de Proyectos</t>
  </si>
  <si>
    <t xml:space="preserve">Consolidar una gestión eficiente de proyectos que se encuentren en fase de ejecución (estudios y diseños y ejecución de obra). </t>
  </si>
  <si>
    <t xml:space="preserve">Inicia con la planeación de las actividades para la ejecución de los proyectos, incluye la gestión y el seguimiento integral a la ejecución (técnica, financiera y contractual) y finaliza con la entrega de insumos para la fase de cierre de proyecto. </t>
  </si>
  <si>
    <t>Formulación de lineamientos para los manuales de los Comités de Compras y Contrataciones de los proyectos.</t>
  </si>
  <si>
    <t>Incumplimiento de los requisitos exigibles por las Entidades competentes para el recibo de cesiones urbanísticas.</t>
  </si>
  <si>
    <t>Falta de oportunidad en la entrega de cesiones urbanísticas en proyectos de urbanización en los que la empresa actúa como responsable directo de la ejecución de obras.</t>
  </si>
  <si>
    <t>Posibilidad de afectación económica y reputacional por incumplimiento de requisitos exigibles por las Entidades competentes para el recibo de cesiones urbanísticas, debido a la falta de oportunidad en la entrega en proyectos de urbanización en los que la empresa actúa como responsable directo de la ejecución de obras.</t>
  </si>
  <si>
    <t>Los profesionales de apoyo a la Supervisión de la Subgerencia de Ejecución de Proyectos, deberán dar cumplimiento a lo establecido en el procedimiento PD-90 Recibo y entrega de obras y áreas de cesiones públicas, en el cual se solicita la revisión oportuna de los requisitos mínimos para la entrega de la obra al Empresas de Servicios Públicos, IDRD, IDU, UAESP y por último al DADEP diligenciando el formato FT-193 Requisitos mínimos para entrega de obra, y estableciendo el estado actual de los requisitos exigidos por las Entidades competentes, registrando en la columna "Se cuenta con la Certificación" (SI), en caso contrario, deberá revisar las acciones a seguir y requerirá al interventor para el cumplimiento del requisito.</t>
  </si>
  <si>
    <t>Incumplimiento en oportunidad y calidad en la entrega de los proyectos.</t>
  </si>
  <si>
    <t>Documentar e implementar la metodología de acción ante riesgos con probabilidad de materialización.</t>
  </si>
  <si>
    <t>Gestión Comercial</t>
  </si>
  <si>
    <t xml:space="preserve">Diseñar y ejecutar actividades que conduzcan a la identificación de oportunidades comerciales, la promoción de los servicios, proyectos y predios, así como a la vinculación de actores tanto públicos como privados, con el fin de generar y concretar negocios que beneficien la Empresa. </t>
  </si>
  <si>
    <t xml:space="preserve">Inicia con la definición de las actividades que conformarán la Estrategia Comercial y la definición de las líneas de Servicio que serán priorizadas, continúa con la etapa de ejecución de las actividades definidas y concluye con el reporte y/o registro de los negocios gestionados (ofertas, ventas, arriendos, y otros negocios). </t>
  </si>
  <si>
    <t>Proceso de comercialización con condiciones o requisitos que favorecen a un tercero.</t>
  </si>
  <si>
    <t>Debilidad en la gestión de los riesgos en cuanto a: 
1. Identificación
2. Seguimiento y control oportuno y 
3. Efectividad de las acciones correctivas ante la materialización</t>
  </si>
  <si>
    <t>Negocios generados por ofertas de servicios que no se pueden ejecutar.</t>
  </si>
  <si>
    <t>Al revisar la solicitud del servicio o posibilidad de negocio, no se consideran los impactos o riesgos (de tipo jurídico, financiero, técnico o reputacional) que pueden llegar a imposibilitar la ejecución de lo propuesto en la oferta que se consolida para el cliente.</t>
  </si>
  <si>
    <t>Posibilidad de afectación económica y reputacional, debido a que se concreten negocios generados por ofertas de servicios que no se puedan ejecutar, pues al revisar las solicitudes o posibilidades de negocio, no se consideran impactos o riesgos (de tipo jurídico, financiero, técnico o reputacional) que pueden llegar a imposibilitar la ejecución de lo propuesto en la oferta que se consolida para el cliente.</t>
  </si>
  <si>
    <t xml:space="preserve">Inicia con la planeación de las estrategias de defensa jurídica y prevención del daño antijurídico, el seguimiento de los procesos judiciales y extrajudiciales de los cuales sea parte la Empresa incluye dar respuesta a las solicitudes de conceptos, asesoría a clientes internos y externos, análisis y expedición de actos administrativos a los que haya lugar, en el desarrollo del objeto social de la Empresa, lo anterior para prevenir cualquier tipo de daño antijurídico. </t>
  </si>
  <si>
    <t>El Jefe de la Oficina Jurídica cada vez que conoce de un proceso judicial o extrajudicial en el que la Empresa actúa como parte activa o pasiva, designa un abogado que lleva la defensa. El abogado-apoderado revisa el proceso y valora las posibilidades de éxito procesal realizando la evaluación jurídica preliminar, esta evaluación se pone en conocimiento de los demás abogados del equipo de Defensa Judicial en las reuniones de equipo. En caso de requerirse, se realiza un análisis que sirve para fortalecer la evaluación realizada. Las decisiones tomadas quedan registradas en las actas de reunión de seguimiento a los procesos judiciales donde se plasma la estrategia del abogado y las demás recomendaciones del equipo.</t>
  </si>
  <si>
    <t>trimestral</t>
  </si>
  <si>
    <t>Reportar la conducta del abogado-apoderado ante el Consejo Superior de la Judicatura- Comisión Seccional de Disciplina Judicial.</t>
  </si>
  <si>
    <t xml:space="preserve">Apoyar, tramitar, brindar asesoría y realizar seguimiento a los procesos contractuales requeridos por la Empresa, atendiendo al régimen legal aplicable y las modalidades de selección establecidas por la ley y enmarcada en el Manual Interno de Contratación y Gestión de Negocios de la Empresa, para ejecutar los planes de Inversión, Anual de Adquisiciones y Operación Comercial y dar cumplimiento a las metas y objetivos de la Empresa. </t>
  </si>
  <si>
    <t>Inicia con la definición de políticas, objetivos, lineamientos, parámetros y estrategias en materia de contratación de la Empresa, la consolidación del Plan de Contratación, desarrolla las etapas de estructuración, de selección y contratación, lineamientos de supervisión e interventoría y finaliza con la liquidación de los contratos y cierre de los expedientes contractuales, cuando aplique.</t>
  </si>
  <si>
    <t>Estructurar documentos técnicos preliminar es deficientes.</t>
  </si>
  <si>
    <t>Inadecuada planeación y desconocimiento de los lineamientos internos para llevar a cabo los trámites contractuales.</t>
  </si>
  <si>
    <t>Posibilidad de afectación reputacional por estructurar documentos técnicos preliminares deficientes debido a una inadecuada planeación y desconocimiento de los lineamientos internos para llevar a cabo los trámites contractuales.</t>
  </si>
  <si>
    <t>Estandarizar la lista de verificación de la etapa de estructuración.</t>
  </si>
  <si>
    <t>Enviar correo electrónico a las dependencias correspondientes (por evento cuando se presente).</t>
  </si>
  <si>
    <t>Dirigir, planear, organizar, supervisar, coordinar y controlar los procesos financieros, presupuestales, Contables, Tesorería, Cartera, Administración Financiera y de operación transaccional de las fiducias y encargos fiduciarios de la Empresa, así como, formular políticas orientadas a la mejor asignación y utilización de los recursos financieros de la Empresa para brindar información confiable y oportuna que contribuya a la toma de decisiones y sostenibilidad de la Empresa.</t>
  </si>
  <si>
    <t>Inicia con el diseño de los lineamientos orientados a la mejor asignación y utilización de los recursos financieros de forma que garantice el apalancamiento de las operaciones urbanas y prestación de servicios que se estructuren y finaliza con la ejecución, seguimiento y control de los recursos financieros.</t>
  </si>
  <si>
    <t>El Tesorero General cada vez que se realiza el cargue del archivo plano de pagos a terceros en el portal bancario por el profesional de la Tesorería, verifica que esté acorde a la orden de pago y sus documentos soporte, si no hay novedades se realiza la aprobación del pago, en caso de presentarse novedades con los soportes de pago se remite un correo electrónico al profesional de la Tesorería para su validación.</t>
  </si>
  <si>
    <t>Posibilidad de afectación económica debido al pago en exceso de las obligaciones adquiridas con terceros por el inadecuado proceso de cancelación de cuentas por pagar a proveedores.</t>
  </si>
  <si>
    <t>Gestionar la selección, vinculación, desarrollo integral, administración y desvinculación del talento humano Renobo con el propósito de tener servidores íntegros y comprometidos con la misión, visión y objetivos institucionales.</t>
  </si>
  <si>
    <t>Inicia con el estudio y análisis de planta de personal para determinar las necesidades de la selección y vinculación del talento humano, continúa con la formulación del Plan Estratégico del Talento Humano, su ejecución y evaluación y finaliza con el retiro de los servidores públicos de la empresa.</t>
  </si>
  <si>
    <t>Baja participación en las actividades del PETH.</t>
  </si>
  <si>
    <t>Debilidad en la promoción y socialización de las actividades programadas.</t>
  </si>
  <si>
    <t>Posibilidad de afectación reputacional debido a la baja participación en las actividades del PETH por la debilidad en la promoción y socialización de éstas.</t>
  </si>
  <si>
    <t>Posterior a la programación de una actividad se envía correo electrónico y se realiza agendamiento general mensualmente, a los colaboradores de la empresa promoviendo las actividades programadas para el periodo.</t>
  </si>
  <si>
    <t xml:space="preserve">Trimestral </t>
  </si>
  <si>
    <t xml:space="preserve">Informar a la Dirección Administrativa y de TIC y proceder a formalizar el acto administrativo. </t>
  </si>
  <si>
    <t>Gestión Ambiental</t>
  </si>
  <si>
    <t>Fortalecer los hábitos de consumo sostenible y responsable de los recursos naturales, a través de la implementación del PIGA y PACA, con el fin de minimizar los impactos derivados de las actividades inherentes a la misionalidad de la Empresa y contribuir a la mitigación del Cambio Climático en Bogotá.</t>
  </si>
  <si>
    <t>Inicia con la identificación del objetivo general, concertación y ejecución para la vigencia actual del Plan Institucional de Gestión Ambiental PIGA y el Plan de Acción Cuatrienal Ambiental – PACA. Así como los objetivos de la sostenibilidad social y ambiental definida en proyectos de la empresa y finaliza con el mejoramiento continuo del desempeño ambiental de la Empresa.</t>
  </si>
  <si>
    <t>Incumplimiento de requisitos legales ambientales.</t>
  </si>
  <si>
    <t>Inobservancia de lineamientos, procedimientos y regulaciones ambientales internas por parte de los colaboradores y contratistas.</t>
  </si>
  <si>
    <t>Posibilidad de afectación económica y reputacional por incumplimiento de requisitos legales ambientales, debido a inobservancia de lineamientos, procedimientos y regulaciones ambientales internas por parte de los colaboradores y contratistas.</t>
  </si>
  <si>
    <t>Divulgación, capacitación y campañas del PIGA y sus programas para efectuar seguimiento a los programas.</t>
  </si>
  <si>
    <t>Realizar mesas de trabajo con las demás áreas, para incorporar los lineamientos del PACA dentro de los proyectos de inversión.</t>
  </si>
  <si>
    <t>Informar a la Secretaría Distrital de Ambiente.
Generar el ajuste al plan de acción.</t>
  </si>
  <si>
    <t>Administrar y gestionar el suministro de recursos físicos y servicios de apoyo administrativo para el cumplimiento de los objetivos misionales y el normal funcionamiento de los procesos de la Empresa.</t>
  </si>
  <si>
    <t>Inicia con la elaboración de la proyección del Presupuesto, Planes de Contratación y Adquisiciones, así como el manejo y control del inventario y termina con el seguimiento y ejecución de estos.</t>
  </si>
  <si>
    <t>Pérdida de los activos fijos de la Empresa</t>
  </si>
  <si>
    <t>No contar con los contratos que suministren bienes y servicios para la gestión y funcionamiento de la Empresa.</t>
  </si>
  <si>
    <t>Amiguismo Fenecimiento o recepción de dádivas, Incumplimiento del código de ética.</t>
  </si>
  <si>
    <t>Falta de controles, seguimientos de los mismos y no contar con la ubicación y el responsable de los activos fijos.</t>
  </si>
  <si>
    <t>Posibilidad de impacto económico y reputacional por la pérdida de los activos fijos de la Empresa por falta de controles, seguimientos de los mismos y no contar con la ubicación y el responsable de los activos fijos.</t>
  </si>
  <si>
    <t>Posibilidad de que, por acción u omisión, se use el poder para la destinación de Recursos Públicos de forma indebida en favor de un privado o tercero.</t>
  </si>
  <si>
    <t>Hacer la reposición del bien a través de la compañía de seguros e informar a las instancias de Control Interno correspondientes.</t>
  </si>
  <si>
    <t>Informar al jefe del área, para tomar las medidas pertinentes con el fin de cubrir los bienes y servicios que no se encuentran en el Plan Anual de Adquisiciones.
Hacer efectivas las garantías contractuales especificadas en cada uno de los contratos.</t>
  </si>
  <si>
    <t>La Subgerencia de Gestión Corporativa envía comunicados a través del correo institucional socializando los principios y valores éticos (integridad), mínimo dos veces al año.</t>
  </si>
  <si>
    <t>Gestión Documental</t>
  </si>
  <si>
    <t xml:space="preserve">Inicia con la articulación de los instrumentos estratégicos y comprende la planeación, producción, recepción, trámite, organización y custodia, culminando con la disposición final de la documentación e información de la Empresa. </t>
  </si>
  <si>
    <t>Sustracción, alteración o inclusión de documentos en los expedientes documentales que se encuentran en custodia del proceso para beneficiar a terceros.</t>
  </si>
  <si>
    <t>Seguimiento inadecuado en los préstamos documentales y consultas en sala.</t>
  </si>
  <si>
    <t>Posibilidad de que, por acción u omisión, se use el poder para sustraer, incluir y/o adulterar documentos en los expedientes (misionales y de gestión) en beneficio de terceros.</t>
  </si>
  <si>
    <t>Previo a la entrega de un préstamo documental en físico, los colaboradores de Gestión Documental verifican el contenido y estado del expediente para asegurar su integralidad y validan que se cuente con el requerimiento por correo electrónico de la dependencia solicitante. Una vez validado todo, se realiza el préstamo documental diligenciando el formato FT-111 Registro Préstamo de Documentos. Tres días previos al vencimiento del préstamo, los colaboradores de Gestión Documental solicitan la devolución o renovación del mismo a través de correo electrónico. En caso de devolución del expediente, los colaboradores de Gestión Documental verifican el contenido y estado del expediente para asegurar su integralidad y en caso de encontrar inconsistencias se solicita al responsable subsanar las novedades para poder recibirlo.</t>
  </si>
  <si>
    <t xml:space="preserve">El Técnico de Gestión Documenta realiza capacitaciones a los colaboradores del proceso de Gestión Documental con respecto al cumplimiento del procedimiento de préstamo y consulta documental. </t>
  </si>
  <si>
    <t>Degradación y deterioro parcial o total de la información o su soporte.</t>
  </si>
  <si>
    <t>Incumplimiento de los lineamientos y acciones de conservación preventiva del acervo documental de la Empresa.</t>
  </si>
  <si>
    <t>Posibilidad de afectación reputacional por degradación y deterioro parcial o total de la información o su soporte, debido al incumplimiento de los lineamientos y acciones de conservación preventiva del acervo documental de la Empresa.</t>
  </si>
  <si>
    <t>La profesional de Conservación y Restauración de Bienes Muebles mensualmente monitorea y verifica el cumplimiento del Plan de Conservación Documental diligenciando los formatos establecidos tal fin, en caso de presentarse desviaciones en la ejecución del plan se toman las acciones de mitigación necesarias para cada componente de conservación.</t>
  </si>
  <si>
    <t>Socializar el Sistema Integrado de Conservación Documental.</t>
  </si>
  <si>
    <t>Realizar la intervención de la documentación afectada por el deterioro.</t>
  </si>
  <si>
    <t>El archivista del proceso de Gestión documental trimestralmente verifica que la producción documental de las dependencias se encuentre archivada en los expedientes electrónicos del SGDEA, resultado de esta verificación se elabora una comunicación oficial dirigida al jefe de la dependencia para que se tomen las acciones que correspondan.</t>
  </si>
  <si>
    <t>Socialización, implementación y seguimiento de los instrumentos archivísticos
* PINAR
* PGD
* TRD
* CCD
* Modelo de Requisitos
* Banco Terminológico</t>
  </si>
  <si>
    <t>Aplicación de los procedimientos de recuperación, conservación y seguridad de la información.</t>
  </si>
  <si>
    <t xml:space="preserve">Gestionar de manera integral las tecnologías de la información y las comunicaciones, para prestar servicios acordes a las necesidades de la empresa y formular lineamientos relacionados con estándares y buenas prácticas para el manejo de la información. </t>
  </si>
  <si>
    <t xml:space="preserve">Inicia con la identificación de necesidades TIC en la formulación del Plan Estratégico de Tecnologías de la Información - PETI y finaliza con la implementación de soluciones integrales para el mejoramiento continuo de la Empresa. Comprende la administración y soporte de hardware – software, liderar la función Central de Gobierno de Datos, la Política de Gobierno Digital y Seguridad de la Información. </t>
  </si>
  <si>
    <t>Atención y Relacionamiento con la Ciudadanía</t>
  </si>
  <si>
    <t xml:space="preserve">Liderar la implementación de las políticas y lineamientos relacionados con la atención a los ciudadanos para dar acceso oportuno, efectivo y de calidad a la oferta de bienes y servicios de la empresa. </t>
  </si>
  <si>
    <t xml:space="preserve">Inicia con la definición de las actividades a través de las cuales se ejecute la normatividad y lineamientos aplicables para la atención a los ciudadanos, incluye la formulación de las estrategias o lineamientos dispuestos en la Política Publica de Atención al ciudadano y las normas concordantes, la definición de los escenarios de relacionamiento y la interacción con los grupos de interés que la requieran dentro del proceso y finaliza con la presentación de informes seguimiento. </t>
  </si>
  <si>
    <t xml:space="preserve">Ser agente dinamizador del Sistema de Control Interno por medio de actividades en torno a los cinco (5) roles a cargo de la Oficina de Control Interno: Liderazgo estratégico, Enfoque hacia la prevención, Evaluación de la gestión del riesgo, Evaluación y seguimiento, Relación con entes externos de control, para fortalecer el autocontrol, la autorregulación y la autogestión de la Empresa, de conformidad con la normatividad vigente y contribuir con el cumplimiento de los objetivos y metas institucionales, a través de la evaluación y mejora de la eficacia de los procesos de gestión de riesgos, control y gobierno. </t>
  </si>
  <si>
    <t xml:space="preserve">Contribuir al fortalecimiento y protección de los principios de la función pública a través de la generación de actividades de prevención en materia disciplinaria, así como adelantar las actuaciones administrativas a los servidores y ex servidores públicos de la Empresa, cuando incurran en conductas que puedan constituir faltas disciplinarias de conformidad con lo establecido en la normatividad vigente. </t>
  </si>
  <si>
    <t xml:space="preserve">Inicia con el diseño de estrategias de prevención y socialización relacionadas con asuntos disciplinarios, contempla el análisis de las quejas o denuncias, o remisiones por competencia o informe de autoridad competente, la generación de las indagaciones previas y/o las investigaciones disciplinarias por acción u omisión, por el incumplimiento de deberes, extralimitación en el ejercicio de derechos y funciones, incurrir en prohibiciones y por la violación del régimen de inhabilidades, incompatibilidades, impedimentos y conflicto de intereses, así como por las infracciones a la Constitución, las leyes y manuales de funciones. </t>
  </si>
  <si>
    <t xml:space="preserve">Control Disciplinario Interno </t>
  </si>
  <si>
    <t>Debilidades en el debido control de los términos de prescripción que permita que se tomen las decisiones de fondo en los plazos establecidos.</t>
  </si>
  <si>
    <t>Informar en Comité Institucional de Gestión y Desempeño para trasladar al área que competa para que se busque alternativa para una nueva estructuración de la propuesta.</t>
  </si>
  <si>
    <t>Posibilidad de recibir dádivas o beneficios a nombre propio o de terceros para el incumplimiento en procesos financieros y la alteración de la información del registro de ingresos, liquidaciones y de cartera en el proceso de recaudo o de descuentos y deducciones en trámites de pago.</t>
  </si>
  <si>
    <t xml:space="preserve">Liderar la formulación, normalización e implementación de los instrumentos archivísticos, manuales, procedimientos y lineamientos que garanticen la autenticidad, integralidad, accesibilidad, conservación y preservación de la memoria documental de la Empresa. </t>
  </si>
  <si>
    <t>La Jefatura de la Oficina de Control Interno revisa, de acuerdo con el Plan Anual de Auditorías, los Planes de Trabajo de auditoría específicos, para asegurar que se incluyan los aspectos relevantes de la auditoría, a ser tenidos en cuenta para su ejecución, y posterior envió del Plan de Trabajo al líder del proceso a auditar, conforme al procedimiento PD-57 "Auditorías Internas SIG y de Evaluación Independiente". En caso de encontrar inconsistencias en el plan de trabajo se solicitará al auditor encargado corregir las desviaciones. La evidencia del control será el Plan de trabajo final ajustado y enviado al auditado.</t>
  </si>
  <si>
    <t>Falta de revisión detallada de los documentos que contienen las condiciones y requisitos exigidos para participar en los procesos de comercialización.</t>
  </si>
  <si>
    <t>Inclusión en los estudios previos o en la presentación de Adendas que modifican las condiciones generales del proceso de contratación, posiblemente por presiones internas o externa o por nepotismo.</t>
  </si>
  <si>
    <t xml:space="preserve">Posibilidad de afectación económica o reputacional por hallazgos generados a raíz de informes de organismos externos, debido a la presentación fuera de términos y/o incompletas de las actividades asignadas por ley a la Oficina de Control Interno. </t>
  </si>
  <si>
    <t>Entrega inmediata y/o ejecución inmediata de la actividad pendiente. Cuando se trate de actividades incluidas en el PAA, cuya entrega no sea de ley, se analiza su posible modificación para ser presentado y aprobado en el CICCI.</t>
  </si>
  <si>
    <t>El profesional de apoyo a la supervisión verifica bimensualmente en visita técnica a la obra, según muestreo aleatorio, las cantidades de obra y las especificaciones técnicas ejecutadas en los proyectos. Se solicitan las revisiones y/o aclaraciones de inconsistencias a que haya lugar en las actas y/o informes correspondientes.</t>
  </si>
  <si>
    <r>
      <rPr>
        <b/>
        <sz val="10"/>
        <rFont val="Arial Narrow"/>
        <family val="2"/>
      </rPr>
      <t>RIESGO ASOCIADO A TRÁMITES:</t>
    </r>
    <r>
      <rPr>
        <sz val="10"/>
        <rFont val="Arial Narrow"/>
        <family val="2"/>
      </rPr>
      <t xml:space="preserve">
Posibilidad de aceptar o solicitar dádivas de los obligados para la realización del trámite "Cumplimiento de la obligación VIS-VIP mediante pago compensatorio".</t>
    </r>
  </si>
  <si>
    <t>Revisar que la información publicada del trámite "Cumplimiento de la obligación VIS-VIP mediante pago compensatorio” se encuentre actualizada en los portales, Guía de Trámites y Servicios y en el Sistema Único de Información y Trámites - SUIT. Adicionalmente, brindar asesorías a los obligados que lo soliciten informando que el trámite no tiene ningún costo.</t>
  </si>
  <si>
    <t>´- Desconocimiento en el tratamiento de la información sensible de la Renobo.
- Conflicto de intereses.</t>
  </si>
  <si>
    <t>Llevar a cabo las siguientes actividades:
- Modificaciones contractuales técnica, jurídica y financieramente soportadas.
- Acciones de apremio o procesos de incumplimiento.
- Activación de mecanismos de cobertura de los riesgos asegurados mediante pólizas.</t>
  </si>
  <si>
    <t>El profesional de Tesorería cada vez que se recepciona un pago verifica que los documentos requeridos para trámite y pago por los diferentes conceptos estén en el Sistema de Gestión Documental, en donde verifica:
- Que el valor y periodo a cobrar corresponda a lo establecido en el contrato o en el acto administrativo debidamente legalizado.
- El pago de aportes de parafiscales y documentos soportes de pago estén acorde con lo establecido por Ley.
- El Certificado de cumplimiento este acorde con la factura electrónica y/o documento de pago del proveedor y se encuentre en los tiempos estipulados, si el tramite de pago cumple con todos los requisitos establecidos continua el tramite de pago, en caso de presentarse inconsistencia se devuelve al tercero, (a través del sistema de información y se informa a través de correo electrónico).</t>
  </si>
  <si>
    <r>
      <t>Posibilidad de que por acción u omisión se favorezca a un tercero, con las condiciones o requisitos exigidos para su participación en los procesos de comercialización</t>
    </r>
    <r>
      <rPr>
        <sz val="10"/>
        <color rgb="FFFF0000"/>
        <rFont val="Arial Narrow"/>
        <family val="2"/>
      </rPr>
      <t>.</t>
    </r>
  </si>
  <si>
    <t xml:space="preserve">Los profesionales de la Dirección Técnica Comercial, verifican que siempre que se elaboren documentos para la comercialización de inmuebles a cargo del área; éstos incluyan los parámetros establecidos en el Manual de Contratación vigente y/o las políticas definidas por la Empresa para el negocio en particular, luego el o (la) Director(a) Técnico Comercial los revisa y aprueba como evidencia del control, en caso de requerir ajustes los realiza de manera conjunta con los profesionales de la Dirección y posterior al ajuste los remite a la Dirección Contractual para validación, visto bueno y publicación en SECOP o página Web para que puedan acceder a ellos los interesados. De llegarse a presentar observaciones o necesitar ajustes resultantes de los comentarios que emitan los interesados o gestión contractual, deberá repetirse nuevamente el proceso de revisión y aprobación. </t>
  </si>
  <si>
    <t>Socializar a los profesionales de la Dirección Técnica Comercial los parámetros establecidos en el Manual de Contratación vigente y/o las políticas definidas por la Empresa para los negocios.</t>
  </si>
  <si>
    <t>El (La) Director(a) y los profesionales de la Dirección Comercial encargados de apoyar la gestión de ofertas, cada vez que se recibe una solicitud de servicios o se identifica una posibilidad de negocio, realizan una revisión preliminar para determinar si enmarca en las líneas de negocios de la Empresa, si ésta cuenta con la facultad y capacidad de atenderla y si existe algún otro aspecto (como jurídico, financiero o técnico) que imposibilita su ejecución. Como resultado de la revisión se determina si se continúa con la estructuración de la propuesta o en caso contrario, se emite la correspondiente comunicación oficial con radicado, informando al interesado la imposibilidad de atender el servicio correspondiente.</t>
  </si>
  <si>
    <t xml:space="preserve">Revisar que las propuesta elaboradas incluyan en su presentación la línea de negocio o el servicio que se prestará, y que su contenido corresponda al remitido y avalado por cada una de las áreas que participaron en su construcción. </t>
  </si>
  <si>
    <t>El dependiente judicial del proceso de Gestión Jurídica verifica día de por medio (lunes, miércoles y viernes) que el estado de los procesos judiciales en la página oficial de la rama judicial corresponda con lo reportado en la Matriz de Seguimiento a las actuaciones y en el SIPROJ, en caso de encontrar inconsistencias se remite
correo electrónico al apoderado para que realice las actuaciones que correspondan.</t>
  </si>
  <si>
    <t>Aplicación del Procedimiento PD-40 Reconstrucción de Expedientes.
Informar a las instancias internas y externas de control que corresponda.</t>
  </si>
  <si>
    <t>Pérdida de información digital y/o electrónica.</t>
  </si>
  <si>
    <t>Incumplimiento de los lineamientos internos y uso de herramientas establecidos por el proceso de gestión documental.</t>
  </si>
  <si>
    <t>Posibilidad de afectación económica y reputacional por pérdida de información digital y/o electrónica debido al incumplimiento de los lineamientos internos y uso de herramientas establecidos por el proceso de gestión documental.</t>
  </si>
  <si>
    <t>El técnico líder asignado al CAD del proceso de Gestión Documental cada vez que recepciona documentación, verifica que los documentos que se entregan estén debidamente registrados en el formato FT-33 Formato Único de Inventario Documental y valida su correcto, como evidencia de la ejecución del control queda el formato firmado por la dependencia productora y por el líder técnico del CAD de Gestión Documental, en caso de presentarse errores en el diligenciamiento se remite un correo electrónico indicando las sugerencias de ajustes.</t>
  </si>
  <si>
    <t>Los colaboradores del Centro de Administración Documental validan con las tablas de retención documental vigentes, si la solicitud para crear los expedientes electrónicos cumple con todos los criterios, de ser así se crea el expediente, en caso de encontrar inconsistencias en la solicitud realizada, se remite un correo electrónico informando de la misma al área solicitante y solo se procede hasta cuando esté corregida.</t>
  </si>
  <si>
    <t>El profesional responsable del inventario ejecuta las actividades descritas en el procedimiento PD-59 Administración de Inventarios, por lo menos una (1) vez al año con el propósito de identificar, verificar, analizar y actualizar el inventario de los bienes de propiedad o administrados por la Empresa. En caso de presentarse novedades, se procede a ejecutar los procedimientos: PD-21 Baja de bienes servibles no utilizables y bienes inservibles y PD-22 Pérdida de Bienes.</t>
  </si>
  <si>
    <t>Posibilidad de afectación reputacional por no contar con los contratos que suministren bienes y servicios para el gestión y funcionamiento de la Empresa, por la falta de control y seguimiento oportuno al Plan de Adquisiciones.</t>
  </si>
  <si>
    <t>Falta de control y seguimiento oportuno al Plan de Adquisiciones.</t>
  </si>
  <si>
    <t>El profesional de recursos físicos mensualmente verifica que los procesos contractuales programados que se requieren conforme a las necesidades evidenciadas para el normal funcionamiento de la empresa se estructuren y contraten conforme a lo establecido en el Plan de Adquisiciones y Plan de Contratación del proceso, en caso de encontrar procesos que se requieren y no han iniciado el proceso contractual, se inicia inmediatamente, y en caso de encontrar procesos que ya no se requieren, se informa a la Dirección Financiera y Dirección de Contratación para modificar el Plan de Adquisiciones y Plan de Contratación, lo cual queda evidenciado en las nuevas versiones de los planes.</t>
  </si>
  <si>
    <t>Realizar seguimiento mensual al Plan de Adquisiciones y al Plan de Contratación del proceso, en el Comité de Autoevaluación, para tomar medidas preventivas.</t>
  </si>
  <si>
    <t>Posibilidad de que por acción u omisión, haya afectación reputacional por ocultamiento o manipulación de información por parte de quien desarrolla el trabajo de auditoría, para favorecimiento propio o de un tercero.</t>
  </si>
  <si>
    <t>Amiguismo.</t>
  </si>
  <si>
    <t>Garantizar la suscripción de los Acuerdos de confidencialidad - Carta de representación.</t>
  </si>
  <si>
    <t>Realizar una socialización del Estatuto de Auditoría y del Código de Ética del Auditor al equipo de auditores.</t>
  </si>
  <si>
    <t>Cada vez que aplique</t>
  </si>
  <si>
    <t>Analizar las causas que originaron el caso y rediseñar los controles operativos para prevenir la repetición de la situación detectada.
Informar a las instancias internas y externas de control que corresponda.</t>
  </si>
  <si>
    <t>Hallazgos generados a raíz de informes de organismos externos.</t>
  </si>
  <si>
    <t xml:space="preserve">Presentación fuera de términos y/o incompletas de las actividades asignadas por ley a la Oficina de Control Interno. </t>
  </si>
  <si>
    <t xml:space="preserve">La jefatura de la Oficina de Control Interno verifica periódicamente el cumplimiento de las actividades del Plan Anual de Auditoría y del Cuadro de Actividades y Requerimientos, a cargo de la oficina; como resultado se generan y se comunican las alertas correspondientes. En caso de encontrar un vencimiento próximo que se pueda reprogramar, se hace la solicitud correspondiente. Cuando se generan ajustes en las actividades programadas del PAA se presentan para aprobación y/o comunican en el marco del Comité Institucional de Control Interno, de ser necesario. Y luego el PAA final ajustado es socializado al grupo auditor de la OCI. </t>
  </si>
  <si>
    <t>La Jefatura de la Oficina de Control Interno en las reuniones de seguimiento y/o autoevaluación trimestral, requiere al Equipo de trabajo se informe el estado de cada una de las actividades asignadas, dejando registro dentro de la documentación correspondiente del análisis y los compromisos.</t>
  </si>
  <si>
    <t>Un miembro del equipo de la Oficina de Control Interno encargado de realizar el apoyo del seguimiento y control de las actividades y requerimientos a cargo, envía correo electrónico diario al Grupo de Trabajo de la OCI, indicando los vencimientos cuya respuesta se deben enviar en los plazos y fechas establecidas.</t>
  </si>
  <si>
    <t>Aprobaciones de productos o requerimientos asociados a los proyectos sin el cumplimiento de los requisitos técnicos, jurídicos o de procedimiento.</t>
  </si>
  <si>
    <t>Posibilidad de que por acción u omisión, se acepten o soliciten dádivas para aprobar productos o requerimientos asociados a los proyectos sin el cumplimiento de los requisitos técnicos, jurídicos o de procedimiento.</t>
  </si>
  <si>
    <t xml:space="preserve">Los profesionales de apoyo a la supervisión realizan seguimiento mensual a las Interventorías, mediante la revisión de los informes de Interventoría y acompañamiento en comités (actas) en las cuales se evidencia el estado del proyecto. Se realizan las solicitudes de revisión y/o aclaración de inconsistencias a que haya lugar en las actas y/o informes correspondientes. </t>
  </si>
  <si>
    <t>El profesional de apoyo a la supervisión verifica, cada vez que sesione el Comité de Compras y Contrataciones para la toma de decisiones relacionada con los proyectos, que las cotizaciones presentadas para decisiones del comité estén a valor de mercado. Se solicitan las revisiones y/o aclaraciones de inconsistencias a que haya lugar.</t>
  </si>
  <si>
    <t>El profesional de apoyo a la supervisión verifica mensualmente que las aprobaciones de compras coincidan con lo establecido en las actas de los comités y los cuadros comparativos correspondientes. Se solicitan las revisiones y/o aclaraciones de inconsistencias a que haya lugar.</t>
  </si>
  <si>
    <t>Posibilidad de afectación económica y reputacional por el incumplimiento en oportunidad y calidad en la entrega de los proyectos, debido a debilidad en la identificación, el seguimiento y control de riesgos de proyectos y la respuesta ante la materialización de los mismos.</t>
  </si>
  <si>
    <t xml:space="preserve">Los profesionales de la Dirección Técnica correspondiente verifican, cada vez que se efectúe la etapa precontractual para estudios y diseños o ejecución de obra, la correspondencia de la matriz de riesgos respectiva con los riesgos tipo y las características específicas contenidas en el Anexo Técnico y el modelo de ejecución del proyecto. Se realizan todos los ajustes y complementos necesarios a la matriz de riesgos, previo a la contratación. </t>
  </si>
  <si>
    <t>Los profesionales de la Dirección Técnica correspondiente verifican y validan mensualmente los informes y reportes de interventoría para monitorear la probabilidad de materialización de los riesgos del proyecto y determinar los riesgos materializados durante el período. Como resultado del control se implementa la metodología de acción ante riesgos con probabilidad de materialización, se realiza el reporte a la Oficina Asesora de Planeación sobre riesgos materializados y se adelantan las acciones preventivas y correctivas correspondientes.</t>
  </si>
  <si>
    <t>Los profesionales de la Dirección Técnica correspondiente identifican semanalmente los proyectos con desviaciones negativas en la ejecución menores a 0 % y hasta -5%, respecto de lo programado y se registra en el instrumento de seguimiento. En caso de encontrar desviaciones en la ejecución, los profesionales de la Dirección Técnica correspondiente definen la ruta para superar la desviación en el corto plazo y ejecutan seguimiento semanal.</t>
  </si>
  <si>
    <t xml:space="preserve">Los profesionales de la Dirección Técnica correspondiente identifican semanalmente los proyectos con desviaciones negativas en la ejecución menores a -5% y hasta -10% respecto de lo programado y se registra en el instrumento de seguimiento. En caso de encontrar desviaciones en la ejecución, los profesionales de la Dirección Técnica correspondiente formulan plan de contingencia y se hace seguimiento mensual desde Subgerencia. </t>
  </si>
  <si>
    <t xml:space="preserve">Los profesionales de la Dirección Técnica correspondiente identifican semanalmente los proyectos con desviaciones negativas en la ejecución menores a -10%) respecto de lo programado y se registra en el instrumento de seguimiento. En caso de encontrar desviaciones en la ejecución, los profesionales de la Dirección Técnica correspondiente requieren acompañamiento de la Oficina Jurídica y de la Dirección de Contratación, se da inicio los procesos de apremio y de incumplimiento a los que haya lugar. </t>
  </si>
  <si>
    <t>Posibilidad de afectación reputacional por inexistencia de valor agregado en el desarrollo del trabajo de auditoría por debilidades en la información utilizada para la elaboración del Plan Anual de Auditoría, la planificación del objetivo y/o alcance del trabajo de auditoría y/o las competencias del equipo auditor.</t>
  </si>
  <si>
    <t xml:space="preserve"> Inexistencia de valor agregado en el desarrollo del trabajo de auditoría.</t>
  </si>
  <si>
    <t>Información utilizada para la elaboración del Plan Anual de Auditoría, la planificación del objetivo y/o alcance del trabajo de auditoría y/o las competencias del equipo auditor.</t>
  </si>
  <si>
    <t xml:space="preserve">La Jefe de la Oficina de Control Interno revisa los informes preliminares antes de ser enviados a los líderes de los procesos y/o grupos de valor, con el propósito de asegurar su entrega con calidad y oportunidad. En caso de encontrar que el informe no genera valor, solicita mediante correo electrónico o a través de reunión, al profesional responsable los ajustes correspondientes. </t>
  </si>
  <si>
    <t xml:space="preserve">La Jefe de la Oficina de Control Interno y el profesional asignado, revisan cada vez que se requiera, los comentarios recibidos por parte de los líderes del proceso y/o grupos de valor al informe preliminar, para validar la pertinencia y/o ajuste al mismo. Una vez en firme, se realiza la reunión de cierre para la entrega del informe final. </t>
  </si>
  <si>
    <t xml:space="preserve">Se solicita al inicio de cada auditoria la firma de la Carta de Representación: Veracidad, Calidad y Oportunidad en la entrega de información presentada a la Oficina de Control Interno en el marco de la realización de auditorías de gestión. </t>
  </si>
  <si>
    <t>Realizar una capacitación sobre temas inherentes al Sistema de Control Interno por parte de la Oficina de Control Interno.</t>
  </si>
  <si>
    <t>Hacer un alcance al informe final de auditoría.</t>
  </si>
  <si>
    <t>Hacer retroalimentación al equipo auditor.</t>
  </si>
  <si>
    <t>Los profesionales de la Dirección de Contratación al inicio de cada vigencia y cada vez que se realicen modificaciones al Pla de Contratación verifican que lo establecido en el Plan corresponda con el Plan de Egresos, si se encuentran diferencias se devuelve al área generadora a través del Sistema Administrativo y Financiero y una vez ajustado se presenta al Comité de Contratación para su respectiva recomendación (acta comité de contratación) y aprobación por parte del ordenador del gasto.</t>
  </si>
  <si>
    <t>Los profesionales de la Dirección de Contratación cada vez que se lleve a cabo una contratación, verifican que el anexo técnico y la matriz de riesgos preliminar, el presupuesto y el estudio de precios de mercado sean consistentes con la necesidad definida y que cumpla con los lineamientos internos para llevar a cabo el trámite contractual; en caso de encontrar inconsistencias se realizan los ajustes de manera conjunta con el área generadora en donde además se hace la retroalimentación respectiva, lo cual queda evidenciado con la formalización de los estudios previos.</t>
  </si>
  <si>
    <t>continua</t>
  </si>
  <si>
    <t>La Jefe de la Oficina de Control Disciplinario Interno verifica el sentido del acto administrativo con fundamento en la documentación entregada y determina si la decisión es ajustada o no a derecho. En caso de encontrar inconsistencias implementa los correctivos correspondientes. La evidencia del control queda consignada en actas digitales que se archivan en el despacho.</t>
  </si>
  <si>
    <t>Cada vez que se evidencie que no hay unidad de criterio en un tema, la Jefe de la Oficina de Control Disciplinario Interno realiza reuniones donde se revisan los diferentes casos y se elabora un concepto resolviendo la controversia. La evidencia queda consignada en el archivo del despacho.</t>
  </si>
  <si>
    <t>Elaborar un informe para ser enviado al superior jerárquico o al ente de control competente, dependiendo de la naturaleza del cargo.
Informar a las instancias internas y externas de control que corresponda.</t>
  </si>
  <si>
    <t>Posibilidad de afectación reputacional por la materialización de la figura jurídica de la prescripción establecida en la ley, por debilidades en el debido control de los términos de prescripción que permita que se tomen las decisiones de fondo en los plazos establecidos.</t>
  </si>
  <si>
    <t>El profesional de Gestión Ambiental realiza la verificación mensual del cumplimiento a la ejecución de los Programas Ambientales del PIGA realizando un comparativo con la vigencia anterior, los resultados del seguimiento son presentados en el marco del Comité de Autoevaluación, en caso de presentarse desviaciones respecto a la ejecución de los programas se formulan acciones preventivas y correctivas correspondientes. Las decisiones tomadas quedan registradas en las actas del Comité y en los reportes trimestrales a la ejecución de los indicadores del proceso.</t>
  </si>
  <si>
    <t>Realizar el ajuste a la planeación establecida, actualizando metas y cronogramas para la vigencia y generar una estrategia de convocatoria.</t>
  </si>
  <si>
    <t>Incumplimiento los criterios de respuesta de las peticiones (oportunidad, claridad, calidez, coherencia y manejo del sistema).</t>
  </si>
  <si>
    <t>Posibilidad de afectación reputacional por respuestas a los ciudadanos que incumplen los criterios de respuesta de las peticiones (oportunidad, claridad, calidez, coherencia y manejo del sistema) debido a falta de conocimiento frente a la norma, la política y al manejo del sistema de PQRS.</t>
  </si>
  <si>
    <t>El líder del proceso de Atención al Ciudadano y Relacionamiento con la Ciudadanía, mensualmente valida el informe de seguimiento a la calidad de las respuestas remitido por la Alcaldía Mayor de Bogotá, y de acuerdo con lo reportado por esta entidad, a través de comunicación oficial da alcance a las áreas que presentaron incumplimiento para que éstas formulen el plan de mejoramiento correspondiente en el formato establecido por la Alcaldía. De otra parte, se realizan mesas de trabajo conjuntas con las áreas que presentaron incumplimiento para retroalimentar el criterio en el cual se presentó el incumplimiento.</t>
  </si>
  <si>
    <t>El líder del proceso de Atención al Ciudadano y Relacionamiento con la Ciudadanía, una vez al año analiza los resultados de la prueba de entendimiento aplicada a los colaboradores de la empresa para detectar deficiencias frente al conocimiento de los criterios de respuesta de las peticiones. Los resultados del análisis se socializan y se realiza una retroalimentación a toda la empresa a través de piezas de comunicación interna.</t>
  </si>
  <si>
    <t>Documentar el control.</t>
  </si>
  <si>
    <t>Único</t>
  </si>
  <si>
    <t>Agosto</t>
  </si>
  <si>
    <t>Ausencia de confidencialidad de la claves de acceso a funcionarios y contratistas.
Debilidad en la actualización del hardware y software de la empresa.</t>
  </si>
  <si>
    <t xml:space="preserve">Los profesionales del proceso de Gestión de TIC, realizan un monitoreo diario de la infraestructura de TI de la entidad, utilizando herramientas de monitoreo, protección y tableros de control, ingresando a la plataforma o revisando que no hayan enviado alertas de correo electrónico sobre fallos en los sistemas, una vez revisado se generan reportes mensuales los cuales son trasladados a los expedientes contractuales. El proveedor también realiza revisión de alertas e informa inmediatamente al profesional de sistemas si se encuentran alguna anormalidad. </t>
  </si>
  <si>
    <t>Baja participación en las actividades de Gestión Social y de Participación Ciudadana</t>
  </si>
  <si>
    <t>Posibilidad de afectación reputacional debido a la baja participación en las actividades de Gestión Social y de Participación Ciudadana por la debilidad en la promoción y socialización.</t>
  </si>
  <si>
    <t>El Jefe de la Oficina de Participación Ciudadana y Asuntos Sociales, junto con el equipo de trabajo, realizará la verificación mensual del cumplimiento a la ejecución de las diferentes estrategias de Gestión Social y de Participación Ciudadana, realizando un comparativo con el periodo anterior, en el marco del Comité de Autoevaluación y Seguimiento. En caso de presentarse desviaciones respecto a la ejecución, se formularán las acciones preventivas y correctivas correspondientes. Las decisiones tomadas quedarán registradas en las actas del Comité y en los reportes trimestrales de ejecución.</t>
  </si>
  <si>
    <t>Debilidad en la promoción y socialización de las convocatorias programadas y en la inclusión de los aportes recopilados en los diferente espacios.</t>
  </si>
  <si>
    <t>Posterior a la elaboración de la estrategia, se realizarán las respectivas convocatorias por los diferentes canales de la Entidad y mediante los medios establecidos por el Jefe de la OPCAS y el líder de cada proyecto, el cual verificará que se hayan realizado en el plazo establecido en el cronograma.</t>
  </si>
  <si>
    <t>En los casos en los que se pueda dar alcance mediante alguna acción correctiva al ciudadano, se realiza el seguimiento respectivo a dicha acción.</t>
  </si>
  <si>
    <t>Sanción del ente regulador.</t>
  </si>
  <si>
    <t xml:space="preserve">
 Aplicación del incremento salarial de los trabajadores oficiales sin contar con el acto administrativo correspondiente.</t>
  </si>
  <si>
    <t>Posibilidad de afectación económica y reputacional por sanción del ente regulador debido a que se aplique aumento salarial a los trabajadores oficiales sin contar con el acto administrativo correspondiente.</t>
  </si>
  <si>
    <t>La Alta Dirección emite anualmente un acto administrativo (Resolución) en donde se especifica la escala salarial de los Trabajadores Oficiales. El profesional de nómina remite dicho acto administrativo al DASCD para que se realice la actualización de la información en el SIDEAP. Cuando se detectan desviaciones que no sean atendidas por el proceso la alta dirección determina las medidas a tomar.</t>
  </si>
  <si>
    <t>Anualmente, se realiza el cálculo del incremento salarial mediante el Sistema Administrativo y Financiero de la Empresa y se corrobora con la información que reposa en el SIDEAP, previo al pago de la nómina del mes de enero de cada vigencia.</t>
  </si>
  <si>
    <t>Pago en exceso de las obligaciones adquiridas con terceros.</t>
  </si>
  <si>
    <t>Inadecuado proceso de cancelación de cuentas por pagar a proveedores.</t>
  </si>
  <si>
    <t>Se actualizarán los procedimientos asociados al proceso de pagos de tesorería para que se implemente un control dual entre contabilidad y el tesorero previo al cierre de las cuentas por pagar.</t>
  </si>
  <si>
    <t>Creación de formato de matriz de control de pagos validado por el profesional en Contabilidad y el profesional en Tesorería.</t>
  </si>
  <si>
    <t xml:space="preserve">El profesional ambiental realiza verificación semestral al cumplimiento de la ejecución física y presupuestal de las metas y/o acciones ambientales priorizadas en el PACA Institucional, con el fin de evidenciar avances y logros de las mismas en la vigencia. Los resultados del seguimiento se analizan y las desviaciones que se presenten con respecto a la ejecución se les genera reformulación o ajustes al plan de acción, dichos ajustes s quedan como evidencia en un documento que se registra en a la herramienta Storm User de la Secretaria de Ambiente. </t>
  </si>
  <si>
    <t xml:space="preserve">La profesional de apoyo al PETH mensualmente verifica que las actividades previstas para el siguiente periodo y las socializa mediante correo electrónico con líderes operativos para fortalecer la promoción y conocimiento de actividades a ejecutar, como evidencia queda el correo electrónico enviado. Así se garantiza que la información se divulgue a través de los líderes a los servidores y se tenga un compromiso adicional para confirmar la asistencia. Cuando se detectan desviaciones, se envía correo a los jefes de cada una de las áreas. </t>
  </si>
  <si>
    <t xml:space="preserve">Se maneja doble revisión como punto de control para los pagos. Inicialmente el profesional de Tesorería realiza el cargue del proceso de pago en el portal bancario con su token y contraseña asignada, posteriormente, el profesional contratista de la Dirección Financiera revisa la coincidencia del cargue del valor del pago con los soportes del sistema de información contable y da aval por correo electrónico antes de que se proceda a la última autorización de pago por parte del Director Financiero. </t>
  </si>
  <si>
    <t xml:space="preserve"> Vulnerabilidad de los sistemas de información.</t>
  </si>
  <si>
    <t>Posibilidad de afectación reputacional por la vulnerabilidad de los sistemas de información, debido a la debilidad en la actualización del hardware, software y claves de confidencialidad de acceso a funcionarios y contratistas.</t>
  </si>
  <si>
    <t>El profesional encargado del directorio activo generará un mensaje de advertencia que su contraseña va a caducar para que el usuario realice el cambio de la contraseña.</t>
  </si>
  <si>
    <t>El profesional del proceso de gestión de TIC mensualmente realizará actualizaciones de los servidores instalando update de seguridad en el software, sistemas operativos para minimizar las brechas de vulnerabilidades.</t>
  </si>
  <si>
    <t>Equipos obsoletos que no soportan eficientemente el software adquirido.</t>
  </si>
  <si>
    <t>Posibilidad de afectación reputacional por indisponibilidad de los servicios o infraestructura de TI debido a cortes de redes eléctricas, de datos, voz e Internet imprevistos por tiempos prolongados y equipos obsoletos que no soportan eficientemente el software adquirido.</t>
  </si>
  <si>
    <t xml:space="preserve">El profesional en cargado de TIC en el tema de redes de internet deberá asegurar la disponibilidad de los servicios con los proveedores de forma mensual con informes de indisponibilidad del servicio. </t>
  </si>
  <si>
    <t>Tener una infraestructura (Conjunto de medios técnicos, servicios e instalaciones necesarios para el desarrollo de una actividad o para que un lugar pueda ser utilizado.) de protección y contingencia desactualizada.
Pérdida de la información institucional.</t>
  </si>
  <si>
    <t>Debilidades en el proceso de realizar copias de seguridad.</t>
  </si>
  <si>
    <t>Posibilidad de afectación reputacional por pérdida de información institucional debido a una infraestructura de protección y contingencia desactualizada, junto con deficiencias en el proceso de realizar copias de seguridad.</t>
  </si>
  <si>
    <t>Verificar diariamente en los repositorios que los backups se realicen de la forma adecuada.</t>
  </si>
  <si>
    <t>Realizar mantenimiento correctivo.</t>
  </si>
  <si>
    <t>El profesional responsable del proceso de Gestión de TIC verifica una vez al mes que la copia automática del sistema JSP7 Gobierno, TAMPUS, GLPI, Intranet y de la información contenida en los servidores de la Empresa con una periodicidad de cada 12 horas, quede almacenada en los repositorios correspondientes, con el propósito de contar con información actualizada en caso de que se presente una falla. En caso de encontrar que no se realizó de manera automática, se solicita al proveedor justificación por escrito la razón por la cual no se realizó ese backup y paralelamente se ejecute la instrucción de lanzar un backup manual de forma inmediata sin interrumpir la programación de los backups automatizados.</t>
  </si>
  <si>
    <t>Solicitar una copia de seguridad de la fecha anterior más reciente del día de materialización del evento.</t>
  </si>
  <si>
    <t>El profesional financiero del proceso de Gestión Predial verifica que la liquidación de la obligación VIS- VIP corresponda con los valores certificados por la Curaduría cada vez que se reciba un trámite, lo cual queda registrado en el anexo de la resolución de la liquidación (FT-244 Liquidación Obligación VIS – VIP y FT-245 Descripción de la aplicación de la fórmula). En caso de encontrar algún error en la aplicación de la formula se devuelve al profesional técnico de Gestión Predial para realizar los ajustes correspondientes. Una vez se han realizado las validaciones se traslada para revisión y aprobación del Director (a) Técnico (a) de Gestión Predial, y revisión y firma del Subgerente (a) de Planeamiento y Estructuración del acto administrativo por medio del cual se adopta.</t>
  </si>
  <si>
    <t>Informar a las instancias internas  de control que corresponda, revocar el acto administrativo y expedir nuevamente la liquidación en debida forma.</t>
  </si>
  <si>
    <t>Informar a las instancias  internas la materialización del riesgo y  modificar o dar alcance al  acto administrativo.</t>
  </si>
  <si>
    <t>Fecha:</t>
  </si>
  <si>
    <t xml:space="preserve">Versión: </t>
  </si>
  <si>
    <t>Cambios realizados:</t>
  </si>
  <si>
    <t>La jefe de la Oficina Asesora de Planeación y su equipo de trabajo, de acuerdo con la periodicidad definida para el seguimiento del Plan de Acción Institucional, revisan la información enviada por los responsables definidos, verificando que la información esté completa, sea clara, consistente y coherente frente a lo programado, con el fin de consolidar y presentar los informes correspondientes para la toma de decisiones de la alta dirección, en caso de presentarse inconsistencias se reitera el requerimiento y de ser necesario se realiza acompañamiento en el reporte para contar con la información veraz y oportuna. Cuando se detecten desviaciones que no sean atendidas por el proceso, la alta dirección determina las medidas a tomar, lo cual queda consignado en las actas del Comité Institucional de Gestión y Desempeño.</t>
  </si>
  <si>
    <t>Posibilidad de afectación reputacional por toma de decisiones estratégicas inadecuadas debido al uso de información con datos erróneos o entrega de información posterior a la fecha definida inicialmente.</t>
  </si>
  <si>
    <t>Uso de información con datos erróneos o entrega de información posterior a la fecha definida inicialmente.</t>
  </si>
  <si>
    <t>Versión inicial.</t>
  </si>
  <si>
    <t>La Dirección Administrativa y de Tic envía comunicados a través del correo institucional recordando los lineamientos establecidos para un adecuado uso de los elementos asignados, mínimo dos veces al año.</t>
  </si>
  <si>
    <t>En cada etapa de la instrucción el profesional sustanciador verifica los términos establecidos en la ley, y lo consigna en el archivo de seguimiento disponible en Drive compartido por la Oficina. Si al verificar la queja, informe o denuncia hay dudas sobre la prescripción, esta se determinará con base en las pruebas allegadas al expediente en la etapa de indagación previa. A paritr de lo anterior,  se proyectan las decisiones, las cuales son entregadas al Jefe de la Oficina de Control Disciplinario Interno, quien verifica los términos, pruebas y la decisión a tomar.</t>
  </si>
  <si>
    <t xml:space="preserve">Proferir auto de archivo que declara la prescripción por extinción de la acción disciplinaria. </t>
  </si>
  <si>
    <t>Posibilidad de afectación reputacional por falta de oportunidad en la entrega de los resultados de trabajos de auditorias, debido a factores internos y externos.</t>
  </si>
  <si>
    <t>Falta de oportunidad en la entrega de los resultados de trabajos de auditorias.</t>
  </si>
  <si>
    <t>Factores internos y externos.</t>
  </si>
  <si>
    <t>La  Jefe de la Oficina de Control Interno y el Auditor Líder,  revisan el Plan de Trabajo de la auditoría y determinan el cumplimiento de las diferentes fechas del  cronograma establecido, una vez terminada cada etapa de la auditoria. Lo anterior, en concordancia con las NIAS sobre Desempeño: 2010: Planificación y 2020: Comunicación y Aprobación. En caso de idenfiticar alguna desviacion en el cronograma, se procede a identificar la causa especifica de la misma y se replantea el cronograma, remitiendolo posteriormente al proceso auditado, por correo electronico, previa autorizacion en el marco del comite CICCI cuando haya lugar a ello (cambios que superen un mes calendario)</t>
  </si>
  <si>
    <t>El profesional de la Oficina Asesora de Planeación semestralmente verifica la actualización del Mapa de Conocimiento explícito; como resultado de esta verificación se genera el informe de seguimiento al Mapa, el cual es socializado a los procesos, si se presentan activos de conocimiento desactualizados, se realiza una mesa de trabajo con el líder operativo del proceso para evaluar y de ser necesario, realizar la actualización del mapa.</t>
  </si>
  <si>
    <t>Realizar 2 jornadas de sensibilización a líderes operativos sobre la importancia en la actualización del Mapa de Conocimiento explícito.</t>
  </si>
  <si>
    <t>Expedición de actos administrativos sin el cumplimiento de los requisitos establecidos en la norma en el marco de los contratos de prestación de servicios de tercera concurrencia.</t>
  </si>
  <si>
    <t>Omisión en los controles establecidos.</t>
  </si>
  <si>
    <t>Posibilidad de afectación reputacional ante la expedición de actos administrativos sin el cumplimiento de los requisitos establecidos en la norma en el marco de los contratos de prestación de servicios de tercera concurrencia, debido a la omisión en los controles establecidos.</t>
  </si>
  <si>
    <t>Revisar aleatoriamente los documentos técnicos y jurídicos y actos administrativos generados con ocasión del proceso de adquisición predial, con el fin de verificar que no existan inconsistencias, y de ser el caso, tramitar las correcciones, modificaciones o alcances que sean necesarios.</t>
  </si>
  <si>
    <t>Los profesionales de la Dirección Técnica de Gestión Predial revisan que los aspectos técnicos y jurídicos de los predios cumplan los requisitos de la norma, de manera preliminar y durante la adquisición predial, realizando los ajustes y/o correcciones a que haya lugar, lo cual queda registrado en los documentos y actos administrativos. Posteriormente, los profesionales designados como líderes o coordinadores revisan los documentos y actos administrativos que se generan durante el proceso de adquisición, solicitando los ajustes y/o correcciones a que haya lugar mediante correo electrónico.
Una vez se han realizado las validaciones se traslada para revisión y aprobación del Director (a) Técnico (a) de Gestión Predial y firma del (a) Subgerente de Planeamiento y Estructuración.</t>
  </si>
  <si>
    <t>Posibilidad de afectación reputacional debido a un dictamen adverso a los estados financieros o con abstención de opinión por parte de la Revisoría Fiscal, por el incumplimiento de las características cualitativas de la información financiera y/o no aplicación de los principios de contabilidad pública que puedan afectar la razonabilidad de las cifras en los estados financieros.</t>
  </si>
  <si>
    <t>Dictamen adverso a los estados financieros o con abstención de opinión por parte de la Revisoría Fiscal</t>
  </si>
  <si>
    <t>Incumplimiento de las características cualitativas de la información financiera y/o no aplicación de los principios de contabilidad pública que puedan afectar la razonabilidad de las cifras en los estados financieros.</t>
  </si>
  <si>
    <t>Los profesionales de Contabilidad, en forma mensual, verifican que los registros contables cumplan con lo establecido en las Políticas Contables (PL-02), de igual forma realizan conciliaciones de información con las áreas internas y externas involucradas, asegurando la coherencia y razonabilidad de la información financiera, lo cual, queda registrado en el Sistema Administrativo y Financiero de la Empresa. En caso de encontrar diferencias, y previo al cierre contable mensual, se solicita la revisión al área origen correspondiente a través de correo electrónico, para que se realicen los ajustes correspondientes, los cuales quedan registrados en el Sistema Administrativo y Financiero de la Empresa.</t>
  </si>
  <si>
    <t>El Contador de la Empresa mensualmente coteja que la información de las cuentas y subcuentas del Balance asociadas a las Notas a los Estados Financieros contengan la información que se reporta en los Estados Financieros que van a ser enviados a la Revisoría Fiscal para su validación. En caso de encontrar diferencias, se valida la información con los profesionales de Contabilidad y en caso de ser necesario con el área origen correspondiente y según se requiera se realizan los ajustes a que haya lugar, los cuales quedan registrados en el Sistema Administrativo y Financiero de la Empresa.</t>
  </si>
  <si>
    <t>Mantener actualizadas las Políticas Contables (PL-02) y socializarlas al interior de la Empresa, cuando presenten alguna modificación debido a cambios emitidos por la Contaduría General de la Nación, y que afecten el marco normativo contable aplicable a la Empresa.</t>
  </si>
  <si>
    <t xml:space="preserve">Implementar las acciones para corregir las observaciones, que emita la Revisoría Fiscal en sus informes periódicos conforme al plan de auditoría establecido. </t>
  </si>
  <si>
    <t>Posibilidad de afectación económica por la estructuración de información exógena a reportar a la DIAN y/o la DID-SDH, fuera de los plazos establecidos y/o inconsistente, debido a la excesiva carga operativa y debilidad en la verificación oportuna de la información a reportar.</t>
  </si>
  <si>
    <t>Estructuración de información exógena a reportar a la DIAN y/o la DID-SDH, fuera de los plazos establecidos y/o inconsistente.</t>
  </si>
  <si>
    <t>Debilidad en la verificación oportuna de la información a reportar.</t>
  </si>
  <si>
    <t>El Profesional de Contabilidad encargado del reporte de medios magnéticos, anualmente verifica que la información generada desde el Sistema Administrativo y Financiero de la Empresa cruce con la información presentada en las declaraciones para la vigencia, en caso de encontrar diferencias éstas se deben identificar y realizar ajustes y adecuaciones correspondientes en los formatos de la información exógena de la DIAN y/o DID-SDH, de acuerdo con lo establecido en las normas. Es importante aclarar que, en caso de encontrar Partidas conciliatorias, si bien generan diferencias, están sustentadas por la aplicación de una norma, por lo tanto, éstas se mantienen.</t>
  </si>
  <si>
    <t>La firma de Asesores Tributarios anualmente revisa y valida que los formatos de información exógena cumplan con las especificaciones de la norma y emite un informe detallado de observaciones; en caso de encontrar diferencias o inconsistencias, el profesional de Contabilidad efectúa los ajustes y correcciones que sean necesarios en los archivos a transmitir a la DIAN y/o DID-SDH, y los formatos finales son validados a su vez, por el Contador de la Empresa, previo a su envío y transmisión.</t>
  </si>
  <si>
    <t>40%</t>
  </si>
  <si>
    <t>En forma trimestral, generar reportes del Sistema Administrativo y Financiero de la Empresa, para verificar que, la información cumpla con los requisitos para su presentación.</t>
  </si>
  <si>
    <t>Presentar las correcciones a la DIAN y/o DID-SDH, o, a las entidades correspondientes, con las sanciones si hay lugar a ellas.</t>
  </si>
  <si>
    <t>Gestión de Servicios Administrativos y Logísticos</t>
  </si>
  <si>
    <t>Enero 30 de 2026</t>
  </si>
  <si>
    <t>Mapa Riesgos Institucional Empresa de Renovación y Desarrollo Urbano de Bogotá - 2026</t>
  </si>
  <si>
    <t>Seguimiento Controles</t>
  </si>
  <si>
    <t>Seguimiento Acciones de Tratamiento</t>
  </si>
  <si>
    <t>¿Se materializo el riesgo?</t>
  </si>
  <si>
    <t>Seguimiento Acciones de Contingencia</t>
  </si>
  <si>
    <t xml:space="preserve">Observaciones </t>
  </si>
  <si>
    <t>Describa las actividades desarrolladas para dar cumplimiento a los controles establecidos</t>
  </si>
  <si>
    <t>Enuncie las evidencias que soportan el seguimiento del control y anéxelas en la carpeta compartida destinada para ello (si son de carácter reservado, no es necesario anexarlas)</t>
  </si>
  <si>
    <t>% de Cumplimiento</t>
  </si>
  <si>
    <t>Describa las actividades desarrolladas para dar cumplimiento a las acciones de tratamiento establecidas</t>
  </si>
  <si>
    <t>Relacione las evidencias que soportan el seguimiento de las acciones de tratamiento y anéxelas en la carpeta compartida destinada para ello (si son de carácter reservado, no es necesario anexarla)</t>
  </si>
  <si>
    <t>Si</t>
  </si>
  <si>
    <t>No</t>
  </si>
  <si>
    <t xml:space="preserve">En caso de materialización describa cómo se materializó </t>
  </si>
  <si>
    <t>Describa las actividades desarrolladas para dar cumplimiento a las acciones de contingencia en los casos que se materializo el riesgo</t>
  </si>
  <si>
    <t>Relacione las evidencias que soportan el seguimiento de las acciones de contingencia y anéxelas en la carpeta compartida destinada para ello (si son de carácter reservado, no es necesario anexarlas)</t>
  </si>
  <si>
    <t>X</t>
  </si>
  <si>
    <t>N/A</t>
  </si>
  <si>
    <t>La Oficina Asesora de Planeación, en conjunto con las áreas que cuentan con estrategias para la vigencia 2026 dentro del plan estratégico de la empresa, generó el plan de acción 2026, el cual fue aprobado en el marco del primer Comité Institucional de Gestión y Desempeño. Así mismo, se efectuó el seguimiento correspondiente con el fin de verificar su cumplimiento, identificar oportunidades de mejora y garantizar la articulación de las acciones con los objetivos estratégicos establecidos.
Para el periodo con corte a 30 de junio de 2026, el Comité de Proyectos ha operado de manera sistemática como control para mitigar riesgos asociados a la priorización, validación y seguimiento del portafolio de proyectos. A la fecha se han realizado 02 sesiones, para la revisión e incorporación de proyectos al portafolio de la Empresa: Piajos III y el predio Bochica de la ETB.
Con base en lo anterior, se concluye que el control aplicado ha sido efectivo, dado que el riesgo no se ha materializado.</t>
  </si>
  <si>
    <t>- Herramienta JSP7 con el seguimiento.
- Plan de Acción Institucional y su seguimiento disponible en Página web sección Transparencia - Planeación, presupuesto e informes - Plan de Acción V1
- Visores disponibles en:https://app.powerbi.com/view?r=eyJrIjoiMGNmZGFlNzItY2QxOS00NTY5LWFjYTctOTkwMmYzZjNmZGYyIiwidCI6ImYyOTYxNmEyLWU5YzItNGI0Ny04ZjQ5LTMzOTkxMGRiNzRkMyJ9
- Actas del Comité Institucional de Gestión y Desempeño 2026 disponibles en Tampus.
-Actas del Comité de Proyectos en Tampus disponibles en Tampus</t>
  </si>
  <si>
    <t>En cumplimiento de la acción de tratamiento definida y en el marco de la actualización de la Guía de Gestión Integral de Proyectos, específicamente en los documentos anexos que desarrollan las indicaciones para la construcción y el seguimiento de cronogramas —el Anexo del procedimiento PD-116 y el propio procedimiento PD-116 "Seguimiento a los proyectos urbanos, el 17 de junio de 2026 se realizó una mesa de trabajo de alineación con delegados de la Subgerencia de Ejecución de Proyectos (SGEP) y de la Subgerencia de Planeamiento y Estructuración (SGPE), orientada a obtener retroalimentación de alto nivel sobre el alcance y la estructura propuestos. Con base en ella se surtió la redacción definitiva del Anexo de Lineamientos</t>
  </si>
  <si>
    <t>-Correo asistencia
-PD-116 "Seguimiento a los proyectos urbanos" — versión 2 (PDF publicado). Procedimiento actualizado y publicado en el SIG</t>
  </si>
  <si>
    <t>La Oficina Asesora de Planeación realiza mensualmente el seguimiento al Plan Estratégico Institucional y al Plan de Acción Institucional. Una vez recibida la información reportada por las diferentes áreas, esta es verificada con el propósito de garantizar su alineación con los objetivos, su coherencia y su correspondencia con la programación establecida. Cuando fue necesario, se brindó acompañamiento en el proceso de reporte para asegurar la disponibilidad de información veraz y oportuna, la cual quedó registrada directamente en la herramienta JSP7 y puede visualizarse en los tableros publicados en la intranet institucional.
Como resultado del seguimiento, y en el marco del Comité Institucional de Gestión y Desempeño, se efectuó el seguimiento a los diferentes instrumentos de la entidad, con el fin de verificar su cumplimiento, identificar oportunidades de mejora y garantizar la articulación de las acciones con los objetivos estratégicos establecidos. Este ejercicio permite fortalecer la gestión organizacional, optimizar los procesos y asegurar una toma de decisiones más eficiente y orientada a resultados. Como resultado, se aprobaron ajustes al Plan de Acción Institucional, generando las versiones 1 y esta en proceso de actualizacion la version 2.
Para el presente periodo reportado se "COLOCAR LOS SEGUIMIENTO A LOS PROYECTOS"
Con base en lo anterior, se concluye que el control aplicado ha sido efectivo, dado que el riesgo no se ha materializado.</t>
  </si>
  <si>
    <t>- Herramienta JSP7 con el seguimiento.
- Plan de Acción Institucional y su seguimiento disponible en Página web sección Transparencia - Planeación, presupuesto e informes - Plan de Acción V1
- Visores disponibles en:https://app.powerbi.com/view?r=eyJrIjoiMGNmZGFlNzItY2QxOS00NTY5LWFjYTctOTkwMmYzZjNmZGYyIiwidCI6ImYyOTYxNmEyLWU5YzItNGI0Ny04ZjQ5LTMzOTkxMGRiNzRkMyJ9
- Actas del Comité Institucional de Gestión y Desempeño 2026 disponibles en Tampus.</t>
  </si>
  <si>
    <t>La Oficina Asesora de Planeación realiza mensualmente el seguimiento al Plan Estratégico Institucional y al Plan de Acción Institucional. Una vez recibida la información reportada por las diferentes áreas, es verificada con el propósito de garantizar su alineación con los objetivos, su coherencia y su correspondencia con la programación establecida. Cuando fue necesario, se brindó acompañamiento en el proceso de reporte para asegurar la disponibilidad de información veraz y oportuna, la cual quedó registrada directamente en la herramienta JSP 7 y se pueden visualizar en los tableros publicados en la INTRANET de la empresa.
Como resultado del seguimiento, y en el marco del Comité Institucional de Gestión y Desempeño se realizó el seguimiento a los diferentes instrumentos de la empresa, con el fin de verificar su cumplimiento, identificar oportunidades de mejora y garantizar la articulación de las acciones con los objetivos estratégicos establecidos. Este ejercicio permite fortalecer la gestión organizacional, optimizar los procesos y asegurar una toma de decisiones más eficiente orientada a los resultados. Como resultado, se aprobaron ajustes al Plan de Acción Institucional generando así las versiones 5 y 6, las cuales se encuentran publicadas en la página web de la empresa y el registro de los respectivos ajustes en la herramienta JSP7. De otra parte, el seguimiento correspondiente al tercer trimestre del año, está disponible en la sección de Transparencia de la página web.
Por lo anterior, se puede concluir que ha sido efectivo el control, pues una vez aplicado, no se ha materializado el riesgo.</t>
  </si>
  <si>
    <t xml:space="preserve">En el marco de la mesa de líderes operativos realizada en marzo de 2026, la Oficina Asesora de Planeación socializó el cronograma de actividades y reportes para la vigencia 2026. Este documento articula requerimientos internos y externos, detallando el tipo de reporte o actividad, los responsables, la periodicidad de seguimiento y su alineación con los componentes del SIG-MIPG.
Como complemento a la socialización, en el mismo mes se remitió el cronograma vía correo electrónico a todos los líderes de proceso y operativos. Asimismo, la información se encuentra publicada y disponible para consulta permanente en la Intranet institucional http://192.168.10.232/node/5820 </t>
  </si>
  <si>
    <t>Como evidencia del cumplimiento de la acción, se adjuntan los siguientes soportes:
- Cronograma institucional de reportes vigencia 2026 disponible en http://192.168.10.232/mipg?title=cronograma&amp;field_categoria_value=All
- Presentación de la mesa de líderes operativos de marzo de 2026 disponible en http://192.168.10.232/mipg?title=&amp;field_categoria_value=3
- Copia de la comunicación oficial / correo electrónico de difusión.</t>
  </si>
  <si>
    <t>OCI: Una vez analizado el reporte y las evidencias sobre los controles y acciones de tratamiento del riesgo, se puede concluir que han sido efectivas ya que una vez aplicadas, no se evidencio la materialización del riesgo en el periodo.</t>
  </si>
  <si>
    <t>Para el periodo evaluado, se realizó la verificación de la actualización del Mapa de Conocimiento explícito para los procesos misionales. Debido a que no se recibieron solicitudes de actualización desde la oficina, se realizaron validaciones internas del tablero en la plataforma Power BI. Se tiene programado, para el segundo semestre, presentar las actualizaciones en las mesas de líderes operativos y articular espacios con los procesos misionales para identificar si se requiere actualizar la información.
Por lo anterior, se puede concluir que ha sido efectivo el control, pues una vez aplicado, no se ha materializado el riesgo.</t>
  </si>
  <si>
    <t>- Tablero Power BI del Mapa de Conocimiento disponible en http://192.168.10.232/mipg-sig/gestion-del-conocimiento</t>
  </si>
  <si>
    <t>En sesión de Lideres Operativos del 24 de junio de 2026, se adelantó la socialización de elementos clave para Fortalecimiento de la Política  y el proceso de Gestión del Conocimiento e Innovación, en este espacio se comunicaron las principales cambio al manual GESCO, la caracterización, el formato de buenas prácticas y lecciones aprendidas y la creación del formato de prototipos, Adicionalmente se invitó a los lideres operativos a documentar lecciones aprendidas, buenas prácticas en los procesos y proyectos y a mantener actualizado el mapa de conocimiento, el cual está diseñado exclusivamente para los procesos misionales. Se recordó también que estos instrumentos están disponibles en el micrositio de Gestión de Conocimiento de la Intranet.</t>
  </si>
  <si>
    <t>- Presentación de la mesa de líderes operativos de junio  de 2026 disponible en http://192.168.10.232/mipg?title=&amp;field_categoria_value=3</t>
  </si>
  <si>
    <t>Durante el primer semestre de 2026 no se adelantaron procesos de comercialización de inmuebles a cargo de la Dirección Técnica Comercial, en atención a las restricciones establecidas por la Ley de Garantías Electorales vigente para el periodo. En consecuencia, el control no tuvo lugar de aplicación durante este corte.</t>
  </si>
  <si>
    <t>No aplica para este periodo, dado que no se gestionaron procesos de comercialización.</t>
  </si>
  <si>
    <t>La socialización del Manual de Contratación vigente y las políticas comerciales de la Empresa a los profesionales de la Dirección Técnica Comercial, prevista como acción de tratamiento, no se llevó a cabo durante este semestre.</t>
  </si>
  <si>
    <t>OCI: Una vez analizado el reporte y las evidencias sobre los controles y acciones de tratamiento del riesgo, se puede determinar que no se adelantaron procesos de comercialización de inmuebles a cargo de la Dirección Técnica Comercial, en atención a las restricciones establecidas por la Ley de Garantías Electorales vigente para el periodo. En consecuencia, el control no tuvo lugar de aplicación durante este corte. igualmeente, no se evidencio la materialización del riesgo en el periodo.</t>
  </si>
  <si>
    <t>Durante el primer semestre de 2026 se gestionaron y enviaron tres ofertas de servicios: a la Universidad de los Andes (línea de negocio Gestión de Suelo y Gestión Inmobiliaria, servicios de concurrencia de terceros y adquisición predial, contratación a través de patrimonio autónomo, propuesta enviada el 09/03/2026), a DOM Real Estate (línea de negocio Gestión de Suelo, servicio de concurrencia de terceros, propuesta enviada el 08/04/2026) y a Sangrate (línea de negocio Gestión de Suelo, servicio de concurrencia de terceros, propuesta enviada el 05/06/2026). En los tres casos se verificó que la propuesta correspondiera a una línea de negocio y un servicio efectivamente ejecutable por la Empresa antes de su envío al cliente.</t>
  </si>
  <si>
    <t>https://drive.google.com/drive/u/0/folders/1q4AvnXBNy0EvF48FgLXCz2O9c17PWXtC</t>
  </si>
  <si>
    <t>Se verificó que las tres propuestas comerciales enviadas durante el semestre (Universidad de los Andes, DOM Real Estate y Sangrate) incluyeran de forma explícita la línea de negocio y el servicio correspondiente, dando cumplimiento a la acción de tratamiento establecida para este riesgo.</t>
  </si>
  <si>
    <t>Durante el periodo comprendido entre enero y el 30 de junio de 2026, el profesional financiero encargado del proceso de Gestión Predial realizó la revisión y verificación de las liquidaciones correspondientes al trámite “Cumplimiento de la obligación VIS-VIP mediante pago compensatorio”, validando que los valores utilizados en la liquidación correspondieran con la información certificada por las respectivas Curadurías. Como resultado de esta revisión, se verificó la correcta aplicación de la fórmula y de los valores considerados en cada caso, dejando el respectivo soporte en los anexos de las resoluciones de liquidación.</t>
  </si>
  <si>
    <t>Anexos de las resoluciones de liquidación correspondientes al trámite, específicamente los formatos FT-244 “Liquidación Obligación VIS-VIP” y FT-245 “Descripción de la aplicación de la fórmula”.</t>
  </si>
  <si>
    <t>Durante el periodo comprendido entre enero y junio de 2026, se brindaron nueve (9) asesorías virtuales a obligados interesados en el trámite “Cumplimiento de la obligación VIS-VIP mediante pago compensatorio”, en las cuales se suministró información y orientación sobre el procedimiento y se informó expresamente que el trámite no tiene ningún costo. Las asesorías fueron realizadas mediante Google Meet y se cuenta con los respectivos registros como soporte de la atención brindada.</t>
  </si>
  <si>
    <t>Calendario G-Meet - Información sobre las atenciones virtuales realizadas.</t>
  </si>
  <si>
    <t>Durante el periodo comprendido entre enero y junio de 2026, se adelantaron acciones de divulgación y orientación dirigidas a los usuarios interesados en el trámite “Cumplimiento de la obligación VIS-VIP mediante pago compensatorio”, mediante la habilitación y puesta en funcionamiento de un prevalidador para el cálculo de la obligación VIS-VIP mediante pago compensatorio, disponible a través de la página web de la Empresa.
Esta herramienta permite a los interesados realizar de manera previa y autónoma una estimación del valor de la obligación, antes de iniciar formalmente el trámite, facilitando el acceso a la información, la comprensión del procedimiento y sus condiciones. Con la implementación de este servicio se fortaleció la visibilidad y divulgación del trámite ante la ciudadanía, proporcionando un mecanismo de consulta de fácil acceso y promoviendo una mayor transparencia y orientación al usuario.</t>
  </si>
  <si>
    <t>Pantallazos de la página web institucional que evidencian la disponibilidad y acceso al prevalidador para el cálculo de la obligación VIS-VIP mediante pago compensatorio.</t>
  </si>
  <si>
    <t>Durante el periodo comprendido entre enero y junio de 2026, se adelantaron acciones de divulgación y orientación del trámite “Cumplimiento de la obligación VIS-VIP mediante pago compensatorio”, mediante la habilitación y puesta en funcionamiento del prevalidador para el cálculo de la obligación VIS-VIP, disponible en la página web de la Empresa.</t>
  </si>
  <si>
    <t>Se dispone de un mecanismo que permite medir su nivel de satisfacción frente a la utilización de esta herramienta.</t>
  </si>
  <si>
    <t>Durante el periodo del seguimiento de riesgos, no se adelantaron procesos de adquisición predial en el marco de los contratos de prestación de servicios de tercera concurrencia. En consecuencia, no existe riesgo alguno de que dicho proceso se materialice.</t>
  </si>
  <si>
    <t>En el periodo del informe no se realizaron actividades para la mitigación del riesgo, ya que no se identificó riesgo alguno de materialización.</t>
  </si>
  <si>
    <t>OCI: Una vez analizado el reporte y las evidencias sobre los controles y acciones de tratamiento del riesgo, se puede determinar que no se adelantaron procesos de adquisición predial en el marco de los contratos de prestación de servicios de tercera concurrencia. En consecuencia, no existe riesgo alguno de que dicho proceso se materialice. Igualmeente, no se evidencio la materialización del riesgo en el periodo.</t>
  </si>
  <si>
    <t>Durante el segundo cuatrimestre de 2026, los responsables de la Dirección de Contratación acompañó al comité de contratación para realizar recomendaciones de los procesos de selección y solicitudes remitidas por las áreas gestoras de la empresa, los cuales fueron registrados en las actas de comité de contratación que fueron registradas en el expediente del aplicativo TAMPUS: 400.3. Dirección de Contratación de la Empresa.
Vale aclarar que los comités de contratación del segundo cuatrimestre corresponden al periodo comprendido entre el 1 de mayo al 31 de agosto de 2026.</t>
  </si>
  <si>
    <t>La ubicación de los soportes de las actas de comité de contratación de 2026 se encuentran en el siguiente enlace de TAMPUS:
https://gestiondocumental.etb.net.co/Instancias/ERU_Prod/AZDigitalV6.0/Admin/index.php</t>
  </si>
  <si>
    <t>Del 1 de mayo al 31 de agosto de 2026, la Dirección de Contratación acompañó los procesos de contratación que se presentaron ante el comité de contratación, los cuales se evidencian en los expedientes creados para las actas del comité en TAMPUS.
Es importante mencionar que, las actas durante este corte inician desde la No. 9 hasta la No. 21. Teniendo en cuenta las fechas en las que se realizaron los comités de contratación.</t>
  </si>
  <si>
    <t>Los documentos soporte de las actas de  comité de contratación se encuentran ubicados en el expedientes de plataforma TAMPUS.</t>
  </si>
  <si>
    <t xml:space="preserve">Efectuar el seguimiento a los procesos judiciales y actuaciones iniciadas a favor o en contra de la Empresa y de sus Patrimonios Autónomos, con el fin de que la Jefe de la Oficina Jurídica proceda a la asignación del apoderado responsable de cada asunto; asegurar su registro en la respectiva matriz de seguimiento; y adelantar reuniones periódicas con el equipo de defensa judicial, en las cuales el apoderado designe y socialice la estrategia de defensa correspondiente, garantizando el control y la adecuada gestión procesal. 
</t>
  </si>
  <si>
    <t>Matriz de seguimiento y control de los procesos judiciales 
Actas de reunión internas</t>
  </si>
  <si>
    <t xml:space="preserve">Durante el período comprendido entre los meses de mayo, junio julio y agosto, la Empresa y sus patrimonios autónomos fueron notificados de seis (6) procesos judiciales en su contra ,la Jefe de la Oficina Jurídica procedió a la asignación de los apoderados responsables para la atención y defensa de dichos asuntos, así como al seguimiento de los demás procesos judiciales en curso. Igualmente, se efectuó el correspondiente registro de los abogados designados en la matriz de seguimiento de procesos judiciales.
De otra parte, el equipo de defensa judicial llevó a cabo dos (2) reuniones de seguimiento a los procesos judiciales convocada por la Jefe de la Oficina Jurídica </t>
  </si>
  <si>
    <t>La dependiente judicial y los apoderados judiciales han efectuado un seguimiento permanente y sistemático a los procesos a su cargo, incorporando oportunamente las actuaciones procesales en la matriz de seguimiento de procesos judiciales, como instrumento de control y gestión.</t>
  </si>
  <si>
    <t xml:space="preserve">Matriz de seguimiento y control de los procesos judiciales </t>
  </si>
  <si>
    <t>La Dependiente Judicial realizó, con una periodicidad de tres (3) veces por semana, la revisión de los procesos judiciales a su cargo, con el propósito de actualizar el estado de los mismos en la matriz de seguimiento y generar alertas oportunas a los apoderados respecto de los vencimientos de términos dentro de las actuaciones judiciales</t>
  </si>
  <si>
    <t xml:space="preserve">La Jefatura de la Oficina de Control Interno revisó, de acuerdo con el Plan Anual de Auditorías, los Planes de Trabajo de auditoría específicos, para asegurar que se incluyan los aspectos relevantes de la auditoría, a ser tenidos en cuenta para su ejecución, y posterior envió del Plan de Trabajo al líder del proceso a auditar, conforme al procedimiento PD-57 "Auditorías Internas SIG y de Evaluación Independiente". </t>
  </si>
  <si>
    <t xml:space="preserve">Planes de Trabajo:
• Auditoría Interna a Obras y/o proyectos en ejecución, asociadas a los proyectos de inversión metas plan de desarrollo a cargo de la Empresa.
• Auditoría Interna de Seguimiento a la Gestión Comercial.
• Auditoría Interna Estructuración de Proyectos.
</t>
  </si>
  <si>
    <t>La Jefatura de la Oficina de Control Interno garantizó la suscripción de los Acuerdos de confidencialidad - Carta de representación.</t>
  </si>
  <si>
    <t xml:space="preserve">Acuerdos de confidencialidad - Carta de representación:
• Auditoría Interna a Obras y/o proyectos en ejecución, asociadas a los proyectos de inversión metas plan de desarrollo a cargo de la Empresa.
• Auditoría Interna de Seguimiento a la Gestión Comercial.
• Auditoría Interna Estructuración de Proyectos.
</t>
  </si>
  <si>
    <t>La Jefatura de la Oficina de Control Interno realizó durante el periodo reportado, la socialización del Estatuto de Auditoría y del Código de Ética del Auditor al equipo de auditores en las reuniones de autoevaluación del proceso.</t>
  </si>
  <si>
    <t>Actas de autoevaluación</t>
  </si>
  <si>
    <t>Actas de autoevaluación OCI
Actas CICCI</t>
  </si>
  <si>
    <t xml:space="preserve">La jefatura de la Oficina de Control Interno verificó periódicamente el cumplimiento de las actividades del Plan Anual de Auditoría y del Cuadro de Actividades y Requerimientos, a cargo de la oficina; como resultado se generan y se comunican las alertas correspondientes. </t>
  </si>
  <si>
    <t>Actas de autoevaluación OCI</t>
  </si>
  <si>
    <t>Correos electrónicos</t>
  </si>
  <si>
    <t>La Jefatura de la Oficina de Control Interno en las reuniones de seguimiento y/o autoevaluación trimestral, requirió al Equipo de trabajo se informe el estado de cada una de las actividades asignadas, dejando registro dentro de la documentación correspondiente del análisis y los compromisos.</t>
  </si>
  <si>
    <t>Un miembro del equipo de la Oficina de Control Interno encargado de realizar el apoyo del seguimiento y control de las actividades y requerimientos a cargo, envió correo electrónico diario al Grupo de Trabajo de la OCI, indicando los vencimientos cuya respuesta se deben enviar en los plazos y fechas establecidas.</t>
  </si>
  <si>
    <t xml:space="preserve">La Jefe de la Oficina de Control Interno revisó los informes preliminares antes de ser enviados a los líderes de los procesos y/o grupos de valor, con el propósito de asegurar su entrega con calidad y oportunidad. En caso de encontrar que el informe no genera valor, solicita mediante correo electrónico o a través de reunión, al profesional responsable los ajustes correspondientes. </t>
  </si>
  <si>
    <t xml:space="preserve">La Jefe de la Oficina de Control Interno y el profesional asignado, revisó cada vez que se requiera, los comentarios recibidos por parte de los líderes del proceso y/o grupos de valor al informe preliminar, para validar la pertinencia y/o ajuste al mismo. Una vez en firme, se realiza la reunión de cierre para la entrega del informe final. </t>
  </si>
  <si>
    <t xml:space="preserve">Se solicitó al inicio de cada auditoria la firma de la Carta de Representación: Veracidad, Calidad y Oportunidad en la entrega de información presentada a la Oficina de Control Interno en el marco de la realización de auditorías de gestión. </t>
  </si>
  <si>
    <t>Realizó una capacitación sobre temas inherentes al Sistema de Control Interno por parte de la Oficina de Control Interno.</t>
  </si>
  <si>
    <t xml:space="preserve">Informes Preliminares
• Auditoría Interna a Obras y/o proyectos en ejecución, asociadas a los proyectos de inversión metas plan de desarrollo a cargo de la Empresa.
• Auditoría Interna de Seguimiento a la Gestión Comercial.
• Auditoría Interna Estructuración de Proyectos.
</t>
  </si>
  <si>
    <t>Soportes capacitación obre temas inherentes al Sistema de Control Interno por parte de la Oficina de Control Interno.</t>
  </si>
  <si>
    <t>La  Jefe de la Oficina de Control Interno y el Auditor Líder,  revisaron el Plan de Trabajo de la auditoría y determinan el cumplimiento de las diferentes fechas del  cronograma establecido, una vez terminada cada etapa de la auditoria.</t>
  </si>
  <si>
    <t xml:space="preserve">Planes de trabajo:
• Auditoría Interna a Obras y/o proyectos en ejecución, asociadas a los proyectos de inversión metas plan de desarrollo a cargo de la Empresa.
• Auditoría Interna de Seguimiento a la Gestión Comercial.
• Auditoría Interna Estructuración de Proyectos.
</t>
  </si>
  <si>
    <t xml:space="preserve">Cartas de Representación: Veracidad, Calidad y Oportunidad en la entrega de información
• Auditoría Interna a Obras y/o proyectos en ejecución, asociadas a los proyectos de inversión metas plan de desarrollo a cargo de la Empresa.
• Auditoría Interna de Seguimiento a la Gestión Comercial.
• Auditoría Interna Estructuración de Proyectos.
</t>
  </si>
  <si>
    <r>
      <rPr>
        <sz val="10"/>
        <color rgb="FF222222"/>
        <rFont val="Arial Narrow"/>
      </rPr>
      <t xml:space="preserve">Teniendo en cuenta que la Oficina de Control Disciplinario Interno aperturó varios procesos disciplinarios a partir del oficio con radicado E2026001976 del 26 de febrero de 2026 de la Personería de Bogotá, y con base en el auto de desglose y apertura de indagación previa del 19 de marzo de 2026, en el marco del expediente 004-2026, durante el primer semestre de 2026, el grupo de trabajo de la Oficina de Control Disciplinario Internorealizó 4 reuniones de trabajo para el evaluación de expedientes, agrupando la mayoría de expedientes en la reunión de junio de 2026, así:
</t>
    </r>
    <r>
      <rPr>
        <b/>
        <sz val="10"/>
        <color rgb="FF222222"/>
        <rFont val="Arial Narrow"/>
      </rPr>
      <t xml:space="preserve">
ENERO DE 2026: </t>
    </r>
    <r>
      <rPr>
        <sz val="10"/>
        <color rgb="FF222222"/>
        <rFont val="Arial Narrow"/>
      </rPr>
      <t>Revisión de expedientes: 006-2025, 009-2025 y 003-2025.</t>
    </r>
    <r>
      <rPr>
        <b/>
        <sz val="10"/>
        <color rgb="FF222222"/>
        <rFont val="Arial Narrow"/>
      </rPr>
      <t xml:space="preserve">
FEBRERO DE 2026: </t>
    </r>
    <r>
      <rPr>
        <sz val="10"/>
        <color rgb="FF222222"/>
        <rFont val="Arial Narrow"/>
      </rPr>
      <t>Revisión de expedientes: 017 de 2025, 019- 2025 y 024 de 2025</t>
    </r>
    <r>
      <rPr>
        <b/>
        <sz val="10"/>
        <color rgb="FF222222"/>
        <rFont val="Arial Narrow"/>
      </rPr>
      <t xml:space="preserve">
MARZO DE 2026: </t>
    </r>
    <r>
      <rPr>
        <sz val="10"/>
        <color rgb="FF222222"/>
        <rFont val="Arial Narrow"/>
      </rPr>
      <t>Revisión del expediente: 002-2026.</t>
    </r>
    <r>
      <rPr>
        <b/>
        <sz val="10"/>
        <color rgb="FF222222"/>
        <rFont val="Arial Narrow"/>
      </rPr>
      <t xml:space="preserve">
JUNIO DE 2026: </t>
    </r>
    <r>
      <rPr>
        <sz val="10"/>
        <color rgb="FF222222"/>
        <rFont val="Arial Narrow"/>
      </rPr>
      <t>Revisión de expedientes: 003-2026, 004-2026, 005-2026, 006-2026, 007-2026, 008-2026, 011-2026, 012-2026 y 013-2026 (Salvo los expedientes 003-2026 y 012-2026, todos corresponden a hallazgos fiscales informados mediante oficio radicado E2026001976 del 26 de febrero de 2026).</t>
    </r>
    <r>
      <rPr>
        <b/>
        <sz val="10"/>
        <color rgb="FF222222"/>
        <rFont val="Arial Narrow"/>
      </rPr>
      <t xml:space="preserve">
</t>
    </r>
  </si>
  <si>
    <r>
      <rPr>
        <b/>
        <sz val="10"/>
        <color theme="1"/>
        <rFont val="Arial Narrow"/>
      </rPr>
      <t xml:space="preserve">ACTA DE ENERO DE 2026: </t>
    </r>
    <r>
      <rPr>
        <sz val="10"/>
        <color theme="1"/>
        <rFont val="Arial Narrow"/>
      </rPr>
      <t>Revisión de expedientes: 006-2025, 009-2025 y 003-2025.</t>
    </r>
    <r>
      <rPr>
        <b/>
        <sz val="10"/>
        <color theme="1"/>
        <rFont val="Arial Narrow"/>
      </rPr>
      <t xml:space="preserve">
ACTA DE FEBRERO DE 2026:</t>
    </r>
    <r>
      <rPr>
        <sz val="10"/>
        <color theme="1"/>
        <rFont val="Arial Narrow"/>
      </rPr>
      <t xml:space="preserve"> Revisión de expedientes: 017 de 2025, 019- 2025 y 024 de 2025</t>
    </r>
    <r>
      <rPr>
        <b/>
        <sz val="10"/>
        <color theme="1"/>
        <rFont val="Arial Narrow"/>
      </rPr>
      <t xml:space="preserve">                                                                                                                                             ACTA DEL MES DE MARZO DE 2026:</t>
    </r>
    <r>
      <rPr>
        <sz val="10"/>
        <color theme="1"/>
        <rFont val="Arial Narrow"/>
      </rPr>
      <t xml:space="preserve"> Revisión del expediente: 002-2026.
</t>
    </r>
    <r>
      <rPr>
        <b/>
        <sz val="10"/>
        <color theme="1"/>
        <rFont val="Arial Narrow"/>
      </rPr>
      <t>ACTA DEL MES DE JUNIO DE 2026</t>
    </r>
    <r>
      <rPr>
        <sz val="10"/>
        <color theme="1"/>
        <rFont val="Arial Narrow"/>
      </rPr>
      <t>: Revisión de expedientes: 003-2026, 004-2026, 005-2026, 006-2026, 007-2026, 008-2026, 011-2026, 012-2026 y 013-2026 (Tiene reserva).</t>
    </r>
  </si>
  <si>
    <r>
      <rPr>
        <sz val="10"/>
        <color theme="1"/>
        <rFont val="Arial Narrow"/>
      </rPr>
      <t xml:space="preserve">
El </t>
    </r>
    <r>
      <rPr>
        <b/>
        <sz val="10"/>
        <color theme="1"/>
        <rFont val="Arial Narrow"/>
      </rPr>
      <t>7 enero de 2026</t>
    </r>
    <r>
      <rPr>
        <sz val="10"/>
        <color theme="1"/>
        <rFont val="Arial Narrow"/>
      </rPr>
      <t xml:space="preserve"> se realizó reunión entre la Jefe de disciplinarios y los profesionales del área donde se verificaron los expedientes 006-2025, 009-2025 y 003-2025, y en los tres procesos se decidió proyectar auto de terminación y archivo. 
El </t>
    </r>
    <r>
      <rPr>
        <b/>
        <sz val="10"/>
        <color theme="1"/>
        <rFont val="Arial Narrow"/>
      </rPr>
      <t>3 febrero de 2026</t>
    </r>
    <r>
      <rPr>
        <sz val="10"/>
        <color theme="1"/>
        <rFont val="Arial Narrow"/>
      </rPr>
      <t xml:space="preserve"> se realizó reunión entre la Jefe de disciplinarios y los profesionales del área donde se verificaron los expedientes 017 de 2025, 019- 2025 y 024 de 2025, y en los tres procesos se decidió proyectar auto de pruebas.                                                                                                                                                                                                                                                                                                                                                             El </t>
    </r>
    <r>
      <rPr>
        <b/>
        <sz val="10"/>
        <color theme="1"/>
        <rFont val="Arial Narrow"/>
      </rPr>
      <t xml:space="preserve">2 de marzo de 2026 </t>
    </r>
    <r>
      <rPr>
        <sz val="10"/>
        <color theme="1"/>
        <rFont val="Arial Narrow"/>
      </rPr>
      <t xml:space="preserve">se realizó reunión entre la Jefe de disciplinarios y los profesionales del área donde se verificó el expediente 002-2026,  se revisaron los hechos informados por el Director Comercial de RenoBo, por lo tanto, se tomó la decisión de proyectar auto que declara la extinción de la acción disciplinaria por prescripción y ordena la terminación del proceso y archivo definitivo de la indagación previa. 
El </t>
    </r>
    <r>
      <rPr>
        <b/>
        <sz val="10"/>
        <color theme="1"/>
        <rFont val="Arial Narrow"/>
      </rPr>
      <t xml:space="preserve">2 de junio de 2026 </t>
    </r>
    <r>
      <rPr>
        <sz val="10"/>
        <color theme="1"/>
        <rFont val="Arial Narrow"/>
      </rPr>
      <t>se realizó reunión entre la Jefe de disciplinarios y los profesionales del área donde se verificaron los expedientes disciplinarios No.003-2026, 004-2026, 005-2026, 006-2026, 007-2026, 008-2026, 011-2026, 012-2026 y 013-2026, se revisaron los hechos comunicados por los peticionarios, así como informados por la Personería mediante el radicado E2026001976 del 26 de febrero de 2026 y se tomó la decisión entre los funcionarios de reiterar solicitudes de pruebas y proyectar autos de pruebas, así: 003-2026 (Reiteración solicitud de pruebas OAP) , 004-2026 (Proyectar y firmar auto de prueba trasladada y decretar prueba testimonial), 005-2026 (Reiterar solicitudes de pruebas realizadas a la Contraloría de Bogotá y a la Fiduciaria Scotibank Colpatria), 006-2026 (Reiterar solicitud de pruebas realizadas a la Contraloría de Bogotá y a la Alcaldía Local de Santa Fe), 007-2026 (Proyectar auto decretando prueba documental a la OAP y a la Dirección de Contratación), 008-2026 (Proyetar auto de incorporación y decreto de pruebas), 011-2026 (Proyectar auto de prueba documental a la OAP), 012-2026 (Proyectar solicitudes de pruebas a la Dirección Administrativa, Oficina Jurídica y a la Fiscalía 79 Seccional Unidad Fe Pública y Orden Económico de la Fiscalía General de la Nación) y 013-2026 (Proyectar reiteración solicitud de prueba a la OAP).</t>
    </r>
  </si>
  <si>
    <t xml:space="preserve">Seguimiento disponible en Drive denominado seguimiento de los procesos disciplinarios, compartido con los profesionales del área y la jefe de la Oficina de Control Disciplinario Interno y Actas de las 4 reuniones (Un acta tene reserva porque los procesos disciplinarios están activos).      </t>
  </si>
  <si>
    <r>
      <rPr>
        <b/>
        <sz val="10"/>
        <color theme="1"/>
        <rFont val="Arial Narrow"/>
      </rPr>
      <t xml:space="preserve">ACTA DEL MES DE MARZO: </t>
    </r>
    <r>
      <rPr>
        <sz val="10"/>
        <color theme="1"/>
        <rFont val="Arial Narrow"/>
      </rPr>
      <t xml:space="preserve">Verificación de los términos de prescripción: Verificar el término de prescripción de las quejas presentadas mediante los oficios radicados I2026000234 del 19 de enero del 2026 (002-2026),  E2025001807 del 20 de febrero de 2026 (003 - 2026) y E2026001976 del 26 de febrero de 2026  (004-2026). </t>
    </r>
    <r>
      <rPr>
        <b/>
        <sz val="10"/>
        <color theme="1"/>
        <rFont val="Arial Narrow"/>
      </rPr>
      <t xml:space="preserve">Con relación al proceso 002-2026, es importante señalar que, una vez valorada la prueba allegada por la Oficina Jurídica, se concluyó que la prescripción del proceso operó desde el 14 de abril de 2024, de modo que al momento de recibir la queja, ya se encontraba prescrito, con lo cual este caso no representa una materialización del riesgo.   </t>
    </r>
    <r>
      <rPr>
        <sz val="10"/>
        <color theme="1"/>
        <rFont val="Arial Narrow"/>
      </rPr>
      <t xml:space="preserve"> </t>
    </r>
    <r>
      <rPr>
        <b/>
        <sz val="10"/>
        <color theme="1"/>
        <rFont val="Arial Narrow"/>
      </rPr>
      <t xml:space="preserve">                                                                                                                                                                                                                                                                                                                              ACTA DEL MES DE JUNIO: </t>
    </r>
    <r>
      <rPr>
        <sz val="10"/>
        <color theme="1"/>
        <rFont val="Arial Narrow"/>
      </rPr>
      <t>Verificación de los términos de prescripción: Verificar el término de prescripción de las quejas presentadas mediante el oficio E2026001976 del 26 de febrero de 2026  (005 - 2026, 006 – 2026,
007 -2026, 008 – 2026, 011 -2026 y 013 – 2026) y E2026004399 de fecha 6 de mayo de
2026 (012-2026) Es de anotar, que en la medida que los procesos se encuentran vigentes, las acas tienen reserva.</t>
    </r>
  </si>
  <si>
    <t xml:space="preserve">Reuniones en las que se revisaron los expedientes donde se verificaron los términos de prescripción.            </t>
  </si>
  <si>
    <r>
      <rPr>
        <b/>
        <sz val="10"/>
        <color theme="1"/>
        <rFont val="Arial Narrow"/>
      </rPr>
      <t>ACTA DEL MES DE MARZO:</t>
    </r>
    <r>
      <rPr>
        <sz val="10"/>
        <color theme="1"/>
        <rFont val="Arial Narrow"/>
      </rPr>
      <t xml:space="preserve"> Verificación de los términos de prescripción de las quejas presentadas mediante los oficios radicados I2026000234 del 19 de enero del 2026 (002-2026),  E2025001807 del 20 de febrero de 2026 (003 - 2026) y E2026001976 del 26 de febrero de 2026  (004-2026)                                                        </t>
    </r>
    <r>
      <rPr>
        <b/>
        <sz val="10"/>
        <color theme="1"/>
        <rFont val="Arial Narrow"/>
      </rPr>
      <t xml:space="preserve">ACTA DEL MES DE JUNIO: </t>
    </r>
    <r>
      <rPr>
        <sz val="10"/>
        <color theme="1"/>
        <rFont val="Arial Narrow"/>
      </rPr>
      <t>Verificación de los términos de prescripción de las quejas presentadas mediante el oficio E2026001976 del 26 de febrero de 2026  (005 - 2026, 006 – 2026,
007 -2026, 008 – 2026, 011 -2026 y 013 – 2026) y E2026004399 de fecha 6 de mayo de 2026 (012-2026)</t>
    </r>
  </si>
  <si>
    <t xml:space="preserve">El abogado designado como apoyo en materia de contratación de la Dirección Técnica de Planeamiento y Gestión Urbana verificó que en la solicitud de los contratos de prestación de servicios (formato que hacen parte integral del contrato) se incluyera dentro de las obligaciones generales, la de guardar la estricta reserva de toda la información y documentos a los que tenga acceso el contratisa, con el fin de dar un manejo adecuado de la información. </t>
  </si>
  <si>
    <t xml:space="preserve">1. Solicitudes de contratación de Prestación de Servicios Personales que incluten la obligación de : "Guardar estricta reserva sobre toda la información y documentos que tenga acceso, maneje en desarrollo de su actividad o que llegue a conocer en desarrollo del contrato y que
tenga carácter de pública. En consecuencia, se obliga a no divulgar por ningún medio dicha información o documentos a terceros, sin la previa autorización escrita de la EMPRESA"
</t>
  </si>
  <si>
    <t>El abogado designado como apoyo en materia de contratación de la Dirección de Planeamiento y Gestión Urbana realizó la capacitación de directrices y adecuado tratamiento de datos e información confidencial de manera virtual la cual se llevo a cabo el 25 de mayo de 2026 y contó con la participación del equipo DTPGU.</t>
  </si>
  <si>
    <t>1. Presentación capacitación manejo y confidencialidad del tratamiento de datos e información confidencial y lista de asistencia.</t>
  </si>
  <si>
    <t>En el marco de las metas establecidas para la Empresa  fueron priorizadas las Actuaciones Estratégicas AE Zibo, AE Calle 72, AE Chapinero, y AE Reencuentro. Durante lel primer semestre de 2026 se avanzó en el tramité de la adopción de las mismas logrando el 22 de junio la adopción de la AE Calle 72, mediante decreto distrital 242 de 2026 y se avanzó con las etapas de revisión y respuesta a observaciones de las, AE Chapinero,  y AE Reencuentro y AE Montevideo. Asi mismo se ha avanzado en la formulación de los componentes del DTS de la  AE Fontibón, a partir de la Resolución 001 del 2 de enero de 2026 " Por la cual se actualizan las Directrices para la definición de lo público para la formulación de la Actuación Estratégica Distrito Aeroportuario Fontibón” De igual modo,  se avanzó la etapa preliminar de las actuaciones estrategicas Sevillana y Teleport, las cuales son de iniciativa mixta. 
El Líder Operativo verificó que al inicio de  la formulación de la actuación estratégica, el líder del proyecto haya generado el cronograma con las etapas y estudios requeridos previstas para la formulación y articulación necesarias y que haya solicitado a las entidades competentes en su primera fase, la emisión de los estudios y/o conceptos requeridos.
Por otra parte y en línea directa con el cumplimiento de los metas de la DTPGU y los cronogramas, se hace seguimiento al cumplimiento de los hitos y metas establecidos para la DTPGU mediante reporte del tablero de proyectos, documento FUSS, Plan de acción, e indicadores de gestión.</t>
  </si>
  <si>
    <t>1. Cronogramas de proyectos de formulación de instrumentos (actuaciones estratégicas)
2. Seguimientos de proyectos de formulación de instrumentos  (actuaciones estratégicas), en los cuales se haga seguimiento a la solicitud de conceptos y estudios
3. Documento de seguimiento FUSS</t>
  </si>
  <si>
    <t>El líder operativo en el marco del seguimiento al proyecto verificó que se hayan entregado los estudios o conceptos en el plazo establecido en el cronograma,  al Dirección Técnica de Planeamiento y Gestión Urbana.</t>
  </si>
  <si>
    <t>1. Cronogramas de proyectos de formulación de instrumentos (actuaciones estratégicas)
2. Seguimientos de proyectos de formulación de instrumentos  (actuaciones estratégicas), en los cuales se haga seguimiento a la solicitud de conceptos y estudios</t>
  </si>
  <si>
    <t>Durante el periodo evaluado, los profesionales de la Dirección Técnica de Estructuración de Proyectos (DTEP) responsables de los proyectos en estructuración adelantaron la revisión y verificación detallada de la información técnica y documental disponible.
En aplicación del control y con el fin de garantizar la calidad y oportunidad de los insumos, se requirió formalmente la actualización y envío de información faltante mediante memorandos internos a las áreas competentes. Asimismo, para asegurar la integralidad técnica, jurídica y ambiental de los procesos de selección, se gestionaron conceptos ante entidades distritales como la Secretaría Distrital de Planeación (SDP), la Secretaría Distrital de Ambiente (SDA), la Empresa de Acueducto y Alcantarillado de Bogotá (EAAB E.S.P.), ENEL Colombia S.A. E.S.P. y el Instituto Distrital de Gestión de Riesgo y Cambio Climático (IDIGER).
Dichos conceptos e insumos técnicos fueron analizados e incorporados en los documentos técnicos que soportan los procesos de selección, reduciendo la incertidumbre y garantizando que los proyectos se alineen con la realidad operativa y normativa.</t>
  </si>
  <si>
    <t>Memorandos internos: Copias de las comunicaciones oficiales emitidas por la DTEP a las áreas internas solicitando actualización y envío de información faltante.
Comunicaciones a entidades distritales: Radicados de salida de las solicitudes de concepto técnico enviadas a la SDP, SDA, EAAB E.S.P., ENEL Colombia y el IDIGER.
Conceptos técnicos recibidos: Oficios de respuesta, conceptos y/o viabilidades emitidas por las entidades distritales consultadas.
Documentos técnicos del proyecto</t>
  </si>
  <si>
    <t>Con el objetivo de adaptar la operación a los nuevos flujos de trabajo, la implementación del Sistema de Información Misional (SIM) y las oportunidades de mejora identificadas en la auditoría de mayo de 2026, se llevó a cabo una revisión integral del marco procedimental del proceso de Estructuración de Proyectos.
Como resultado de esta revisión, se determinó la necesidad de ajustar, actualizar y complementar los siguientes documentos:
PD-75: Modelaciones Financieras de los Proyectos.
PD-122: Reparto equitativo de cargas y beneficios para Actuaciones Estratégicas.
PD-123: Reparto equitativo de cargas y beneficios para Planes Parciales.
A la fecha, la actualización integral de estos documentos se encuentra en etapa de ejecución y ajuste para su posterior trámite de revisión, aprobación, publicación en el Sistema Integrado de Gestión (SIG) y socialización con los equipos involucrados.</t>
  </si>
  <si>
    <t>Flujos operativos definidos en el marco del Sistema de Información Misional</t>
  </si>
  <si>
    <t>Durante el primer semestre de 2026  seguimiento a la planeación y ejecución de las acciones de Gestión Social y Participación Ciudadana, verificando su cumplimiento frente a las actividades y cronogramas establecidos para los diferentes proyectos. El seguimiento permitió identificar el estado de avance, las actividades ejecutadas, las situaciones que pudieran afectar su desarrollo y el cumplimiento de los compromisos definidos. Asimismo, se efectuó articulación con la jefatura de la OPCAS y los líderes de proyecto para gestionar oportunamente las actividades pendientes y contribuir al cumplimiento de los plazos programados.</t>
  </si>
  <si>
    <t>Actas de Comite</t>
  </si>
  <si>
    <t>Durante el primer semestre de 2026 se realizó seguimiento al avance y cumplimiento de las actividades previstas en las Estrategias de Gestión Social y Participación Ciudadana de los diferentes proyectos, verificando su ejecución frente a los cronogramas establecidos. Este seguimiento permitió identificar actividades pendientes, alertas y posibles desviaciones en los tiempos programados, así como realizar la articulación con la jefatura de la OPCAS y los líderes de proyecto para gestionar oportunamente las acciones requeridas. De esta manera, se fortaleció el seguimiento a la ejecución de las estrategias y el cumplimiento de los compromisos establecidos con los diferentes actores involucrados.</t>
  </si>
  <si>
    <t>Durante el segundo trimestre no se hizo entrega de ninguna obra de cesion para urbanismos por parte de la Subgerencia</t>
  </si>
  <si>
    <t>Se tiene previsto realizar una socialización para el tercer trimestre sobre los requisitos exigidos por las Entidades Competentes, de acuerdo a lo establecido en el Procedimiento PD-90 Recibo y entrega de obras y áreas de cesiones públicas.</t>
  </si>
  <si>
    <t>Durante el segundo trimestre se realizaron recorridos periódicos a obra en los proyectos Bronx Distrito Creativo, Universidad Distrital y Complejo Hospitalario San Juan de Dios para verificar que se estén ejecutando según las especificaciones y criterios definidos.</t>
  </si>
  <si>
    <t xml:space="preserve">Se comparten las evidencias de las visitas a obra
</t>
  </si>
  <si>
    <t>Durante el segundo trimestre los proyectos con administración delegada La Gloria, Bronx Distrito Creativo y Laboratorios de la Universidad Distrital, se realizaron los correspondientes Comités de Compras y Contrataciones
*En el caso del proyecto Bronx Distrito Creativo las Actas se proyectaron pero no están firmadas, razón por la cual cuando las versiones finales estén listas se actualizarán en la carpeta correspondiente</t>
  </si>
  <si>
    <t>Se comparten las evidencias de los Comités de Compras y Contratación</t>
  </si>
  <si>
    <t xml:space="preserve">Se comparten las evidencias de los Comités de Compras y Contratación
</t>
  </si>
  <si>
    <t xml:space="preserve">Durante el segundo trimestre se realizó seguimiento detallado a los proyectos en ejecución de obra y a través de informes de las visitas a obra, oficios y actas se establecieron las objeciones por parte de RenoBo solicitando los ajustes técnicos a los que hubiere lugar en cada caso.  
*En el caso del proyecto con la Universidad Distrital se adjuntan Actas de Comité de Compras.
*En el caso de la IED Francisco de Paula Santander, el equipo de especialistas de la Dirección de Asesoría y Estudios Técnicos realizó revisión de la documentación y soportes del contrato de Consultoría, planteando mediante oficio las obsrevaciones técnicas.
*Para los proyectos de vivienda las Atalayas, Villa Javier y  Renacer Central al no contar con interventoría, el colaborador tiene supervisores de calidad externos que identifican los temas técnicos, sin embargo se hacen visitas de obra y seguimiento a la ajecución por parte RenoBo
</t>
  </si>
  <si>
    <t>Se comparten las evidencias de las observaciones y solicitudes de ajuste técnico que RenoBo ha hecho, incluyendo informes de visita a obra, oficios y solicitudes</t>
  </si>
  <si>
    <t>Impartida por el contratista de la Subgerencia de Ejecución de proyectos Francisco Uribe, el 30 de junio se realizó presencialmente la capacitación sobre lineamientos de los manuales de los Comités de Compras y Contrataciones de los proyectos. El contenido incluyó los documentos a tener en cuenta, los actos y trámites a los que aplica y las responsbailidades como contratistas OPS</t>
  </si>
  <si>
    <t>Se comparte el listado de asistencia y la presentación de la capacitación</t>
  </si>
  <si>
    <t>Durante el segundo trimestre se adjudicaron los proyectos Bravo Páez, Ecopuntos y el Centro Cultural  Juvenil y se desarrollaron las matrices de riesgo correspondientes</t>
  </si>
  <si>
    <t>Se comparten las matrices de riesgo de riesgo de los proyectos</t>
  </si>
  <si>
    <t xml:space="preserve">Una vez hecha la actualización e implementación del formulario de alertas tempranas y materialización de riesgos que los líderes de Apoyo a la Supervisión de los proyectos llenan, durante el segundo trimestre se socializó con las Direcciones Técnicas de la subgerencia los reportes mensuales hechos para corroborar la información e identificar si se trataba de alertas tempranas o riesgos, previo envío de reporte a la Oficina Asesora de Planeac ión  </t>
  </si>
  <si>
    <t>A continuación se comparte la evidencia de correos con la socialización hecha a los directores y los correos confirmando que no se presentaron riesgos durante el segundo trimestre:
https://drive.google.com/drive/folders/1SeWn8YGiOpPXDCx4ke8ZtBztLVVm291n?usp=share_link</t>
  </si>
  <si>
    <t xml:space="preserve">Durante el trimestre se llevan a cabo reuniones virtuales de seguimiento en las que participan las Direcciones Técnicas de la Subgerencia y los Líderes de Apoyo a la supervisión de los proyectos, con el objetivo de hacer revisar el avance con respecto al cronograma definido. </t>
  </si>
  <si>
    <t>Se comparten las presentaciones de las reuniones semanales</t>
  </si>
  <si>
    <t>OCI: Una vez analizado el reporte y las evidencias sobre los controles del riesgo, se puede concluir que han sido efectivas ya que una vez aplicadas, no se evidencio la materialización del riesgo en el periodo.</t>
  </si>
  <si>
    <t>OCI: Una vez analizado el reporte y las evidencias sobre los controles y acciones de tratamiento del riesgo, se puede determinar que no se hizo entrega de ninguna obra de cesion para urbanismos por parte de la Subgerencia. Igualmeente, no se evidencio la materialización del riesgo en el periodo.</t>
  </si>
  <si>
    <t>En el transcurso del periodo objeto de seguimiento, la Tesorería aplicó el control establecido para el proceso PD-14 Pago a Terceros. Para cada cargue de archivos planos en los portales bancarios, se verificó la correspondencia entre las órdenes de pago, los documentos soporte y la información registrada. Una vez confirmada la consistencia de la operación, se efectuó la aprobación correspondiente; cuando se identificaron novedades, estas fueron comunicadas al profesional responsable para su validación y ajuste. De manera complementaria, se realizaron conciliaciones mensuales de cuentas bancarias, convenios de tesorería con el propósito de identificar y gestionar oportunamente posibles diferencias.</t>
  </si>
  <si>
    <t>Evidencias: órdenes de pago y sus soportes documentales; archivos y lotes de pago; correos de validación y gestión de novedades; comprobantes de egreso; informes contables; reportes de aprobación de los portales bancarios; extractos y conciliaciones bancarias. 
Ubicación: Carpeta digital Gestión de Tesorería, subcarpetas Órdenes de Pago y Lotes de Pago, correspondientes a la vigencia 2026. 
Informes financieros de Ordenes de Pago y Egresos generados en el Sistema Administrativo y Financiero de la Empresa.</t>
  </si>
  <si>
    <t>Durante el periodo evaluado se revisaron y fortalecieron las validaciones aplicadas al procedimiento de pagos, con énfasis en la segregación de funciones, la doble validación de operaciones, la administración segura de claves y tokens bancarios y la respuesta ante posibles eventos de fraude o suplantación. Asimismo, se adelantó la elaboración y validación del Protocolo de Seguridad de Tesorería, incluyendo la coordinación con las entidades financieras para asegurar su aplicabilidad. La acción permanece en ejecución; están pendientes la aprobación definitiva del documento y su socialización formal con los responsables del proceso.</t>
  </si>
  <si>
    <t>Evidencias: versiones de trabajo del Protocolo de Seguridad de Tesorería; correos y comunicaciones de revisión y validación con las entidades financieras; reportes de aprobación y consultas del Sistema Administrativo y Financiero; y soportes de las validaciones efectuadas al procedimiento de pagos.
Ubicación: carpeta digital Gestión de Tesorería – vigencia 2026; Sistema Administrativo y Financiero de la Empresa; y cuentas de correo institucional de los responsables del proceso.
Aprobaciones de control dual de las cuentas bancarias que maneja la empresa para la ejecucción de pagos.</t>
  </si>
  <si>
    <t>Se realizaron las correspondientes conciliaciones de información entre la información contenida en el módulo de contabilidad de JSP7 vs las diferentes áreas (nómina, activos fijos, tesorería, cartera,etc) en las cuales se verificaron los correspondientes saldos a reflejar en los Estados Financieros estuvieran acorde a la información de los generadores de información.</t>
  </si>
  <si>
    <t>Se adjuntan las siguientes conciliaciones de información de cada mes de enero a junio 2026
1. Conciliación de Almacen
2. Conciliación de Nómina
3. Conciliación de Cuentas por Pagar
4. Conciliación de Cuentas por Cobrar
5. Conciliación bancaria
6. Conciliación SIPROJ</t>
  </si>
  <si>
    <t>Las políticas contables fueron actualizadas finalizando la vigencia 2025 y se realizaron mesas de socialización con las áreas.</t>
  </si>
  <si>
    <t xml:space="preserve">Políticas contables vigentes
Pieza de comunicación divulgación políticas contables.
</t>
  </si>
  <si>
    <t xml:space="preserve">Mensualmente se revisaron los estados financieros y se verificaron con tesorería, cartera, nómina y las que se requieran, las diferencias para ajustar en el Balance General antes de emitir los estados financieros. 
Se consolidan los estados financieros finales validados por la revisoría fiscal y firmados y cargados en la página web de la empresa. 
</t>
  </si>
  <si>
    <t>Correos de verificación mensual de los estados financieros 
Estados financieros mensuales firmados por Gerencia, Contador y Revisoría Fiscal y publicados en la web RenoBo</t>
  </si>
  <si>
    <t>Para el reporte de la información exógena nacional (DIAN) 2025 que se realizó durante el primer semestre de la vigencia 2026, se evidencia el soporte de las conciliaciones de todas las declaraciones tributarias presentadas durante el año así como el cruce de la información exógena a reportar vs la declaración de renta de la vigencia 2025.</t>
  </si>
  <si>
    <t xml:space="preserve">1. Conciliación Declaración RTE FTE
2. Conciliación IVA
3. Conciliación Retención de ICA
4. Conciliación ICA
</t>
  </si>
  <si>
    <t>Para el reporte de información exógena nacional (DIAN) se realizó la verificación de la información del sistema JPS7 con el fin de cruzar la información con las respectivas conciliaciones de las declaraciones tributarias.</t>
  </si>
  <si>
    <t>1. Conciliación Información Exógena
2. Cruce Formato 1001</t>
  </si>
  <si>
    <t>Para el reporte de la información exógena 2025 que se realizó durante el primer semestre de la vigencia 2026, la firma de Asesoría Tributaria KPMG realizó la verificación de todos los formatos a reportar, generando un informe con las observaciones, sobre el mismo, el Profesional de Contabilidad encargado del reporte realizó la verificación de las observaciones, ajustando lo correspondiente o argumentando las cifras a reportar.</t>
  </si>
  <si>
    <t>Informe de revisión KPMG Información Exógena 2025.</t>
  </si>
  <si>
    <t>En el marco del seguimiento correspondiente al segundo cuatrimestre de 2026, se aplicó el control dual en la totalidad de los pagos gestionados por Tesorería. Previo al cierre de cada cuenta por pagar, el profesional encargado verificó la exactitud de la obligación, la correspondencia de los soportes y los valores registrados; posteriormente se ejecuto su contabilización y giro presupuestal, el profesional de Tesorería validó la información para autorizar la ejecución del pago. Esta revisión independiente y secuencial permitió asegurar la integridad de la operación y prevenir pagos superiores a las obligaciones adquiridas con terceros.</t>
  </si>
  <si>
    <t>Evidencias: matriz de control de pagos diligenciada Lotes de pago; órdenes de pago y documentos soporte; cuentas por pagar revisadas; comprobantes de egreso; reportes y registros del Sistema Administrativo y Financiero; y correos institucionales que acreditan las validaciones efectuadas por Contabilidad y Tesorería.
Ubicación: carpeta digital Gestión de Tesorería – Ordenes de Pagos - Lotes de pago – vigencia 2026; Sistema Administrativo y Financiero de la Empresa; y cuentas de correo institucional de los responsables del proceso.</t>
  </si>
  <si>
    <t>100$</t>
  </si>
  <si>
    <t>En el marco del seguimiento correspondiente al segundo cuatrimestre de 2026, se continuó con la consolidación y validación de la matriz de control de radicados y lotes de pago, establecida como instrumento para documentar la revisión previa de las obligaciones. Esta herramienta permite identificar al tercero, el concepto y valor de la obligación, verificar la integridad de los documentos soporte y dejar constancia de las validaciones realizadas por los profesionales que intervienen en el proceso. La matriz fue aplicada a la totalidad de los pagos tramitados, fortaleciendo la trazabilidad de las operaciones, la segregación de funciones y la prevención de pagos en exceso. De manera complementaria, se mantienen acciones de mejora sobre su diseño y funcionalidad, orientadas a optimizar la eficacia del control.</t>
  </si>
  <si>
    <t>Evidencias: Matrices diligenciadas y validadas; órdenes y comprobantes de pago asociados; reportes de cuentas por pagar y egresos del Sistema Administrativo y Financiero; y correos institucionales de revisión y aprobación.
Ubicación: carpeta digital Gestión de Tesorería – Ordenes de Pago, Lotes de Pago, conciliaciones de cuentas por pagar – vigencia 2026; Sistema Administrativo y Financiero de la Empresa; y cuentas de correo institucional de los profesionales de Contabilidad y Tesorería.</t>
  </si>
  <si>
    <t>Luego de realizar la verificación de las actividades previstas para el siguiente periodo; la profesional de apoyo al PETH mensualmente las socializa mediante correo electrónico con todos los colaboradores de la empresa, incluídos los líderes operativos, para fortalecer la promoción y conocimiento de actividades a ejecutar, como evidencia queda el correo electrónico enviado.</t>
  </si>
  <si>
    <t>Se relacionan las siguientes evidencias que soportan el seguimiento al control del riesgo:
01_Correo Electronico_Divulgacion_Programacion_Act_PETH _Abril
02_Correo Electronico_Divulgacion_Programacion_Act_PETH_Mayo
03_Correo Electronico_Divulgacion_Programacion_Act_PETH_Junio
04_Correo Electronico_Divulgacion_Programacion_Act_PETH_Julio
05_Correo Electronico_Divulgacion_Programacion_Act_PETH_Agosto
La ubicación de las evidencias son las siguientes:
https://drive.google.com/drive/folders/1tYAn21LwUc9vC5JC-UnorGqOl6c6-sIe?usp=sharing</t>
  </si>
  <si>
    <t>Luego de remitrse los correos, se hace programación mensual de cada una de las actividades en el calendario del correo institucional de los colaboradores.</t>
  </si>
  <si>
    <t>Se relacionan las siguientes evidencias que soportan las acciones de tratamiento:
01_Programación Mensual_Actividades Abril_PETH
02_Programación Mensual_Actividades Mayo_PETH
03_Programación Mensual_Actividades Junio_PETH
04_Programación Mensual_Actividades Julio_PETH
03_Programación Mensual_Actividades Agosto_PETH
La ubicación de las evidencias son las siguientes:
https://drive.google.com/drive/folders/1Cy8dmpjl4FI1mnlft4zMThK_ulDDHRuj?usp=sharing</t>
  </si>
  <si>
    <t>La Alta Dirección emitió  acto administrativo (Resolución) en donde se especifica la escala salarial de los Trabajadores Oficiales. El profesional de nómina remite dicho acto administrativo al DASCD para que se realice la actualización de la información en el SIDEAP.</t>
  </si>
  <si>
    <t>Se realizó el cálculo del incremento salarial mediante el Sistema Administrativo y Financiero de la Empresa y se corrobora con la información que reposa en el SIDEAP, previo al pago de la nómina del mes de enero de cada vigencia.</t>
  </si>
  <si>
    <t>Acto administrativo (Resolución) en donde se especifica la escala salarial de los Trabajadores Oficiales</t>
  </si>
  <si>
    <t>Reporte del Sistema Administrativo y Financiero de la Empresa</t>
  </si>
  <si>
    <t>x</t>
  </si>
  <si>
    <t>Durante el periodo comprendido entre enero y junio de 2026, desde la Dirección Administrativa y de TIC en elmarco del proceso de Gestión Ambiental, se desarrollaron diversas actividades de divulgación, capacitación y sensibilización orientadas al fortalecimiento del conocimiento y la apropiación del Plan Institucional de Gestión Ambiental PIGA y de sus programas.
Estas actividades estuvieron dirigidas a los colaboradores de RenoBo y abordaron temas relacionados con el uso eficiente de los recursos naturales, lagestión integral de residuos, el consumo sostenible, la gestión del cambio y la promoción de buenas prácticas ambientales, contribuyendo al cumplimiento de las metas y acciones establecidas en el PIGA 2025 - 2028.</t>
  </si>
  <si>
    <t>1. Evidencias capacitaciones y campañas PIGA y sus programas de enero a junio</t>
  </si>
  <si>
    <t>Durante el periodo reportado, se realizaron mesas de trabajo con la Dirección Técnica de Asesoría y Diseños Técnicos y a la Dirección Técnica de Planeamiento y Gestión Urbana, con el proposito de articular e incorporar los lineamientos del Plan de Acción Cuatrienal Ambiental PACA en los proyectos de inversión, contribuyendo al cumplimiento de las acciones y metas establecidas en el componente ambiental.
En este sentido, se remitieron comunicaciones internas a las áreas mencionadas, solicitando la información correspondiente a las acciones del componente ambiental segundo semestre de 2025 y del primer semestre de 2026, asociadas a los proyectos de inversión definidos en el PACA.
Así mismo se desarrollaron mesas de trabajo con las áreas responsables para revisar, consolidar y articular la información requerida para el reporte de ejecución. Finalmente, se realizó una mesa de trabajo con la Secretaría Distrital de Ambiente - SDA, con el proposito de validar la inormación consolidadada previamente a la presentación del reporte de ejecución correspondiente al primer semestre de 2026</t>
  </si>
  <si>
    <t>1. Reuniones con los responsables de los proyectos de inversión asociados al PACA, comunicaciones enviadas, reportes realizados a la SDA</t>
  </si>
  <si>
    <t>Mesas de trabajo con las demás áreas, para incorporar los lineamientos del PACA dentro de los proyectos de inversión.</t>
  </si>
  <si>
    <t>El profesional responsable del inventario ejecuta las actividades descritas en la "Guía de Almacén y Activos Fijos", por lo menos una (1) vez al año, con el propósito de identificar, verificar, analizar y actualizar el inventario de los bienes de propiedad o administrados por la Empresa. Esta actividad también se realiza cuando se solicita la expedición de un "Paz y Salvo", con el fin de verificar que el solicitante no tenga bienes a su cargo y que la información registrada en el sistema se encuentre actualizada.</t>
  </si>
  <si>
    <t>Se anexa reporte de actualización de los inventarios correspondientes a los meses de mayo a agosto
Entre los meses de mayo y agosto se envió un correo masivo sobre el manejo de los bienes y su metodología de traslado.
R1 EC-1 2026 ene abr Seguimiento Riesgos Soportes 1
EC -R1-2026 may ago Seguimiento Riesgos Soportes</t>
  </si>
  <si>
    <t>La Dirección Administrativa y de Tic envió comunicados a través del correo institucional recordando los lineamientos establecidos para un adecuado uso de los elementos asignados, mínimo dos veces al año.</t>
  </si>
  <si>
    <t xml:space="preserve">comunicados a través del correo institucional recordando los lineamientos establecidos para un adecuado uso de los elementos asignados, </t>
  </si>
  <si>
    <t>Desde el proceso de Servicios Administrativos y Logísticos, el profesional responsable realiza mensualmente el seguimiento al Plan de Adquisiciones y el Plan de Contratación del proceso, con el objetivo de realizar la revisión de los contratos programados y verificar las fecha s de inicio del proceso precontractual para garantizar el adecuado inicio del proceso y que esta contratación se desarrolle de conformidad con la programación y necesidad de la empresa.
Cuando, durante el seguimiento, se identifican procesos requeridos que aún no han iniciado su trámite contractual, se gestionan oportunamente las acciones necesarias para dar inicio al proceso correspondiente. De igual manera, cuando se evidencia que alguno de los procesos programados ya no resulta necesario, se informa a la Dirección Financiera y a la Dirección de Contratación, con el fin de realizar los ajustes pertinentes en los planes respectivos y dejar constancia de las modificaciones efectuadas en sus versiones actualizadas.</t>
  </si>
  <si>
    <t xml:space="preserve">Enero 2026:
 -R2 EC-1 -PAA VERSIÓN 2 14ENE2026
 -R2 EC-2-Calculos valor Adición y Prórroga Cto. 003-2025
 -R2 EC-3 -FT-227_Sol_modif_contractual_V5
 -R2 EC-4 -PROYECCION AUMENTO DE TARIFA
 Febrero 2026
 -R2 EC-1- PAA Cronograma Contratación SAyL
 -R2 EC-2 - Calendario Actividades - febrero-26
 -R2 EC-3 -Correo - Comunicación-Cumplimiento contrato 462-2025 Quality WSC
 -R2 EC-4 -FT-227 Solicitud modificación CTO 430-2025 OC 152589 17Feb2026
 -R2 EC-5 -PROYECCION AUMENTO DE TARIFA
 Marzo 2026
 -R2 EC-1- PAA - Cronograma Contratación SAyL
 -R2 EC-2- ANEXO TÉCNICO ASEO Y CAFETERIA 17Mar2026
 -R2 EC-3- Correo - Comunicación - Cumplimiento contrato 462-2025 Quality WCS
 -R2 EC-4- Correo - Cronograma Procesos contractuales SAL 2026
 -R2 EC-5- Ficha Técnica nuevo Contrato Final 5 marzo
Abril  2026:
-R2 EC-1 PAA_Ss. Administrativos -Abril 2026
-R2 EC-2 - OC 162963 TVEC 143-2026
-R2 EC-3 - MODIF 2 VF -CONVENIO 273 2025 PRORROGA IDEP
-R2 EC-4 - MODIFICACION No. 2 CTO DE ARRENDAMIENTO 289-2025 ASD S.A.S
Mayo 2026:
-R2 EC-1 -PAA_Ss. Administrativos - Mayo 2026
-R2 - EC - 2 -ACTA 001.  387-2025 UAESP REV 15-06-26
-R2 EC-3- ANEXO 1 MATRIZ DE RIESGOS - ARRENDAMIENTO
-R2 EC-4- ANEXO TÉCNICO ARRENDAMIENTO 08-05-2026
Junio 2026:
-R2 EC -1 - PAA_Ss. Administrativos - Junio 2026
-R2 EC -2 - Proyección presupuesto Modificación UAESP
-R2- EC- 3 -Respuesta Rad-E2026004664 Modificación Conv 387-2025 UAESP
Julio 2026:
-R2 EC- 1 - PAA_Ss. Administrativos - Julio 2026
-R2 EC - 2 - Formato - Solicitud De Modificación Convenio 387-2025 UAESP 
- R2 EC - 3 - Modificación No. 2 Contrato Arrendamiento 003-2025 GRUPO ASD SAS
Agosto 2026:
-R2 EC- 1 - PAA_Ss. Administrativos - Agosto 2026
-R2 EC- 2- Gastos para DATICS - SAyL
-R2 EC- 3 - ANEXO TÉCNICO HIGIENIZACIÓN 
-R2 EC- 4 - Plan de Egresos 2026 DATICs
-R2 EC- 5 - ANEXO TÉCNICO CONVENIO - IDEP 2026
-R2 EC- 6 - Formato - Solicitud De Modificación Convenio 387-2025 UAESP
-R2 EC-7- Formato - Solicitud De Modificación Cto. 397-2025 ASD FINAL
-R2 EC- 8 - Solicitud de contratación Higienizacion
-R2 EC- 9-Sol de trans de recursos Conv N 264 de 2025 IDEP
-R2 EC- 10-Calendario - Agosto 2026
</t>
  </si>
  <si>
    <t xml:space="preserve">Se informó al jefe del área, para tomar las medidas pertinentes con el fin de cubrir los bienes y servicios que no se encuentran en el Plan Anual de Adquisiciones.
</t>
  </si>
  <si>
    <t>Correos Electrónicos</t>
  </si>
  <si>
    <t xml:space="preserve">Desde el proceso de Servicios Administrativos y Logísticos, el profesional responsable realiza mensualmente el seguimiento al Plan de Adquisiciones y el Plan de Contratación del proceso, con el objetivo de realizar la revisión de los contratos programados y verificar las fecha s de inicio del proceso precontractual para garantizar el adecuado inicio del proceso y que esta contratación se desarrolle de conformidad con la programación y necesidad de la empresa.
Cuando, durante el seguimiento, se identifican procesos requeridos que aún no han iniciado su trámite contractual, se gestionan oportunamente las acciones necesarias para dar inicio al proceso correspondiente. De igual manera, cuando se evidencia que alguno de los procesos programados ya no resulta necesario, se informa a la Dirección Financiera y a la Dirección de Contratación, con el fin de realizar los ajustes pertinentes en los planes respectivos y dejar constancia de las modificaciones efectuadas en sus versiones actualizadas.""
"
Se realiza el seguimiento a la correcta aplicación del Manual de Gestión Documental MN-10, númeral 6.4. 5 Préstamo y Consulta, realizando la respuestas sobre acceso a la documentación en los tiempos y medios establecidos.
</t>
  </si>
  <si>
    <t xml:space="preserve">* Plan Anual de Adquisiciones y de Contratación del Proceso de Servicios Administrativos y Logísticos
R3 - EC - 1 PAA_Ss. Administrativos -Abril 2026
R3 - EC - 2 -PAA_Ss. Administrativos - Mayo 2026
R3 - EC - 3 -PAA_Ss. Administrativos - Junio 2026
R3 - EC - 4 -PAA_Ss. Administrativos - Julio 2026
R3 - EC - 5 -PAA_Ss. Administrativos - Agosto 2026
</t>
  </si>
  <si>
    <t xml:space="preserve">La Dirección Administrativa y de Tics realiza la socialización de los principios y valores éticos, especialmente el principio de integridad, mediante comunicados difundidos a través del boletín “De tu lado”, publicado quincenalmente en la intranet de la Empresa RENOBO, así como mediante el correo institucional. Esta actividad se desarrolla como mínimo dos veces al año, con el propósito de fortalecer el conocimiento, apropiación y aplicación de los principios y valores éticos por parte de los colaboradores.
</t>
  </si>
  <si>
    <t>R3 ET-2 Correo Febrero - Convocatoria – Gestores  RenoBo 2026
R3 ET-3 Correo Marzo- RenoBo Corre por la Integridad - MMB 2026"
ET -R3- Socialización Principios de Integridad</t>
  </si>
  <si>
    <t>Se realiza el seguimiento a la correcta aplicación del Manual de Gestión Documental MN-10, númeral 6.4. 5 Préstamo y Consulta, realizando la respuestas sobre acceso a la documentación en los tiempos y medios establecidos.</t>
  </si>
  <si>
    <t>1.Cuadro Prestamo Gestión Documental 2026
2,FT-111 Registro Préstamo de Documentos
3,Consultas digitales Mayo -agosto.</t>
  </si>
  <si>
    <t>Se realiza seguimiento sobre el vencimiento de tiempos de préstamos bien para su renovación o solicitud de devolución.</t>
  </si>
  <si>
    <t>1. FT.111 planilla de prestamo
2.Consultas digital</t>
  </si>
  <si>
    <t>Se implementa el Plan de Conservación Documental, que abarca seis estrategias clave. Esto incluye brigadas mensuales de aseo en el Archivo Central, medición de condiciones ambientales, seguimiento al Plan de Emergencias y verificación de las condiciones de almacenamiento, tanto en términos de infraestructura como de unidades de conservación.</t>
  </si>
  <si>
    <t>FT-09 Monitoreo_condiciones_ambientales.
FT-234 Informe_SIC_Brigada_de_Aseo.
FT-234 Informe_condiciones_ambientales
E6_Control_Respuesta_Emergencias
FT-234 Informe para realizar seguimiento del Sistema Integrado de Conservación</t>
  </si>
  <si>
    <t>*El equipo del procesode gestión documental realia la verificación del los informes del SIC y sus respectivas evidencias.</t>
  </si>
  <si>
    <t>1. Informe del SIC del cuatrimestre</t>
  </si>
  <si>
    <t>Se realiza seguimiento al estado de las bandejas de los usuarios del Sistema de Gestión de Documentos Electrónicos de Archivo (SGDEA) - Tampus, contactando a los usuarios para informarles sobre las novedades correspondientes.</t>
  </si>
  <si>
    <t>1. Correos de seguimiento preventivo dirigidos a los titulares de las bandejas (Mayo, Junio, Julio)
2. Programación mesas de trabajo usuarios SGDEA - Tampus (Mayo, Junio, Julio)</t>
  </si>
  <si>
    <t>El técnico de gestión documental de la empresa organiza mesas de trabajo virtuales, con el fin de proporcionar lineamiento o retroalimentación a aquellos usuarios que tiene documentos represados en su bandeja, los cuales deben ser trasladados para su correspondiente archivamiento.</t>
  </si>
  <si>
    <t>1. Actas mesas de trabajo usuarios SGDEA Tampus
2. Correos electrónicos de seguimiento a archivamiento electrónico</t>
  </si>
  <si>
    <t>Se recibe y clasifica la documentación entregada por la Ventanilla Única de Correspondencia y otras dependencias, procediendo con la firma del formato FT-33 para su posterior inclusión en los expedientes bajo custodia y administración del CAD.</t>
  </si>
  <si>
    <t>1. Formato FT-33 formato único de inventario documental - traslados documentales</t>
  </si>
  <si>
    <t>Se aplican los procesos técnicos archivísticos, que incluyen la inserción de documentos y la actualización de los formatos de registro de información.</t>
  </si>
  <si>
    <t>1. Formato FT-33 formato único de inventario documental - Centro de Administración Documental - CAD
2. Formato FT -59 Hoja de control</t>
  </si>
  <si>
    <t>se realiza la creación de los expedientes en el SGDEA.</t>
  </si>
  <si>
    <t>1. Correos de solicitud de creación de expedientes (Mayo, Junio, Julio)</t>
  </si>
  <si>
    <t>Se realiza la creación de los expedientes de acuerdo con las Tablas de Retención Documental (TRD), y se da respuesta al solicitante.</t>
  </si>
  <si>
    <t>3. Pantallazos expedientes creados SGDEA Tampus</t>
  </si>
  <si>
    <t xml:space="preserve">Se solicitó plan de mejoramiento para las siguientes áreas, debido al incumplimiento de criterios en la gestión del sistema Bogotá te Escucha de RenoBo:
• Subgerencia de Ejecución de Proyectos: Tras la verificación de la traza por parte del administrador del sistema, se constató que la respuesta se emitió fuera de los términos legales. Se incumplió con los criterios de oportunidad y manejo del sistema.
• Dirección Financiera: Al revisar la traza del sistema, se evidenció que el traslado por competencia se realizó cerca del vencimiento. Esto ocasionó que la petición permaneciera inactiva durante 14 días hábiles, superando el plazo establecido de 5 días hábiles. Se incumplió con el criterio de manejo del sistema.
</t>
  </si>
  <si>
    <t xml:space="preserve">Dos solicitudes de elaboración de planes de mejoramiento: para: Subgerencia de Ejecución de Proyectos: Tras la verificación de la traza por parte del administrador del sistema, se constató que la respuesta se emitió fuera de los términos legales. Se incumplió con los criterios de oportunidad y manejo del sistema. Dirección Financiera: Al revisar la traza del sistema, se evidenció que el traslado por competencia se realizó cerca del vencimiento. Esto ocasionó que la petición permaneciera inactiva durante 14 días hábiles, superando el plazo establecido de 5 días hábiles. Se incumplió con el criterio de manejo del sistema.
</t>
  </si>
  <si>
    <t>Se participó en las dos capacitaciones(Inducción) por parte del Gestor Senior III-de Atención y Relacionamiento con la Ciudadanía, desde la temática de Atención y relacionamiento con la ciudadanía. a las compañeras: Andrea Carolina Olano Riaño, jefe de la Oficina Asesora de Relacionamiento y Comunicaciones y la compañera Luz Dary Riaño Flórez, de Nomina.</t>
  </si>
  <si>
    <t>\\192.168.10.203\Institucional\ogs\0 OFICINA DE PARTICIPACION CIUDADANA Y ASUNTOS SOCIALES 2026\MAPA DE RIESGOS II_2026\PROYECTOS-PLAN DE MEJORAMIENTO</t>
  </si>
  <si>
    <t>se verificó que se dio traslado cerca al vencimiento a la PQRS: 4953052026, cuando son 5 días para el traslado por competencia, criterios incumplidos: ( Manejo del sistema-Dirección Financiera:). y para la Subgerencia de Ejecución de Proyectos: se verificó que se dio respuesta fuera de términos, criterios incumplidos: (oportunidad y Manejo del sistema)</t>
  </si>
  <si>
    <t xml:space="preserve">Se elaboró un cuestionario con las preguntas de la induccion-reinduccion (prueba de entendimiento) aplicada a los colaboradores de la empresa, para detectar deficiencias frente al conocimiento de los criterios de respuesta de las peticiones.
¿Qué es una petición de interés general?
1. Una petición que le interesa a una persona
2. Una petición que se presenta a la Policía 
3. Solicitud que una persona o una comunidad presenta ante las autoridades- respuesta correcta 
4. ¿Dónde queda el punto de atención al ciudadano en RenoBo?
1. Carrera 10 # 17-18 Piso 23 respuesta correcta 
2. En el piso 16 del Edificio Colseguros 
3. En el barrio San Bernardo
¿Cuáles son los canales para la atención a la ciudadanía en RenoBo? 
1. Telefónico, la página Web, la intranet, redes sociales
2. Presencial en el piso 16, Telefónico, la página Web, la intranet, redes sociales 
3. Presencial, telefónico, correo electrónico, redes sociales, buzón de sugerencias- respuesta correcta
¿seleccione tres enfoques de atención al ciudadano?
1. Enfoque de términos, Enfoque de raza, Enfoque diferencial
2. Enfoque de Credo, Enfoque de religión, Enfoque trasversal 
3. Enfoque de derechos, Enfoque poblacional diferencial, Enfoque Territorial- respuesta correcta 
¿El tiempo para trasladar una petición a otra entidad, cuando la entidad inicial no es competente, es?
4. 5 días - respuesta correcta 
5. 10 días 
6. 12 días
¿Cuál es el tiempo de respuesta para una petición de interés general? 
1. 25 días siguientes al radicado 
2. 12 días siguientes al radicado 
3. 15 días siguientes al radicado- respuesta correcta 
</t>
  </si>
  <si>
    <t>cuestionario con las preguntas de la induccion-reinduccion (prueba de entendimiento) aplicada a los colaboradores de la empresa, para detectar deficiencias frente al conocimiento de los criterios de respuesta de las peticiones.</t>
  </si>
  <si>
    <t>\\192.168.10.203\Institucional\ogs\0 OFICINA DE PARTICIPACION CIUDADANA Y ASUNTOS SOCIALES 2026\MAPA DE RIESGOS II_2026\CUESTIONARIO INDUCCION</t>
  </si>
  <si>
    <r>
      <rPr>
        <sz val="11"/>
        <color rgb="FF222222"/>
        <rFont val="Arial Narrow"/>
      </rPr>
      <t xml:space="preserve">Se realizaron 2 reuniones durante el semestre, de la siguiente manera:               </t>
    </r>
    <r>
      <rPr>
        <b/>
        <sz val="11"/>
        <color rgb="FF222222"/>
        <rFont val="Arial Narrow"/>
      </rPr>
      <t xml:space="preserve">                   MARZO DE 2026,</t>
    </r>
    <r>
      <rPr>
        <sz val="11"/>
        <color rgb="FF222222"/>
        <rFont val="Arial Narrow"/>
      </rPr>
      <t xml:space="preserve"> el 6 de marzo de 2026, para verificar los términos de prescripción en los procesos disciplinarios 002-2026, 003 – 2026 y 004 -2026.                                                             </t>
    </r>
    <r>
      <rPr>
        <b/>
        <sz val="11"/>
        <color rgb="FF222222"/>
        <rFont val="Arial Narrow"/>
      </rPr>
      <t>JUNIO DE 2026,</t>
    </r>
    <r>
      <rPr>
        <sz val="11"/>
        <color rgb="FF222222"/>
        <rFont val="Arial Narrow"/>
      </rPr>
      <t xml:space="preserve"> el 17 de junio de 2026, para verificar los términos de la prescripción en el marco de los procesos disciplinarios 005 - 2026, 006 – 2026,
007 -2026, 008 – 2026, 011 -2026, 012 -2026 y 013 – 2026.</t>
    </r>
  </si>
  <si>
    <t>El profesional responsable del proceso de Gestión de TIC verificó que la copia automática del sistema JSP7 Gobierno, TAMPUS, GLPI, Intranet y de la información contenida en los servidores de la Empresa con una periodicidad de cada 12 horas, quede almacenada en los repositorios correspondientes, con el propósito de contar con información actualizada en caso de que se presente una falla. En caso de encontrar que no se realizó de manera automática, se solicita al proveedor justificación por escrito la razón por la cual no se realizó ese backup y paralelamente se ejecute la instrucción de lanzar un backup manual de forma inmediata sin interrumpir la programación de los backups automatizados.</t>
  </si>
  <si>
    <t xml:space="preserve">Los profesionales del proceso de Gestión de TIC, realizaron monitoreo a la infraestructura de TI de la entidad, utilizando herramientas de monitoreo, protección y tableros de control, ingresando a la plataforma o revisando que no hayan enviado alertas de correo electrónico sobre fallos en los sistemas, una vez revisado se generan reportes mensuales los cuales son trasladados a los expedientes contractuales. El proveedor también realiza revisión de alertas e informa inmediatamente al profesional de sistemas si se encuentran alguna anormalidad. </t>
  </si>
  <si>
    <t>Informe_Servidores_ArcGIS.pdf
Informe de Gestión de Infraestructura y Servidores.docx
Correo de Empresa de Renovación y Desarrollo Urbano de Bogota - Soporte servidores DCHV00076277 - Renobo _ CASO ETB_ 25623771.pdf</t>
  </si>
  <si>
    <t>INFORME CONFIGURACIÓN VEEAM BACKUP DIC.docx</t>
  </si>
  <si>
    <t>Copia de seguridad de la fecha anterior más reciente del día de materialización del evento.</t>
  </si>
  <si>
    <t>E2025011225_Factura_Electronica_N_FC001000304047_12055688195_E_FACTURAS_1.pdf</t>
  </si>
  <si>
    <t>Registro de mantenimiento</t>
  </si>
  <si>
    <t>El profesional encargado del directorio activo generó mensaje de advertencia que su contraseña va a caducar para que el usuario realice el cambio de la contraseña.</t>
  </si>
  <si>
    <t>El profesional del proceso de gestión de TIC mensualmente realizaró actualizaciones de los servidores instalando update de seguridad en el software, sistemas operativos para minimizar las brechas de vulnerabilidades.</t>
  </si>
  <si>
    <t>Aplicación de los ANS con el proveedor y restablecer el servicio.</t>
  </si>
  <si>
    <t>Configuración de políticas de contraseña para usuarios en Directorio Activo.pdf</t>
  </si>
  <si>
    <t>E2025011187_Factura_Electronica_E1101_Cto_373_2025_FACTURAS_1.pdf
E2025011004_Factura_Electronica_E1095_Cto_373_2025_It_Solucion_FACTURAS_1.pdf
E2025010102_Factura_Electronica_N_1093_Cto_373_2025_It_Solucio_Facturas_1.pdf</t>
  </si>
  <si>
    <t>transferenciaFortigateSesion1.pdf
transferenciaFortigateSesion2.pdf
transferenciaFortigateSesion3.pdf</t>
  </si>
  <si>
    <t xml:space="preserve">El profesional en cargado de TIC en el tema de redes de internet deberá aseguró la disponibilidad de los servicios con los proveedores de forma mensual con informes de indisponibilidad del servicio. </t>
  </si>
  <si>
    <t>El aplicativo ENTUITY de manera permanente realizó monitoreo web a la infraestructura tecnológica compuesta por canales de datos, canal internet y equipos tipo servidor, para verificar la disponibilidad y el estado del funcionamiento de los aplicativos, al encontrar una falla envía un correo de alerta al proceso Gestión de TIC para adelantar las acciones que corresponda.</t>
  </si>
  <si>
    <t>E2025011225_Factura_Electronica_N_FC001000304047_12055688195_E_FACTURAS_1.pdf
E2025011033_Factura_Electronica_N_Fc001000304003_Del_Cto_358_2_FACTURAS_1</t>
  </si>
  <si>
    <t>VPN Report-Noviembre.pdf
Security Analysis-2025-12-16-1555-0500_2305.pdf
IPS Report-2025-Noviembre.pdf
INVENTARIO_REDES_DIC2025.pdf
Informe Técnico de Diagnóstico de Fallas en Red Wi-Fi.pdf</t>
  </si>
  <si>
    <t>INFORME_CASOS_MESASAYUDA_RENOBO_11-2025.pdf
INFORME_CASOS_MESASAYUDA_RENOBO_10-2025.pdf
INFORME_CASOS_MESASAYUDA_RENOBO_09-2025.pdf
consolidado 09-12-2025.xlsx</t>
  </si>
  <si>
    <t xml:space="preserve">Para el periodo evaluado, se gestionaron las solicitudes presentadas a la OARC desde cada área de la empresa,  verificando la atención y seguimiento de cada solicitud;   Asi mismo se gestionaron  mediante herramientas tecnológicas las validaciones de los productos finales antes de publicación en los medios oficiales.  
</t>
  </si>
  <si>
    <t>formato solicitud de servicios para comunicaciones y correo electrónico socializando dicho formulario</t>
  </si>
  <si>
    <t>Correos electrónicos de socializaciones a solicitud de las dependencias.</t>
  </si>
  <si>
    <t>Formato solicitud de servicios para comunicaciones y correo electrónico socializando dicho formulario</t>
  </si>
  <si>
    <t>OCI: Una vez analizado el reporte y las evidencias sobre los controles y acciones de tratamiento del riesgo, se puede concluir que han sido efectivas ya que una vez aplicadas,. Se evidencio la materialización del riesgo en el periodo.
MATERIALIZACIÓN DE RIESGO.
Se materializó el riesgo, así: se verificó que se dio traslado cerca al vencimiento a la PQRS: 4953052026, cuando son 5 días para el traslado por competencia, criterios incumplidos: ( Manejo del sistema-Dirección Financiera:). y para la Subgerencia de Ejecución de Proyectos: se verificó que se dio respuesta fuera de términos, criterios incumplidos: (oportunidad y Manejo del sistema)</t>
  </si>
  <si>
    <t>Seguimiento Primer Semestre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</si>
</sst>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yy"/>
    <numFmt numFmtId="166" formatCode="d/m/yyyy"/>
  </numFmts>
  <fonts count="72"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color theme="1"/>
      <name val="Arial Narrow"/>
      <family val="2"/>
    </font>
    <font>
      <sz val="10"/>
      <color rgb="FFFF0000"/>
      <name val="Arial Narrow"/>
      <family val="2"/>
    </font>
    <font>
      <b/>
      <sz val="10"/>
      <color rgb="FFFF0000"/>
      <name val="Arial Narrow"/>
      <family val="2"/>
    </font>
    <font>
      <b/>
      <sz val="11"/>
      <color rgb="FFFF0000"/>
      <name val="Arial Narrow"/>
      <family val="2"/>
    </font>
    <font>
      <sz val="10"/>
      <color theme="1"/>
      <name val="Arial Narrow"/>
    </font>
    <font>
      <u/>
      <sz val="10"/>
      <color theme="1"/>
      <name val="Arial Narrow"/>
    </font>
    <font>
      <b/>
      <sz val="10"/>
      <color rgb="FF222222"/>
      <name val="Arial Narrow"/>
    </font>
    <font>
      <sz val="10"/>
      <color rgb="FF222222"/>
      <name val="Arial Narrow"/>
    </font>
    <font>
      <b/>
      <sz val="10"/>
      <color theme="1"/>
      <name val="Arial Narrow"/>
    </font>
    <font>
      <b/>
      <sz val="11"/>
      <color rgb="FF222222"/>
      <name val="Arial Narrow"/>
    </font>
    <font>
      <sz val="11"/>
      <color rgb="FF222222"/>
      <name val="Arial Narrow"/>
    </font>
    <font>
      <sz val="11"/>
      <color theme="1"/>
      <name val="&quot;Arial Narrow&quot;"/>
    </font>
    <font>
      <sz val="11"/>
      <color rgb="FF000000"/>
      <name val="&quot;Arial Narrow&quot;"/>
    </font>
    <font>
      <sz val="11"/>
      <color rgb="FF222222"/>
      <name val="Arial Narrow"/>
      <family val="2"/>
    </font>
    <font>
      <sz val="10"/>
      <color theme="0"/>
      <name val="Arial Narrow"/>
      <family val="2"/>
    </font>
  </fonts>
  <fills count="2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0"/>
        <bgColor theme="0"/>
      </patternFill>
    </fill>
    <fill>
      <patternFill patternType="solid">
        <fgColor rgb="FFFFFFFF"/>
        <bgColor indexed="64"/>
      </patternFill>
    </fill>
  </fills>
  <borders count="77">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medium">
        <color theme="1"/>
      </right>
      <top/>
      <bottom/>
      <diagonal/>
    </border>
    <border>
      <left/>
      <right/>
      <top/>
      <bottom style="medium">
        <color theme="1"/>
      </bottom>
      <diagonal/>
    </border>
    <border>
      <left style="medium">
        <color indexed="64"/>
      </left>
      <right/>
      <top/>
      <bottom style="medium">
        <color theme="1"/>
      </bottom>
      <diagonal/>
    </border>
    <border>
      <left/>
      <right style="medium">
        <color theme="1"/>
      </right>
      <top/>
      <bottom style="medium">
        <color theme="1"/>
      </bottom>
      <diagonal/>
    </border>
    <border>
      <left style="dotted">
        <color rgb="FFE36C09"/>
      </left>
      <right style="dotted">
        <color rgb="FFE36C09"/>
      </right>
      <top style="dotted">
        <color rgb="FFE36C09"/>
      </top>
      <bottom style="dotted">
        <color rgb="FFE36C09"/>
      </bottom>
      <diagonal/>
    </border>
    <border>
      <left style="dashed">
        <color rgb="FFE46C0A"/>
      </left>
      <right style="dashed">
        <color rgb="FFE46C0A"/>
      </right>
      <top style="dashed">
        <color rgb="FFE46C0A"/>
      </top>
      <bottom style="dashed">
        <color rgb="FFE46C0A"/>
      </bottom>
      <diagonal/>
    </border>
    <border>
      <left style="hair">
        <color theme="9" tint="-0.24994659260841701"/>
      </left>
      <right style="hair">
        <color theme="9" tint="-0.24994659260841701"/>
      </right>
      <top style="hair">
        <color theme="9" tint="-0.24994659260841701"/>
      </top>
      <bottom style="hair">
        <color theme="9" tint="-0.24994659260841701"/>
      </bottom>
      <diagonal/>
    </border>
    <border>
      <left style="dotted">
        <color rgb="FFE36C09"/>
      </left>
      <right style="dotted">
        <color rgb="FFE36C09"/>
      </right>
      <top style="dotted">
        <color rgb="FFE36C09"/>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4" fillId="0" borderId="0" applyFont="0" applyFill="0" applyBorder="0" applyAlignment="0" applyProtection="0"/>
    <xf numFmtId="0" fontId="46" fillId="0" borderId="0"/>
    <xf numFmtId="0" fontId="47" fillId="0" borderId="0"/>
    <xf numFmtId="0" fontId="5" fillId="0" borderId="0"/>
  </cellStyleXfs>
  <cellXfs count="62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11" xfId="0" applyFont="1" applyFill="1" applyBorder="1" applyAlignment="1">
      <alignment horizontal="center" vertical="center" wrapText="1" readingOrder="1"/>
    </xf>
    <xf numFmtId="0" fontId="10" fillId="0" borderId="11" xfId="0" applyFont="1" applyBorder="1" applyAlignment="1">
      <alignment horizontal="justify" vertical="center" wrapText="1" readingOrder="1"/>
    </xf>
    <xf numFmtId="9" fontId="10" fillId="0" borderId="11"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15" fillId="0" borderId="0" xfId="0" applyFont="1"/>
    <xf numFmtId="0" fontId="13" fillId="0" borderId="0" xfId="0" applyFont="1"/>
    <xf numFmtId="0" fontId="1" fillId="3" borderId="0" xfId="0" applyFont="1" applyFill="1" applyAlignment="1">
      <alignment vertical="center"/>
    </xf>
    <xf numFmtId="0" fontId="1" fillId="3" borderId="0" xfId="0" applyFont="1" applyFill="1" applyAlignment="1">
      <alignment horizontal="center" vertical="center"/>
    </xf>
    <xf numFmtId="0" fontId="27" fillId="0" borderId="0" xfId="0" applyFont="1" applyAlignment="1">
      <alignment vertical="center"/>
    </xf>
    <xf numFmtId="0" fontId="28" fillId="0" borderId="0" xfId="0" applyFont="1"/>
    <xf numFmtId="0" fontId="26" fillId="0" borderId="0" xfId="0" applyFont="1"/>
    <xf numFmtId="0" fontId="0" fillId="0" borderId="0" xfId="0" pivotButton="1"/>
    <xf numFmtId="0" fontId="12" fillId="0" borderId="0" xfId="0" applyFont="1" applyAlignment="1">
      <alignment horizontal="justify" vertical="center" wrapText="1" readingOrder="1"/>
    </xf>
    <xf numFmtId="0" fontId="29" fillId="0" borderId="0" xfId="0" applyFont="1"/>
    <xf numFmtId="0" fontId="31" fillId="6" borderId="0" xfId="0" applyFont="1" applyFill="1" applyAlignment="1">
      <alignment horizontal="center" vertical="center" wrapText="1" readingOrder="1"/>
    </xf>
    <xf numFmtId="0" fontId="32" fillId="0" borderId="11" xfId="0" applyFont="1" applyBorder="1" applyAlignment="1">
      <alignment horizontal="justify" vertical="center" wrapText="1" readingOrder="1"/>
    </xf>
    <xf numFmtId="0" fontId="32" fillId="0" borderId="1" xfId="0" applyFont="1" applyBorder="1" applyAlignment="1">
      <alignment horizontal="justify" vertical="center" wrapText="1" readingOrder="1"/>
    </xf>
    <xf numFmtId="0" fontId="32" fillId="5" borderId="11" xfId="0" applyFont="1" applyFill="1" applyBorder="1" applyAlignment="1">
      <alignment horizontal="center" vertical="center" wrapText="1" readingOrder="1"/>
    </xf>
    <xf numFmtId="0" fontId="32" fillId="7" borderId="1" xfId="0" applyFont="1" applyFill="1" applyBorder="1" applyAlignment="1">
      <alignment horizontal="center" vertical="center" wrapText="1" readingOrder="1"/>
    </xf>
    <xf numFmtId="0" fontId="32" fillId="4" borderId="1" xfId="0" applyFont="1" applyFill="1" applyBorder="1" applyAlignment="1">
      <alignment horizontal="center" vertical="center" wrapText="1" readingOrder="1"/>
    </xf>
    <xf numFmtId="0" fontId="32" fillId="8" borderId="1" xfId="0" applyFont="1" applyFill="1" applyBorder="1" applyAlignment="1">
      <alignment horizontal="center" vertical="center" wrapText="1" readingOrder="1"/>
    </xf>
    <xf numFmtId="0" fontId="33" fillId="9" borderId="1" xfId="0" applyFont="1" applyFill="1" applyBorder="1" applyAlignment="1">
      <alignment horizontal="center" vertical="center" wrapText="1" readingOrder="1"/>
    </xf>
    <xf numFmtId="0" fontId="32" fillId="0" borderId="11" xfId="0" applyFont="1" applyBorder="1" applyAlignment="1">
      <alignment horizontal="center" vertical="center" wrapText="1" readingOrder="1"/>
    </xf>
    <xf numFmtId="0" fontId="32" fillId="0" borderId="1" xfId="0" applyFont="1" applyBorder="1" applyAlignment="1">
      <alignment horizontal="center" vertical="center" wrapText="1" readingOrder="1"/>
    </xf>
    <xf numFmtId="0" fontId="0" fillId="3" borderId="0" xfId="0" applyFill="1"/>
    <xf numFmtId="0" fontId="48" fillId="3" borderId="43" xfId="2" applyFont="1" applyFill="1" applyBorder="1"/>
    <xf numFmtId="0" fontId="48" fillId="3" borderId="44" xfId="2" applyFont="1" applyFill="1" applyBorder="1"/>
    <xf numFmtId="0" fontId="48" fillId="3" borderId="45" xfId="2" applyFont="1" applyFill="1" applyBorder="1"/>
    <xf numFmtId="0" fontId="16" fillId="3" borderId="0" xfId="0" applyFont="1" applyFill="1" applyAlignment="1">
      <alignment vertical="center"/>
    </xf>
    <xf numFmtId="0" fontId="5" fillId="3" borderId="0" xfId="0" applyFont="1" applyFill="1"/>
    <xf numFmtId="0" fontId="35" fillId="3" borderId="0" xfId="0" applyFont="1" applyFill="1"/>
    <xf numFmtId="0" fontId="36" fillId="3" borderId="26" xfId="0" applyFont="1" applyFill="1" applyBorder="1" applyAlignment="1">
      <alignment horizontal="center" vertical="center" wrapText="1" readingOrder="1"/>
    </xf>
    <xf numFmtId="0" fontId="37" fillId="3" borderId="26" xfId="0" applyFont="1" applyFill="1" applyBorder="1" applyAlignment="1">
      <alignment horizontal="justify" vertical="center" wrapText="1" readingOrder="1"/>
    </xf>
    <xf numFmtId="9" fontId="36" fillId="3" borderId="35" xfId="0" applyNumberFormat="1" applyFont="1" applyFill="1" applyBorder="1" applyAlignment="1">
      <alignment horizontal="center" vertical="center" wrapText="1" readingOrder="1"/>
    </xf>
    <xf numFmtId="0" fontId="36" fillId="3" borderId="25" xfId="0" applyFont="1" applyFill="1" applyBorder="1" applyAlignment="1">
      <alignment horizontal="center" vertical="center" wrapText="1" readingOrder="1"/>
    </xf>
    <xf numFmtId="0" fontId="37" fillId="3" borderId="25" xfId="0" applyFont="1" applyFill="1" applyBorder="1" applyAlignment="1">
      <alignment horizontal="justify" vertical="center" wrapText="1" readingOrder="1"/>
    </xf>
    <xf numFmtId="9" fontId="36" fillId="3" borderId="30" xfId="0" applyNumberFormat="1" applyFont="1" applyFill="1" applyBorder="1" applyAlignment="1">
      <alignment horizontal="center" vertical="center" wrapText="1" readingOrder="1"/>
    </xf>
    <xf numFmtId="0" fontId="37" fillId="3" borderId="30" xfId="0" applyFont="1" applyFill="1" applyBorder="1" applyAlignment="1">
      <alignment horizontal="center" vertical="center" wrapText="1" readingOrder="1"/>
    </xf>
    <xf numFmtId="0" fontId="36" fillId="3" borderId="32" xfId="0" applyFont="1" applyFill="1" applyBorder="1" applyAlignment="1">
      <alignment horizontal="center" vertical="center" wrapText="1" readingOrder="1"/>
    </xf>
    <xf numFmtId="0" fontId="37" fillId="3" borderId="32" xfId="0" applyFont="1" applyFill="1" applyBorder="1" applyAlignment="1">
      <alignment horizontal="justify" vertical="center" wrapText="1" readingOrder="1"/>
    </xf>
    <xf numFmtId="0" fontId="37" fillId="3" borderId="33" xfId="0" applyFont="1" applyFill="1" applyBorder="1" applyAlignment="1">
      <alignment horizontal="center" vertical="center" wrapText="1" readingOrder="1"/>
    </xf>
    <xf numFmtId="0" fontId="45" fillId="3" borderId="0" xfId="0" applyFont="1" applyFill="1"/>
    <xf numFmtId="0" fontId="36" fillId="15" borderId="37" xfId="0" applyFont="1" applyFill="1" applyBorder="1" applyAlignment="1">
      <alignment horizontal="center" vertical="center" wrapText="1" readingOrder="1"/>
    </xf>
    <xf numFmtId="0" fontId="36" fillId="15" borderId="38" xfId="0" applyFont="1" applyFill="1" applyBorder="1" applyAlignment="1">
      <alignment horizontal="center" vertical="center" wrapText="1" readingOrder="1"/>
    </xf>
    <xf numFmtId="0" fontId="13" fillId="3" borderId="0" xfId="0" applyFont="1" applyFill="1"/>
    <xf numFmtId="0" fontId="30" fillId="3" borderId="0" xfId="0" applyFont="1" applyFill="1" applyAlignment="1">
      <alignment horizontal="center" vertical="center" wrapText="1"/>
    </xf>
    <xf numFmtId="0" fontId="12" fillId="3" borderId="0" xfId="0" applyFont="1" applyFill="1" applyAlignment="1">
      <alignment horizontal="justify" vertical="center" wrapText="1" readingOrder="1"/>
    </xf>
    <xf numFmtId="0" fontId="4" fillId="3" borderId="0" xfId="0" applyFont="1" applyFill="1" applyAlignment="1">
      <alignment vertical="center"/>
    </xf>
    <xf numFmtId="0" fontId="15" fillId="3" borderId="0" xfId="0" applyFont="1" applyFill="1"/>
    <xf numFmtId="0" fontId="4" fillId="3" borderId="0" xfId="0" applyFont="1" applyFill="1" applyAlignment="1">
      <alignment horizontal="left" vertical="center"/>
    </xf>
    <xf numFmtId="0" fontId="48" fillId="3" borderId="14" xfId="2" applyFont="1" applyFill="1" applyBorder="1"/>
    <xf numFmtId="0" fontId="53" fillId="3" borderId="0" xfId="0" applyFont="1" applyFill="1" applyAlignment="1">
      <alignment horizontal="left" vertical="center" wrapText="1"/>
    </xf>
    <xf numFmtId="0" fontId="54" fillId="3" borderId="0" xfId="0" applyFont="1" applyFill="1" applyAlignment="1">
      <alignment horizontal="left" vertical="top" wrapText="1"/>
    </xf>
    <xf numFmtId="0" fontId="48" fillId="3" borderId="0" xfId="2" applyFont="1" applyFill="1"/>
    <xf numFmtId="0" fontId="48" fillId="3" borderId="15" xfId="2" applyFont="1" applyFill="1" applyBorder="1"/>
    <xf numFmtId="0" fontId="48" fillId="3" borderId="16" xfId="2" applyFont="1" applyFill="1" applyBorder="1"/>
    <xf numFmtId="0" fontId="48" fillId="3" borderId="18" xfId="2" applyFont="1" applyFill="1" applyBorder="1"/>
    <xf numFmtId="0" fontId="48" fillId="3" borderId="17" xfId="2" applyFont="1" applyFill="1" applyBorder="1"/>
    <xf numFmtId="0" fontId="52" fillId="3" borderId="0" xfId="2" applyFont="1" applyFill="1" applyAlignment="1">
      <alignment horizontal="left" vertical="center" wrapText="1"/>
    </xf>
    <xf numFmtId="0" fontId="48" fillId="3" borderId="0" xfId="2" applyFont="1" applyFill="1" applyAlignment="1">
      <alignment horizontal="left" vertical="center" wrapText="1"/>
    </xf>
    <xf numFmtId="0" fontId="48" fillId="3" borderId="0" xfId="2" quotePrefix="1" applyFont="1" applyFill="1" applyAlignment="1">
      <alignment horizontal="left" vertical="center" wrapText="1"/>
    </xf>
    <xf numFmtId="0" fontId="50" fillId="3" borderId="14" xfId="2" quotePrefix="1" applyFont="1" applyFill="1" applyBorder="1" applyAlignment="1">
      <alignment horizontal="left" vertical="top" wrapText="1"/>
    </xf>
    <xf numFmtId="0" fontId="51" fillId="3" borderId="0" xfId="2" quotePrefix="1" applyFont="1" applyFill="1" applyAlignment="1">
      <alignment horizontal="left" vertical="top" wrapText="1"/>
    </xf>
    <xf numFmtId="0" fontId="51" fillId="3" borderId="15" xfId="2" quotePrefix="1" applyFont="1" applyFill="1" applyBorder="1" applyAlignment="1">
      <alignment horizontal="left" vertical="top" wrapText="1"/>
    </xf>
    <xf numFmtId="0" fontId="1" fillId="0" borderId="6" xfId="0" applyFont="1" applyBorder="1" applyAlignment="1">
      <alignment horizontal="center" vertical="center"/>
    </xf>
    <xf numFmtId="0" fontId="6" fillId="0" borderId="2" xfId="0" applyFont="1" applyBorder="1" applyAlignment="1" applyProtection="1">
      <alignment horizontal="justify" vertical="center" wrapText="1"/>
      <protection locked="0"/>
    </xf>
    <xf numFmtId="0" fontId="19" fillId="11" borderId="12" xfId="0" applyFont="1" applyFill="1" applyBorder="1" applyAlignment="1" applyProtection="1">
      <alignment horizontal="center" vertical="center" wrapText="1" readingOrder="1"/>
      <protection hidden="1"/>
    </xf>
    <xf numFmtId="0" fontId="19" fillId="11" borderId="19" xfId="0" applyFont="1" applyFill="1" applyBorder="1" applyAlignment="1" applyProtection="1">
      <alignment horizontal="center" vertical="center" wrapText="1" readingOrder="1"/>
      <protection hidden="1"/>
    </xf>
    <xf numFmtId="0" fontId="19" fillId="11" borderId="13" xfId="0" applyFont="1" applyFill="1" applyBorder="1" applyAlignment="1" applyProtection="1">
      <alignment horizontal="center" vertical="center" wrapText="1" readingOrder="1"/>
      <protection hidden="1"/>
    </xf>
    <xf numFmtId="0" fontId="19" fillId="11" borderId="14" xfId="0" applyFont="1" applyFill="1" applyBorder="1" applyAlignment="1" applyProtection="1">
      <alignment horizontal="center" vertical="center" wrapText="1" readingOrder="1"/>
      <protection hidden="1"/>
    </xf>
    <xf numFmtId="0" fontId="19" fillId="11" borderId="15" xfId="0" applyFont="1" applyFill="1" applyBorder="1" applyAlignment="1" applyProtection="1">
      <alignment horizontal="center" vertical="center" wrapText="1" readingOrder="1"/>
      <protection hidden="1"/>
    </xf>
    <xf numFmtId="0" fontId="6" fillId="0" borderId="71" xfId="0" applyFont="1" applyBorder="1" applyAlignment="1">
      <alignment horizontal="justify" vertical="center" wrapText="1"/>
    </xf>
    <xf numFmtId="0" fontId="48" fillId="0" borderId="2" xfId="0" applyFont="1" applyBorder="1" applyAlignment="1" applyProtection="1">
      <alignment horizontal="center" vertical="center"/>
      <protection locked="0"/>
    </xf>
    <xf numFmtId="0" fontId="1" fillId="3" borderId="0" xfId="0" applyFont="1" applyFill="1" applyAlignment="1">
      <alignment horizontal="center" vertical="center" wrapText="1"/>
    </xf>
    <xf numFmtId="0" fontId="1" fillId="3"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48" fillId="0" borderId="2" xfId="0" applyFont="1" applyBorder="1" applyAlignment="1" applyProtection="1">
      <alignment horizontal="justify" vertical="center" wrapText="1"/>
      <protection locked="0"/>
    </xf>
    <xf numFmtId="0" fontId="6" fillId="0" borderId="2" xfId="0" applyFont="1" applyBorder="1" applyAlignment="1" applyProtection="1">
      <alignment horizontal="center" vertical="center"/>
      <protection locked="0"/>
    </xf>
    <xf numFmtId="14" fontId="48" fillId="0" borderId="2" xfId="0" applyNumberFormat="1" applyFont="1" applyBorder="1" applyAlignment="1" applyProtection="1">
      <alignment horizontal="center" vertical="center" wrapText="1"/>
      <protection locked="0"/>
    </xf>
    <xf numFmtId="0" fontId="6" fillId="0" borderId="2" xfId="0" applyFont="1" applyBorder="1" applyAlignment="1">
      <alignment horizontal="center" vertical="center"/>
    </xf>
    <xf numFmtId="0" fontId="6" fillId="0" borderId="2" xfId="0" applyFont="1" applyBorder="1" applyAlignment="1" applyProtection="1">
      <alignment horizontal="center" vertical="center"/>
      <protection hidden="1"/>
    </xf>
    <xf numFmtId="0" fontId="6" fillId="0" borderId="2" xfId="0" applyFont="1" applyBorder="1" applyAlignment="1" applyProtection="1">
      <alignment horizontal="center" vertical="center" textRotation="90"/>
      <protection locked="0"/>
    </xf>
    <xf numFmtId="9" fontId="6" fillId="0" borderId="2" xfId="0" applyNumberFormat="1" applyFont="1" applyBorder="1" applyAlignment="1" applyProtection="1">
      <alignment horizontal="center" vertical="center"/>
      <protection hidden="1"/>
    </xf>
    <xf numFmtId="164" fontId="6" fillId="0" borderId="2" xfId="1" applyNumberFormat="1" applyFont="1" applyBorder="1" applyAlignment="1">
      <alignment horizontal="center" vertical="center"/>
    </xf>
    <xf numFmtId="0" fontId="57" fillId="0" borderId="2" xfId="0" applyFont="1" applyBorder="1" applyAlignment="1" applyProtection="1">
      <alignment horizontal="center" vertical="center" textRotation="90" wrapText="1"/>
      <protection hidden="1"/>
    </xf>
    <xf numFmtId="9" fontId="6" fillId="0" borderId="4" xfId="0" applyNumberFormat="1" applyFont="1" applyBorder="1" applyAlignment="1" applyProtection="1">
      <alignment horizontal="center" vertical="center"/>
      <protection hidden="1"/>
    </xf>
    <xf numFmtId="0" fontId="57" fillId="0" borderId="2" xfId="0" applyFont="1" applyBorder="1" applyAlignment="1" applyProtection="1">
      <alignment horizontal="center" vertical="center" textRotation="90"/>
      <protection hidden="1"/>
    </xf>
    <xf numFmtId="0" fontId="6" fillId="0" borderId="4" xfId="0" applyFont="1" applyBorder="1" applyAlignment="1" applyProtection="1">
      <alignment horizontal="center" vertical="center" textRotation="90"/>
      <protection locked="0"/>
    </xf>
    <xf numFmtId="14" fontId="6" fillId="0" borderId="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2" xfId="0" applyFont="1" applyBorder="1" applyAlignment="1" applyProtection="1">
      <alignment horizontal="justify" vertical="center"/>
      <protection locked="0"/>
    </xf>
    <xf numFmtId="164" fontId="6" fillId="0" borderId="2" xfId="1" applyNumberFormat="1" applyFont="1" applyFill="1" applyBorder="1" applyAlignment="1">
      <alignment horizontal="center" vertical="center"/>
    </xf>
    <xf numFmtId="0" fontId="6" fillId="0" borderId="71" xfId="0" applyFont="1" applyBorder="1" applyAlignment="1">
      <alignment horizontal="center" vertical="center"/>
    </xf>
    <xf numFmtId="164" fontId="6" fillId="3" borderId="2" xfId="1" applyNumberFormat="1" applyFont="1" applyFill="1" applyBorder="1" applyAlignment="1">
      <alignment horizontal="center" vertical="center"/>
    </xf>
    <xf numFmtId="165" fontId="48" fillId="0" borderId="2" xfId="0" applyNumberFormat="1" applyFont="1" applyBorder="1" applyAlignment="1" applyProtection="1">
      <alignment horizontal="center" vertical="center" wrapText="1"/>
      <protection locked="0"/>
    </xf>
    <xf numFmtId="0" fontId="48" fillId="0" borderId="2" xfId="0" applyFont="1" applyBorder="1" applyAlignment="1" applyProtection="1">
      <alignment horizontal="center" vertical="center" wrapText="1"/>
      <protection locked="0"/>
    </xf>
    <xf numFmtId="0" fontId="6" fillId="0" borderId="6" xfId="0" applyFont="1" applyBorder="1" applyAlignment="1" applyProtection="1">
      <alignment horizontal="justify" vertical="center" wrapText="1"/>
      <protection locked="0"/>
    </xf>
    <xf numFmtId="164" fontId="48" fillId="0" borderId="2" xfId="1" applyNumberFormat="1" applyFont="1" applyBorder="1" applyAlignment="1">
      <alignment horizontal="center" vertical="center"/>
    </xf>
    <xf numFmtId="164" fontId="48" fillId="0" borderId="2" xfId="1" applyNumberFormat="1" applyFont="1" applyFill="1" applyBorder="1" applyAlignment="1">
      <alignment horizontal="center" vertical="center"/>
    </xf>
    <xf numFmtId="0" fontId="6" fillId="0" borderId="2" xfId="0" quotePrefix="1" applyFont="1" applyBorder="1" applyAlignment="1" applyProtection="1">
      <alignment horizontal="justify" vertical="center" wrapText="1"/>
      <protection locked="0"/>
    </xf>
    <xf numFmtId="0" fontId="6" fillId="0" borderId="0" xfId="0" applyFont="1" applyAlignment="1">
      <alignment vertical="center"/>
    </xf>
    <xf numFmtId="0" fontId="6" fillId="3" borderId="2" xfId="0" applyFont="1" applyFill="1" applyBorder="1" applyAlignment="1" applyProtection="1">
      <alignment horizontal="center" vertical="center"/>
      <protection locked="0"/>
    </xf>
    <xf numFmtId="14" fontId="6" fillId="3" borderId="2" xfId="0" applyNumberFormat="1" applyFont="1" applyFill="1" applyBorder="1" applyAlignment="1" applyProtection="1">
      <alignment horizontal="center" vertical="center" wrapText="1"/>
      <protection locked="0"/>
    </xf>
    <xf numFmtId="0" fontId="57" fillId="3" borderId="2" xfId="0" applyFont="1" applyFill="1" applyBorder="1" applyAlignment="1" applyProtection="1">
      <alignment horizontal="center" vertical="center" textRotation="90" wrapText="1"/>
      <protection hidden="1"/>
    </xf>
    <xf numFmtId="9" fontId="6" fillId="3" borderId="4" xfId="0" applyNumberFormat="1" applyFont="1" applyFill="1" applyBorder="1" applyAlignment="1" applyProtection="1">
      <alignment horizontal="center" vertical="center"/>
      <protection hidden="1"/>
    </xf>
    <xf numFmtId="0" fontId="57" fillId="3" borderId="2" xfId="0" applyFont="1" applyFill="1" applyBorder="1" applyAlignment="1" applyProtection="1">
      <alignment horizontal="center" vertical="center" textRotation="90"/>
      <protection hidden="1"/>
    </xf>
    <xf numFmtId="0" fontId="6" fillId="3" borderId="4" xfId="0" applyFont="1" applyFill="1" applyBorder="1" applyAlignment="1" applyProtection="1">
      <alignment horizontal="center" vertical="center" textRotation="90"/>
      <protection locked="0"/>
    </xf>
    <xf numFmtId="0" fontId="6" fillId="3" borderId="2" xfId="0" applyFont="1" applyFill="1" applyBorder="1" applyAlignment="1" applyProtection="1">
      <alignment horizontal="justify" vertical="center" wrapText="1"/>
      <protection locked="0"/>
    </xf>
    <xf numFmtId="0" fontId="6" fillId="3" borderId="2" xfId="0" applyFont="1" applyFill="1" applyBorder="1" applyAlignment="1" applyProtection="1">
      <alignment horizontal="center" vertical="center"/>
      <protection hidden="1"/>
    </xf>
    <xf numFmtId="0" fontId="6" fillId="3" borderId="2" xfId="0" applyFont="1" applyFill="1" applyBorder="1" applyAlignment="1">
      <alignment horizontal="center" vertical="center"/>
    </xf>
    <xf numFmtId="0" fontId="6" fillId="3" borderId="2" xfId="0" applyFont="1" applyFill="1" applyBorder="1" applyAlignment="1" applyProtection="1">
      <alignment horizontal="center" vertical="center" textRotation="90"/>
      <protection locked="0"/>
    </xf>
    <xf numFmtId="9" fontId="6" fillId="3" borderId="2" xfId="0" applyNumberFormat="1" applyFont="1" applyFill="1" applyBorder="1" applyAlignment="1" applyProtection="1">
      <alignment horizontal="center" vertical="center"/>
      <protection hidden="1"/>
    </xf>
    <xf numFmtId="0" fontId="3" fillId="3" borderId="72" xfId="0" applyFont="1" applyFill="1" applyBorder="1" applyAlignment="1" applyProtection="1">
      <alignment horizontal="justify" vertical="center" wrapText="1"/>
      <protection locked="0"/>
    </xf>
    <xf numFmtId="0" fontId="3" fillId="3" borderId="72" xfId="0" applyFont="1" applyFill="1" applyBorder="1" applyAlignment="1" applyProtection="1">
      <alignment horizontal="center" vertical="center"/>
      <protection locked="0"/>
    </xf>
    <xf numFmtId="0" fontId="48" fillId="3" borderId="72" xfId="0" applyFont="1" applyFill="1" applyBorder="1" applyAlignment="1" applyProtection="1">
      <alignment horizontal="justify" vertical="center" wrapText="1"/>
      <protection locked="0"/>
    </xf>
    <xf numFmtId="0" fontId="48" fillId="3" borderId="2" xfId="0" applyFont="1" applyFill="1" applyBorder="1" applyAlignment="1" applyProtection="1">
      <alignment horizontal="justify" vertical="center" wrapText="1"/>
      <protection locked="0"/>
    </xf>
    <xf numFmtId="14" fontId="6" fillId="3" borderId="2" xfId="0" applyNumberFormat="1" applyFont="1" applyFill="1" applyBorder="1" applyAlignment="1" applyProtection="1">
      <alignment horizontal="center" vertical="center"/>
      <protection locked="0"/>
    </xf>
    <xf numFmtId="0" fontId="58" fillId="0" borderId="2" xfId="0" applyFont="1" applyBorder="1" applyAlignment="1" applyProtection="1">
      <alignment horizontal="center" vertical="center"/>
      <protection hidden="1"/>
    </xf>
    <xf numFmtId="0" fontId="58" fillId="0" borderId="2" xfId="0" applyFont="1" applyBorder="1" applyAlignment="1" applyProtection="1">
      <alignment horizontal="center" vertical="center" textRotation="90"/>
      <protection locked="0"/>
    </xf>
    <xf numFmtId="9" fontId="58" fillId="0" borderId="2" xfId="0" applyNumberFormat="1" applyFont="1" applyBorder="1" applyAlignment="1" applyProtection="1">
      <alignment horizontal="center" vertical="center"/>
      <protection hidden="1"/>
    </xf>
    <xf numFmtId="164" fontId="58" fillId="0" borderId="2" xfId="1" applyNumberFormat="1" applyFont="1" applyBorder="1" applyAlignment="1">
      <alignment horizontal="center" vertical="center"/>
    </xf>
    <xf numFmtId="0" fontId="59" fillId="0" borderId="2" xfId="0" applyFont="1" applyBorder="1" applyAlignment="1" applyProtection="1">
      <alignment horizontal="center" vertical="center" textRotation="90" wrapText="1"/>
      <protection hidden="1"/>
    </xf>
    <xf numFmtId="9" fontId="58" fillId="0" borderId="4" xfId="0" applyNumberFormat="1" applyFont="1" applyBorder="1" applyAlignment="1" applyProtection="1">
      <alignment horizontal="center" vertical="center"/>
      <protection hidden="1"/>
    </xf>
    <xf numFmtId="0" fontId="59" fillId="0" borderId="2" xfId="0" applyFont="1" applyBorder="1" applyAlignment="1" applyProtection="1">
      <alignment horizontal="center" vertical="center" textRotation="90"/>
      <protection hidden="1"/>
    </xf>
    <xf numFmtId="0" fontId="58" fillId="0" borderId="4" xfId="0" applyFont="1" applyBorder="1" applyAlignment="1" applyProtection="1">
      <alignment horizontal="center" vertical="center" textRotation="90"/>
      <protection locked="0"/>
    </xf>
    <xf numFmtId="0" fontId="58" fillId="0" borderId="2" xfId="0" applyFont="1" applyBorder="1" applyAlignment="1" applyProtection="1">
      <alignment horizontal="justify" vertical="center" wrapText="1"/>
      <protection locked="0"/>
    </xf>
    <xf numFmtId="0" fontId="58" fillId="0" borderId="2" xfId="0" applyFont="1" applyBorder="1" applyAlignment="1" applyProtection="1">
      <alignment horizontal="center" vertical="center"/>
      <protection locked="0"/>
    </xf>
    <xf numFmtId="14" fontId="58" fillId="0" borderId="2" xfId="0" applyNumberFormat="1" applyFont="1" applyBorder="1" applyAlignment="1" applyProtection="1">
      <alignment horizontal="center" vertical="center" wrapText="1"/>
      <protection locked="0"/>
    </xf>
    <xf numFmtId="0" fontId="48" fillId="0" borderId="2" xfId="0" applyFont="1" applyBorder="1" applyAlignment="1">
      <alignment horizontal="center" vertical="center"/>
    </xf>
    <xf numFmtId="0" fontId="48" fillId="0" borderId="2" xfId="0" applyFont="1" applyBorder="1" applyAlignment="1" applyProtection="1">
      <alignment horizontal="center" vertical="center"/>
      <protection hidden="1"/>
    </xf>
    <xf numFmtId="0" fontId="48" fillId="0" borderId="2" xfId="0" applyFont="1" applyBorder="1" applyAlignment="1" applyProtection="1">
      <alignment horizontal="center" vertical="center" textRotation="90"/>
      <protection locked="0"/>
    </xf>
    <xf numFmtId="9" fontId="48" fillId="0" borderId="2" xfId="0" applyNumberFormat="1" applyFont="1" applyBorder="1" applyAlignment="1" applyProtection="1">
      <alignment horizontal="center" vertical="center"/>
      <protection hidden="1"/>
    </xf>
    <xf numFmtId="0" fontId="52" fillId="0" borderId="2" xfId="0" applyFont="1" applyBorder="1" applyAlignment="1" applyProtection="1">
      <alignment horizontal="center" vertical="center" textRotation="90" wrapText="1"/>
      <protection hidden="1"/>
    </xf>
    <xf numFmtId="9" fontId="48" fillId="0" borderId="4" xfId="0" applyNumberFormat="1" applyFont="1" applyBorder="1" applyAlignment="1" applyProtection="1">
      <alignment horizontal="center" vertical="center"/>
      <protection hidden="1"/>
    </xf>
    <xf numFmtId="0" fontId="52" fillId="0" borderId="2" xfId="0" applyFont="1" applyBorder="1" applyAlignment="1" applyProtection="1">
      <alignment horizontal="center" vertical="center" textRotation="90"/>
      <protection hidden="1"/>
    </xf>
    <xf numFmtId="0" fontId="48" fillId="0" borderId="4" xfId="0" applyFont="1" applyBorder="1" applyAlignment="1" applyProtection="1">
      <alignment horizontal="center" vertical="center" textRotation="90"/>
      <protection locked="0"/>
    </xf>
    <xf numFmtId="0" fontId="4" fillId="0" borderId="0" xfId="0" applyFont="1" applyAlignment="1">
      <alignment horizontal="center" vertical="center"/>
    </xf>
    <xf numFmtId="0" fontId="6" fillId="0" borderId="0" xfId="0" applyFont="1" applyAlignment="1">
      <alignment horizontal="center" vertical="center"/>
    </xf>
    <xf numFmtId="0" fontId="58" fillId="0" borderId="0" xfId="0" applyFont="1" applyAlignment="1">
      <alignment vertical="center"/>
    </xf>
    <xf numFmtId="0" fontId="48" fillId="0" borderId="0" xfId="0" applyFont="1" applyAlignment="1">
      <alignment vertical="center"/>
    </xf>
    <xf numFmtId="0" fontId="6" fillId="3" borderId="0" xfId="0" applyFont="1" applyFill="1" applyAlignment="1">
      <alignment horizontal="center" vertical="center"/>
    </xf>
    <xf numFmtId="0" fontId="19" fillId="12" borderId="12" xfId="0" applyFont="1" applyFill="1" applyBorder="1" applyAlignment="1" applyProtection="1">
      <alignment horizontal="center" vertical="center" wrapText="1" readingOrder="1"/>
      <protection hidden="1"/>
    </xf>
    <xf numFmtId="0" fontId="19" fillId="12" borderId="19" xfId="0" applyFont="1" applyFill="1" applyBorder="1" applyAlignment="1" applyProtection="1">
      <alignment horizontal="center" vertical="center" wrapText="1" readingOrder="1"/>
      <protection hidden="1"/>
    </xf>
    <xf numFmtId="0" fontId="19" fillId="12" borderId="13" xfId="0" applyFont="1" applyFill="1" applyBorder="1" applyAlignment="1" applyProtection="1">
      <alignment horizontal="center" vertical="center" wrapText="1" readingOrder="1"/>
      <protection hidden="1"/>
    </xf>
    <xf numFmtId="0" fontId="19" fillId="12" borderId="14" xfId="0" applyFont="1" applyFill="1" applyBorder="1" applyAlignment="1" applyProtection="1">
      <alignment horizontal="center" vertical="center" wrapText="1" readingOrder="1"/>
      <protection hidden="1"/>
    </xf>
    <xf numFmtId="0" fontId="19" fillId="12" borderId="15" xfId="0" applyFont="1" applyFill="1" applyBorder="1" applyAlignment="1" applyProtection="1">
      <alignment horizontal="center" vertical="center" wrapText="1" readingOrder="1"/>
      <protection hidden="1"/>
    </xf>
    <xf numFmtId="0" fontId="19" fillId="13" borderId="12" xfId="0" applyFont="1" applyFill="1" applyBorder="1" applyAlignment="1" applyProtection="1">
      <alignment horizontal="center" vertical="center" wrapText="1" readingOrder="1"/>
      <protection hidden="1"/>
    </xf>
    <xf numFmtId="0" fontId="19" fillId="13" borderId="19" xfId="0" applyFont="1" applyFill="1" applyBorder="1" applyAlignment="1" applyProtection="1">
      <alignment horizontal="center" vertical="center" wrapText="1" readingOrder="1"/>
      <protection hidden="1"/>
    </xf>
    <xf numFmtId="0" fontId="19" fillId="13" borderId="13" xfId="0" applyFont="1" applyFill="1" applyBorder="1" applyAlignment="1" applyProtection="1">
      <alignment horizontal="center" vertical="center" wrapText="1" readingOrder="1"/>
      <protection hidden="1"/>
    </xf>
    <xf numFmtId="0" fontId="19" fillId="13" borderId="14" xfId="0" applyFont="1" applyFill="1" applyBorder="1" applyAlignment="1" applyProtection="1">
      <alignment horizontal="center" vertical="center" wrapText="1" readingOrder="1"/>
      <protection hidden="1"/>
    </xf>
    <xf numFmtId="0" fontId="19" fillId="13" borderId="15" xfId="0" applyFont="1" applyFill="1" applyBorder="1" applyAlignment="1" applyProtection="1">
      <alignment horizontal="center" vertical="center" wrapText="1" readingOrder="1"/>
      <protection hidden="1"/>
    </xf>
    <xf numFmtId="0" fontId="19" fillId="13" borderId="16" xfId="0" applyFont="1" applyFill="1" applyBorder="1" applyAlignment="1" applyProtection="1">
      <alignment horizontal="center" vertical="center" wrapText="1" readingOrder="1"/>
      <protection hidden="1"/>
    </xf>
    <xf numFmtId="0" fontId="19" fillId="13" borderId="18" xfId="0" applyFont="1" applyFill="1" applyBorder="1" applyAlignment="1" applyProtection="1">
      <alignment horizontal="center" vertical="center" wrapText="1" readingOrder="1"/>
      <protection hidden="1"/>
    </xf>
    <xf numFmtId="0" fontId="19" fillId="13" borderId="17" xfId="0" applyFont="1" applyFill="1" applyBorder="1" applyAlignment="1" applyProtection="1">
      <alignment horizontal="center" vertical="center" wrapText="1" readingOrder="1"/>
      <protection hidden="1"/>
    </xf>
    <xf numFmtId="0" fontId="19" fillId="5" borderId="12" xfId="0" applyFont="1" applyFill="1" applyBorder="1" applyAlignment="1" applyProtection="1">
      <alignment horizontal="center" vertical="center" wrapText="1" readingOrder="1"/>
      <protection hidden="1"/>
    </xf>
    <xf numFmtId="0" fontId="19" fillId="5" borderId="19" xfId="0" applyFont="1" applyFill="1" applyBorder="1" applyAlignment="1" applyProtection="1">
      <alignment horizontal="center" vertical="center" wrapText="1" readingOrder="1"/>
      <protection hidden="1"/>
    </xf>
    <xf numFmtId="0" fontId="19" fillId="5" borderId="13" xfId="0" applyFont="1" applyFill="1" applyBorder="1" applyAlignment="1" applyProtection="1">
      <alignment horizontal="center" vertical="center" wrapText="1" readingOrder="1"/>
      <protection hidden="1"/>
    </xf>
    <xf numFmtId="0" fontId="19" fillId="5" borderId="14" xfId="0" applyFont="1" applyFill="1" applyBorder="1" applyAlignment="1" applyProtection="1">
      <alignment horizontal="center" vertical="center" wrapText="1" readingOrder="1"/>
      <protection hidden="1"/>
    </xf>
    <xf numFmtId="0" fontId="19" fillId="5" borderId="15" xfId="0" applyFont="1" applyFill="1" applyBorder="1" applyAlignment="1" applyProtection="1">
      <alignment horizontal="center" vertical="center" wrapText="1" readingOrder="1"/>
      <protection hidden="1"/>
    </xf>
    <xf numFmtId="0" fontId="19" fillId="5" borderId="16" xfId="0" applyFont="1" applyFill="1" applyBorder="1" applyAlignment="1" applyProtection="1">
      <alignment horizontal="center" vertical="center" wrapText="1" readingOrder="1"/>
      <protection hidden="1"/>
    </xf>
    <xf numFmtId="0" fontId="19" fillId="5" borderId="18" xfId="0" applyFont="1" applyFill="1" applyBorder="1" applyAlignment="1" applyProtection="1">
      <alignment horizontal="center" vertical="center" wrapText="1" readingOrder="1"/>
      <protection hidden="1"/>
    </xf>
    <xf numFmtId="0" fontId="19" fillId="5" borderId="17" xfId="0" applyFont="1" applyFill="1" applyBorder="1" applyAlignment="1" applyProtection="1">
      <alignment horizontal="center" vertical="center" wrapText="1" readingOrder="1"/>
      <protection hidden="1"/>
    </xf>
    <xf numFmtId="0" fontId="19" fillId="12" borderId="16" xfId="0" applyFont="1" applyFill="1" applyBorder="1" applyAlignment="1" applyProtection="1">
      <alignment horizontal="center" vertical="center" wrapText="1" readingOrder="1"/>
      <protection hidden="1"/>
    </xf>
    <xf numFmtId="0" fontId="19" fillId="12" borderId="18" xfId="0" applyFont="1" applyFill="1" applyBorder="1" applyAlignment="1" applyProtection="1">
      <alignment horizontal="center" vertical="center" wrapText="1" readingOrder="1"/>
      <protection hidden="1"/>
    </xf>
    <xf numFmtId="0" fontId="19" fillId="12" borderId="17" xfId="0" applyFont="1" applyFill="1" applyBorder="1" applyAlignment="1" applyProtection="1">
      <alignment horizontal="center" vertical="center" wrapText="1" readingOrder="1"/>
      <protection hidden="1"/>
    </xf>
    <xf numFmtId="0" fontId="58" fillId="0" borderId="2" xfId="0" applyFont="1" applyBorder="1" applyAlignment="1" applyProtection="1">
      <alignment horizontal="center" vertical="center" wrapText="1"/>
      <protection locked="0"/>
    </xf>
    <xf numFmtId="9" fontId="6" fillId="0" borderId="4" xfId="0" applyNumberFormat="1" applyFont="1" applyBorder="1" applyAlignment="1" applyProtection="1">
      <alignment horizontal="center" vertical="center" wrapText="1"/>
      <protection hidden="1"/>
    </xf>
    <xf numFmtId="9" fontId="6" fillId="0" borderId="8" xfId="0" applyNumberFormat="1" applyFont="1" applyBorder="1" applyAlignment="1" applyProtection="1">
      <alignment horizontal="center" vertical="center" wrapText="1"/>
      <protection hidden="1"/>
    </xf>
    <xf numFmtId="9" fontId="48" fillId="0" borderId="4" xfId="0" applyNumberFormat="1" applyFont="1" applyBorder="1" applyAlignment="1" applyProtection="1">
      <alignment horizontal="center" vertical="center" wrapText="1"/>
      <protection hidden="1"/>
    </xf>
    <xf numFmtId="9" fontId="48" fillId="0" borderId="8" xfId="0" applyNumberFormat="1" applyFont="1" applyBorder="1" applyAlignment="1" applyProtection="1">
      <alignment horizontal="center" vertical="center" wrapText="1"/>
      <protection hidden="1"/>
    </xf>
    <xf numFmtId="9" fontId="6" fillId="3" borderId="4" xfId="0" applyNumberFormat="1" applyFont="1" applyFill="1" applyBorder="1" applyAlignment="1" applyProtection="1">
      <alignment horizontal="center" vertical="center" wrapText="1"/>
      <protection hidden="1"/>
    </xf>
    <xf numFmtId="9" fontId="6" fillId="3" borderId="8" xfId="0" applyNumberFormat="1" applyFont="1" applyFill="1" applyBorder="1" applyAlignment="1" applyProtection="1">
      <alignment horizontal="center" vertical="center" wrapText="1"/>
      <protection hidden="1"/>
    </xf>
    <xf numFmtId="14" fontId="3" fillId="3" borderId="72" xfId="0" applyNumberFormat="1" applyFont="1" applyFill="1" applyBorder="1" applyAlignment="1" applyProtection="1">
      <alignment horizontal="center" vertical="center" wrapText="1"/>
      <protection locked="0"/>
    </xf>
    <xf numFmtId="0" fontId="6" fillId="0" borderId="0" xfId="0" applyFont="1" applyAlignment="1">
      <alignment horizontal="justify" vertical="center"/>
    </xf>
    <xf numFmtId="0" fontId="6" fillId="3" borderId="2" xfId="0" applyFont="1" applyFill="1" applyBorder="1" applyAlignment="1" applyProtection="1">
      <alignment horizontal="center" vertical="center" wrapText="1"/>
      <protection locked="0"/>
    </xf>
    <xf numFmtId="0" fontId="4" fillId="17" borderId="0" xfId="0" applyFont="1" applyFill="1" applyAlignment="1">
      <alignment horizontal="center" vertical="center" wrapText="1"/>
    </xf>
    <xf numFmtId="0" fontId="4" fillId="17" borderId="0" xfId="0" applyFont="1" applyFill="1" applyAlignment="1">
      <alignment horizontal="center" vertical="center"/>
    </xf>
    <xf numFmtId="0" fontId="1" fillId="0" borderId="73" xfId="0" applyFont="1" applyBorder="1" applyAlignment="1">
      <alignment horizontal="justify" vertical="center" wrapText="1"/>
    </xf>
    <xf numFmtId="0" fontId="19" fillId="13" borderId="0" xfId="0" applyFont="1" applyFill="1" applyAlignment="1" applyProtection="1">
      <alignment horizontal="center" vertical="center" wrapText="1" readingOrder="1"/>
      <protection hidden="1"/>
    </xf>
    <xf numFmtId="0" fontId="19" fillId="12" borderId="0" xfId="0" applyFont="1" applyFill="1" applyAlignment="1" applyProtection="1">
      <alignment horizontal="center" vertical="center" wrapText="1" readingOrder="1"/>
      <protection hidden="1"/>
    </xf>
    <xf numFmtId="0" fontId="19" fillId="11" borderId="0" xfId="0" applyFont="1" applyFill="1" applyAlignment="1" applyProtection="1">
      <alignment horizontal="center" vertical="center" wrapText="1" readingOrder="1"/>
      <protection hidden="1"/>
    </xf>
    <xf numFmtId="0" fontId="19" fillId="11" borderId="16" xfId="0" applyFont="1" applyFill="1" applyBorder="1" applyAlignment="1" applyProtection="1">
      <alignment horizontal="center" vertical="center" wrapText="1" readingOrder="1"/>
      <protection hidden="1"/>
    </xf>
    <xf numFmtId="0" fontId="19" fillId="11" borderId="18" xfId="0" applyFont="1" applyFill="1" applyBorder="1" applyAlignment="1" applyProtection="1">
      <alignment horizontal="center" vertical="center" wrapText="1" readingOrder="1"/>
      <protection hidden="1"/>
    </xf>
    <xf numFmtId="0" fontId="19" fillId="11" borderId="17" xfId="0" applyFont="1" applyFill="1" applyBorder="1" applyAlignment="1" applyProtection="1">
      <alignment horizontal="center" vertical="center" wrapText="1" readingOrder="1"/>
      <protection hidden="1"/>
    </xf>
    <xf numFmtId="0" fontId="19" fillId="5" borderId="0" xfId="0" applyFont="1" applyFill="1" applyAlignment="1" applyProtection="1">
      <alignment horizontal="center" vertical="center" wrapText="1" readingOrder="1"/>
      <protection hidden="1"/>
    </xf>
    <xf numFmtId="0" fontId="27" fillId="3" borderId="0" xfId="0" applyFont="1" applyFill="1" applyAlignment="1">
      <alignment horizontal="justify" vertical="center" wrapText="1" readingOrder="1"/>
    </xf>
    <xf numFmtId="0" fontId="60" fillId="3" borderId="0" xfId="0" applyFont="1" applyFill="1" applyAlignment="1">
      <alignment vertical="center"/>
    </xf>
    <xf numFmtId="0" fontId="26" fillId="3" borderId="0" xfId="0" applyFont="1" applyFill="1"/>
    <xf numFmtId="0" fontId="57" fillId="2" borderId="4" xfId="0" applyFont="1" applyFill="1" applyBorder="1" applyAlignment="1">
      <alignment horizontal="center" vertical="center" wrapText="1"/>
    </xf>
    <xf numFmtId="0" fontId="6" fillId="0" borderId="25" xfId="0" applyFont="1" applyBorder="1" applyAlignment="1">
      <alignment vertical="center" wrapText="1"/>
    </xf>
    <xf numFmtId="9" fontId="6" fillId="0" borderId="25" xfId="0" applyNumberFormat="1" applyFont="1" applyBorder="1" applyAlignment="1">
      <alignment horizontal="center" vertical="center"/>
    </xf>
    <xf numFmtId="0" fontId="6" fillId="0" borderId="25" xfId="0" applyFont="1" applyBorder="1" applyAlignment="1">
      <alignment vertical="center"/>
    </xf>
    <xf numFmtId="0" fontId="6" fillId="0" borderId="25" xfId="0" applyFont="1" applyBorder="1" applyAlignment="1">
      <alignment horizontal="center" vertical="center"/>
    </xf>
    <xf numFmtId="14" fontId="6" fillId="0" borderId="25" xfId="0" applyNumberFormat="1" applyFont="1" applyBorder="1" applyAlignment="1" applyProtection="1">
      <alignment horizontal="center" vertical="center" wrapText="1"/>
      <protection locked="0"/>
    </xf>
    <xf numFmtId="9" fontId="6" fillId="0" borderId="25" xfId="0" applyNumberFormat="1" applyFont="1" applyBorder="1" applyAlignment="1">
      <alignment vertical="center"/>
    </xf>
    <xf numFmtId="0" fontId="61" fillId="0" borderId="71" xfId="0" applyFont="1" applyBorder="1" applyAlignment="1">
      <alignment horizontal="left" vertical="center" wrapText="1"/>
    </xf>
    <xf numFmtId="0" fontId="61" fillId="0" borderId="71" xfId="0" applyFont="1" applyBorder="1" applyAlignment="1">
      <alignment horizontal="center" vertical="center"/>
    </xf>
    <xf numFmtId="0" fontId="61" fillId="19" borderId="71" xfId="0" applyFont="1" applyFill="1" applyBorder="1" applyAlignment="1">
      <alignment horizontal="left" vertical="center" wrapText="1"/>
    </xf>
    <xf numFmtId="0" fontId="61" fillId="19" borderId="71" xfId="0" applyFont="1" applyFill="1" applyBorder="1" applyAlignment="1">
      <alignment horizontal="center" vertical="center"/>
    </xf>
    <xf numFmtId="0" fontId="61" fillId="19" borderId="71" xfId="0" applyFont="1" applyFill="1" applyBorder="1" applyAlignment="1">
      <alignment horizontal="center" vertical="center" textRotation="90"/>
    </xf>
    <xf numFmtId="9" fontId="61" fillId="19" borderId="71" xfId="0" applyNumberFormat="1" applyFont="1" applyFill="1" applyBorder="1" applyAlignment="1">
      <alignment horizontal="center" vertical="center"/>
    </xf>
    <xf numFmtId="164" fontId="61" fillId="19" borderId="71" xfId="0" applyNumberFormat="1" applyFont="1" applyFill="1" applyBorder="1" applyAlignment="1">
      <alignment horizontal="center" vertical="center"/>
    </xf>
    <xf numFmtId="0" fontId="65" fillId="19" borderId="71" xfId="0" applyFont="1" applyFill="1" applyBorder="1" applyAlignment="1">
      <alignment horizontal="center" vertical="center" textRotation="90" wrapText="1"/>
    </xf>
    <xf numFmtId="9" fontId="61" fillId="19" borderId="74" xfId="0" applyNumberFormat="1" applyFont="1" applyFill="1" applyBorder="1" applyAlignment="1">
      <alignment horizontal="center" vertical="center"/>
    </xf>
    <xf numFmtId="0" fontId="65" fillId="19" borderId="71" xfId="0" applyFont="1" applyFill="1" applyBorder="1" applyAlignment="1">
      <alignment horizontal="center" vertical="center" textRotation="90"/>
    </xf>
    <xf numFmtId="0" fontId="61" fillId="19" borderId="74" xfId="0" applyFont="1" applyFill="1" applyBorder="1" applyAlignment="1">
      <alignment horizontal="center" vertical="center" textRotation="90"/>
    </xf>
    <xf numFmtId="166" fontId="61" fillId="19" borderId="71" xfId="0" applyNumberFormat="1" applyFont="1" applyFill="1" applyBorder="1" applyAlignment="1">
      <alignment horizontal="center" vertical="center" wrapText="1"/>
    </xf>
    <xf numFmtId="9" fontId="61" fillId="0" borderId="71" xfId="0" applyNumberFormat="1" applyFont="1" applyBorder="1" applyAlignment="1">
      <alignment horizontal="center" vertical="center"/>
    </xf>
    <xf numFmtId="0" fontId="61" fillId="0" borderId="71" xfId="0" applyFont="1" applyBorder="1" applyAlignment="1">
      <alignment horizontal="center" vertical="center" textRotation="90"/>
    </xf>
    <xf numFmtId="164" fontId="61" fillId="0" borderId="71" xfId="0" applyNumberFormat="1" applyFont="1" applyBorder="1" applyAlignment="1">
      <alignment horizontal="center" vertical="center"/>
    </xf>
    <xf numFmtId="0" fontId="65" fillId="0" borderId="71" xfId="0" applyFont="1" applyBorder="1" applyAlignment="1">
      <alignment horizontal="center" vertical="center" textRotation="90" wrapText="1"/>
    </xf>
    <xf numFmtId="9" fontId="61" fillId="0" borderId="74" xfId="0" applyNumberFormat="1" applyFont="1" applyBorder="1" applyAlignment="1">
      <alignment horizontal="center" vertical="center"/>
    </xf>
    <xf numFmtId="0" fontId="65" fillId="0" borderId="71" xfId="0" applyFont="1" applyBorder="1" applyAlignment="1">
      <alignment horizontal="center" vertical="center" textRotation="90"/>
    </xf>
    <xf numFmtId="0" fontId="61" fillId="0" borderId="74" xfId="0" applyFont="1" applyBorder="1" applyAlignment="1">
      <alignment horizontal="center" vertical="center" textRotation="90"/>
    </xf>
    <xf numFmtId="166" fontId="61" fillId="0" borderId="71" xfId="0" applyNumberFormat="1" applyFont="1" applyBorder="1" applyAlignment="1">
      <alignment horizontal="center" vertical="center" wrapText="1"/>
    </xf>
    <xf numFmtId="14" fontId="6" fillId="18" borderId="25" xfId="0" applyNumberFormat="1" applyFont="1" applyFill="1" applyBorder="1" applyAlignment="1" applyProtection="1">
      <alignment horizontal="center" vertical="center" wrapText="1"/>
      <protection locked="0"/>
    </xf>
    <xf numFmtId="14" fontId="6" fillId="0" borderId="25" xfId="0" applyNumberFormat="1" applyFont="1" applyFill="1" applyBorder="1" applyAlignment="1" applyProtection="1">
      <alignment horizontal="center" vertical="center" wrapText="1"/>
      <protection locked="0"/>
    </xf>
    <xf numFmtId="9" fontId="6" fillId="0" borderId="25" xfId="0" applyNumberFormat="1" applyFont="1" applyFill="1" applyBorder="1" applyAlignment="1" applyProtection="1">
      <alignment horizontal="center" vertical="center" wrapText="1"/>
      <protection locked="0"/>
    </xf>
    <xf numFmtId="0" fontId="6" fillId="0" borderId="25" xfId="0" applyFont="1" applyBorder="1" applyAlignment="1">
      <alignment horizontal="left" vertical="center" wrapText="1"/>
    </xf>
    <xf numFmtId="0" fontId="6" fillId="0" borderId="25" xfId="0" quotePrefix="1" applyFont="1" applyBorder="1" applyAlignment="1">
      <alignment vertical="center" wrapText="1"/>
    </xf>
    <xf numFmtId="9" fontId="6" fillId="0" borderId="25" xfId="1" applyFont="1" applyBorder="1" applyAlignment="1">
      <alignment horizontal="center" vertical="center" wrapText="1"/>
    </xf>
    <xf numFmtId="166" fontId="6" fillId="0" borderId="25" xfId="0" applyNumberFormat="1" applyFont="1" applyBorder="1" applyAlignment="1">
      <alignment horizontal="center" vertical="center" wrapText="1"/>
    </xf>
    <xf numFmtId="0" fontId="48" fillId="0" borderId="25" xfId="0" applyFont="1" applyBorder="1" applyAlignment="1">
      <alignment vertical="center" wrapText="1"/>
    </xf>
    <xf numFmtId="0" fontId="6" fillId="0" borderId="25" xfId="0" applyFont="1" applyBorder="1" applyAlignment="1" applyProtection="1">
      <alignment horizontal="justify" vertical="center" wrapText="1"/>
      <protection locked="0"/>
    </xf>
    <xf numFmtId="0" fontId="6" fillId="0" borderId="25" xfId="0" quotePrefix="1" applyFont="1" applyBorder="1" applyAlignment="1">
      <alignment horizontal="left" vertical="center" wrapText="1"/>
    </xf>
    <xf numFmtId="9" fontId="6" fillId="0" borderId="25" xfId="0" applyNumberFormat="1" applyFont="1" applyBorder="1" applyAlignment="1" applyProtection="1">
      <alignment horizontal="center" vertical="center" wrapText="1"/>
      <protection locked="0"/>
    </xf>
    <xf numFmtId="14" fontId="6" fillId="0" borderId="25" xfId="0" applyNumberFormat="1" applyFont="1" applyBorder="1" applyAlignment="1" applyProtection="1">
      <alignment horizontal="left" vertical="center" wrapText="1"/>
      <protection locked="0"/>
    </xf>
    <xf numFmtId="14" fontId="48" fillId="0" borderId="25" xfId="0" quotePrefix="1" applyNumberFormat="1" applyFont="1" applyBorder="1" applyAlignment="1" applyProtection="1">
      <alignment horizontal="left" vertical="center" wrapText="1"/>
      <protection locked="0"/>
    </xf>
    <xf numFmtId="0" fontId="48" fillId="0" borderId="25" xfId="0" applyFont="1" applyBorder="1" applyAlignment="1">
      <alignment vertical="center"/>
    </xf>
    <xf numFmtId="0" fontId="48" fillId="0" borderId="25" xfId="0" applyFont="1" applyBorder="1" applyAlignment="1">
      <alignment horizontal="center" vertical="center"/>
    </xf>
    <xf numFmtId="0" fontId="61" fillId="0" borderId="25" xfId="0" applyFont="1" applyBorder="1" applyAlignment="1">
      <alignment horizontal="left" vertical="center" wrapText="1"/>
    </xf>
    <xf numFmtId="0" fontId="61" fillId="0" borderId="25" xfId="0" quotePrefix="1" applyFont="1" applyBorder="1" applyAlignment="1">
      <alignment horizontal="center" vertical="center" wrapText="1"/>
    </xf>
    <xf numFmtId="9" fontId="61" fillId="0" borderId="25" xfId="0" applyNumberFormat="1" applyFont="1" applyBorder="1" applyAlignment="1">
      <alignment horizontal="center" vertical="center" wrapText="1"/>
    </xf>
    <xf numFmtId="0" fontId="61" fillId="0" borderId="25" xfId="0" applyFont="1" applyBorder="1" applyAlignment="1">
      <alignment horizontal="center" vertical="center" wrapText="1"/>
    </xf>
    <xf numFmtId="9" fontId="61" fillId="0" borderId="25" xfId="0" applyNumberFormat="1" applyFont="1" applyBorder="1" applyAlignment="1">
      <alignment horizontal="center" vertical="center"/>
    </xf>
    <xf numFmtId="0" fontId="61" fillId="0" borderId="25" xfId="0" applyFont="1" applyBorder="1" applyAlignment="1">
      <alignment horizontal="center" vertical="center"/>
    </xf>
    <xf numFmtId="0" fontId="48" fillId="0" borderId="25" xfId="0" applyFont="1" applyBorder="1" applyAlignment="1" applyProtection="1">
      <alignment horizontal="justify" vertical="center" wrapText="1"/>
      <protection locked="0"/>
    </xf>
    <xf numFmtId="0" fontId="6" fillId="0" borderId="25" xfId="0" applyFont="1" applyBorder="1" applyAlignment="1" applyProtection="1">
      <alignment horizontal="center" vertical="center"/>
      <protection locked="0"/>
    </xf>
    <xf numFmtId="0" fontId="68" fillId="0" borderId="25" xfId="0" applyFont="1" applyBorder="1" applyAlignment="1">
      <alignment vertical="center" wrapText="1"/>
    </xf>
    <xf numFmtId="0" fontId="69" fillId="0" borderId="25" xfId="0" applyFont="1" applyBorder="1" applyAlignment="1">
      <alignment horizontal="center" vertical="center" wrapText="1"/>
    </xf>
    <xf numFmtId="9" fontId="69" fillId="0" borderId="25" xfId="0" applyNumberFormat="1" applyFont="1" applyBorder="1" applyAlignment="1">
      <alignment horizontal="center" vertical="center" wrapText="1"/>
    </xf>
    <xf numFmtId="0" fontId="69" fillId="0" borderId="25" xfId="0" applyFont="1" applyBorder="1" applyAlignment="1">
      <alignment vertical="center" wrapText="1"/>
    </xf>
    <xf numFmtId="0" fontId="6" fillId="0" borderId="25" xfId="0" applyFont="1" applyBorder="1" applyAlignment="1">
      <alignment horizontal="center" vertical="center" wrapText="1"/>
    </xf>
    <xf numFmtId="9" fontId="6" fillId="0" borderId="25" xfId="0" applyNumberFormat="1" applyFont="1" applyBorder="1" applyAlignment="1">
      <alignment horizontal="center" vertical="center" wrapText="1"/>
    </xf>
    <xf numFmtId="0" fontId="61" fillId="0" borderId="25" xfId="0" applyFont="1" applyBorder="1" applyAlignment="1">
      <alignment vertical="center" wrapText="1"/>
    </xf>
    <xf numFmtId="0" fontId="62" fillId="0" borderId="25" xfId="0" applyFont="1" applyBorder="1" applyAlignment="1">
      <alignment vertical="center" wrapText="1"/>
    </xf>
    <xf numFmtId="0" fontId="6" fillId="0" borderId="25" xfId="0" applyFont="1" applyFill="1" applyBorder="1" applyAlignment="1">
      <alignment horizontal="center" vertical="center" wrapText="1"/>
    </xf>
    <xf numFmtId="9" fontId="6" fillId="0" borderId="25" xfId="0" applyNumberFormat="1" applyFont="1" applyFill="1" applyBorder="1" applyAlignment="1">
      <alignment horizontal="center" vertical="center"/>
    </xf>
    <xf numFmtId="0" fontId="48" fillId="0" borderId="25" xfId="0" applyFont="1" applyFill="1" applyBorder="1" applyAlignment="1">
      <alignment horizontal="center" vertical="center" wrapText="1"/>
    </xf>
    <xf numFmtId="0" fontId="6" fillId="0" borderId="25" xfId="0" applyFont="1" applyFill="1" applyBorder="1" applyAlignment="1">
      <alignment horizontal="center" vertical="center"/>
    </xf>
    <xf numFmtId="0" fontId="6" fillId="0" borderId="25" xfId="0" applyFont="1" applyFill="1" applyBorder="1" applyAlignment="1">
      <alignment vertical="center" wrapText="1"/>
    </xf>
    <xf numFmtId="9" fontId="6" fillId="0" borderId="25" xfId="0" applyNumberFormat="1" applyFont="1" applyFill="1" applyBorder="1" applyAlignment="1">
      <alignment vertical="center"/>
    </xf>
    <xf numFmtId="0" fontId="0" fillId="0" borderId="25" xfId="0" applyBorder="1" applyAlignment="1">
      <alignment vertical="center" wrapText="1"/>
    </xf>
    <xf numFmtId="0" fontId="0" fillId="0" borderId="25" xfId="0" applyBorder="1" applyAlignment="1">
      <alignment horizontal="center" vertical="center" wrapText="1"/>
    </xf>
    <xf numFmtId="0" fontId="1" fillId="0" borderId="25" xfId="0" applyFont="1" applyBorder="1" applyAlignment="1">
      <alignment horizontal="center" wrapText="1"/>
    </xf>
    <xf numFmtId="0" fontId="1" fillId="0" borderId="25" xfId="0" applyFont="1" applyBorder="1" applyAlignment="1">
      <alignment vertical="center" wrapText="1"/>
    </xf>
    <xf numFmtId="0" fontId="1" fillId="0" borderId="25" xfId="0" applyFont="1" applyBorder="1" applyAlignment="1">
      <alignment horizontal="center" vertical="center" wrapText="1"/>
    </xf>
    <xf numFmtId="9" fontId="0" fillId="0" borderId="25" xfId="0" applyNumberFormat="1" applyBorder="1" applyAlignment="1">
      <alignment vertical="center" wrapText="1"/>
    </xf>
    <xf numFmtId="0" fontId="6" fillId="0" borderId="25" xfId="0" quotePrefix="1" applyFont="1" applyBorder="1" applyAlignment="1" applyProtection="1">
      <alignment horizontal="justify" vertical="center" wrapText="1"/>
      <protection locked="0"/>
    </xf>
    <xf numFmtId="9" fontId="1" fillId="0" borderId="25" xfId="0" applyNumberFormat="1" applyFont="1" applyBorder="1" applyAlignment="1">
      <alignment horizontal="center" vertical="center" wrapText="1"/>
    </xf>
    <xf numFmtId="0" fontId="1" fillId="20" borderId="25" xfId="0" applyFont="1" applyFill="1" applyBorder="1" applyAlignment="1">
      <alignment horizontal="center" vertical="center" wrapText="1"/>
    </xf>
    <xf numFmtId="9" fontId="1" fillId="20" borderId="25" xfId="0" applyNumberFormat="1" applyFont="1" applyFill="1" applyBorder="1" applyAlignment="1">
      <alignment horizontal="center" vertical="center" wrapText="1"/>
    </xf>
    <xf numFmtId="0" fontId="0" fillId="20" borderId="25" xfId="0" applyFill="1" applyBorder="1" applyAlignment="1">
      <alignment vertical="center" wrapText="1"/>
    </xf>
    <xf numFmtId="0" fontId="6" fillId="3" borderId="25" xfId="0" applyFont="1" applyFill="1" applyBorder="1" applyAlignment="1" applyProtection="1">
      <alignment horizontal="justify" vertical="center" wrapText="1"/>
      <protection locked="0"/>
    </xf>
    <xf numFmtId="0" fontId="48" fillId="3" borderId="25" xfId="0" applyFont="1" applyFill="1" applyBorder="1" applyAlignment="1" applyProtection="1">
      <alignment horizontal="justify" vertical="center" wrapText="1"/>
      <protection locked="0"/>
    </xf>
    <xf numFmtId="0" fontId="1" fillId="0" borderId="25" xfId="0" applyFont="1" applyBorder="1" applyAlignment="1">
      <alignment horizontal="justify" vertical="center" wrapText="1"/>
    </xf>
    <xf numFmtId="0" fontId="63" fillId="0" borderId="25" xfId="0" applyFont="1" applyFill="1" applyBorder="1" applyAlignment="1">
      <alignment wrapText="1"/>
    </xf>
    <xf numFmtId="0" fontId="70" fillId="3" borderId="25" xfId="0" applyFont="1" applyFill="1" applyBorder="1" applyAlignment="1" applyProtection="1">
      <alignment horizontal="justify" vertical="center" wrapText="1"/>
      <protection locked="0"/>
    </xf>
    <xf numFmtId="0" fontId="65" fillId="0" borderId="25" xfId="0" applyFont="1" applyBorder="1" applyAlignment="1">
      <alignment horizontal="center" vertical="center" wrapText="1"/>
    </xf>
    <xf numFmtId="14" fontId="6" fillId="0" borderId="25" xfId="0" quotePrefix="1" applyNumberFormat="1" applyFont="1" applyFill="1" applyBorder="1" applyAlignment="1" applyProtection="1">
      <alignment horizontal="center" vertical="center" wrapText="1"/>
      <protection locked="0"/>
    </xf>
    <xf numFmtId="14" fontId="6" fillId="0" borderId="25" xfId="0" applyNumberFormat="1" applyFont="1" applyFill="1" applyBorder="1" applyAlignment="1" applyProtection="1">
      <alignment horizontal="center" vertical="center" wrapText="1"/>
      <protection locked="0"/>
    </xf>
    <xf numFmtId="14" fontId="71" fillId="9" borderId="25" xfId="0" applyNumberFormat="1" applyFont="1" applyFill="1" applyBorder="1" applyAlignment="1" applyProtection="1">
      <alignment horizontal="center" vertical="center" wrapText="1"/>
      <protection locked="0"/>
    </xf>
    <xf numFmtId="0" fontId="54" fillId="3" borderId="56" xfId="2" applyFont="1" applyFill="1" applyBorder="1" applyAlignment="1">
      <alignment horizontal="justify" vertical="center" wrapText="1"/>
    </xf>
    <xf numFmtId="0" fontId="54" fillId="3" borderId="57" xfId="2" applyFont="1" applyFill="1" applyBorder="1" applyAlignment="1">
      <alignment horizontal="justify" vertical="center" wrapText="1"/>
    </xf>
    <xf numFmtId="0" fontId="53" fillId="3" borderId="63" xfId="0" applyFont="1" applyFill="1" applyBorder="1" applyAlignment="1">
      <alignment horizontal="left" vertical="center" wrapText="1"/>
    </xf>
    <xf numFmtId="0" fontId="53" fillId="3" borderId="64" xfId="0" applyFont="1" applyFill="1" applyBorder="1" applyAlignment="1">
      <alignment horizontal="left" vertical="center" wrapText="1"/>
    </xf>
    <xf numFmtId="0" fontId="53" fillId="3" borderId="50" xfId="3" applyFont="1" applyFill="1" applyBorder="1" applyAlignment="1">
      <alignment horizontal="left" vertical="top" wrapText="1" readingOrder="1"/>
    </xf>
    <xf numFmtId="0" fontId="53" fillId="3" borderId="51" xfId="3" applyFont="1" applyFill="1" applyBorder="1" applyAlignment="1">
      <alignment horizontal="left" vertical="top" wrapText="1" readingOrder="1"/>
    </xf>
    <xf numFmtId="0" fontId="54" fillId="3" borderId="52" xfId="2" applyFont="1" applyFill="1" applyBorder="1" applyAlignment="1">
      <alignment horizontal="justify" vertical="center" wrapText="1"/>
    </xf>
    <xf numFmtId="0" fontId="54" fillId="3" borderId="53" xfId="2" applyFont="1" applyFill="1" applyBorder="1" applyAlignment="1">
      <alignment horizontal="justify" vertical="center" wrapText="1"/>
    </xf>
    <xf numFmtId="0" fontId="53" fillId="3" borderId="54" xfId="0" applyFont="1" applyFill="1" applyBorder="1" applyAlignment="1">
      <alignment horizontal="left" vertical="center" wrapText="1"/>
    </xf>
    <xf numFmtId="0" fontId="53" fillId="3" borderId="55" xfId="0" applyFont="1" applyFill="1" applyBorder="1" applyAlignment="1">
      <alignment horizontal="left" vertical="center" wrapText="1"/>
    </xf>
    <xf numFmtId="0" fontId="48" fillId="3" borderId="14" xfId="2" applyFont="1" applyFill="1" applyBorder="1" applyAlignment="1">
      <alignment horizontal="left" vertical="top" wrapText="1"/>
    </xf>
    <xf numFmtId="0" fontId="48" fillId="3" borderId="0" xfId="2" applyFont="1" applyFill="1" applyAlignment="1">
      <alignment horizontal="left" vertical="top" wrapText="1"/>
    </xf>
    <xf numFmtId="0" fontId="48" fillId="3" borderId="15" xfId="2" applyFont="1" applyFill="1" applyBorder="1" applyAlignment="1">
      <alignment horizontal="left" vertical="top" wrapText="1"/>
    </xf>
    <xf numFmtId="0" fontId="53" fillId="3" borderId="65" xfId="0" applyFont="1" applyFill="1" applyBorder="1" applyAlignment="1">
      <alignment horizontal="left" vertical="center" wrapText="1"/>
    </xf>
    <xf numFmtId="0" fontId="53" fillId="3" borderId="66" xfId="0" applyFont="1" applyFill="1" applyBorder="1" applyAlignment="1">
      <alignment horizontal="left" vertical="center" wrapText="1"/>
    </xf>
    <xf numFmtId="0" fontId="54" fillId="3" borderId="58" xfId="0" applyFont="1" applyFill="1" applyBorder="1" applyAlignment="1">
      <alignment horizontal="justify" vertical="center" wrapText="1"/>
    </xf>
    <xf numFmtId="0" fontId="54" fillId="3" borderId="59" xfId="0" applyFont="1" applyFill="1" applyBorder="1" applyAlignment="1">
      <alignment horizontal="justify" vertical="center" wrapText="1"/>
    </xf>
    <xf numFmtId="0" fontId="49" fillId="14" borderId="40" xfId="2" applyFont="1" applyFill="1" applyBorder="1" applyAlignment="1">
      <alignment horizontal="center" vertical="center" wrapText="1"/>
    </xf>
    <xf numFmtId="0" fontId="49" fillId="14" borderId="41" xfId="2" applyFont="1" applyFill="1" applyBorder="1" applyAlignment="1">
      <alignment horizontal="center" vertical="center" wrapText="1"/>
    </xf>
    <xf numFmtId="0" fontId="49" fillId="14" borderId="42" xfId="2" applyFont="1" applyFill="1" applyBorder="1" applyAlignment="1">
      <alignment horizontal="center" vertical="center" wrapText="1"/>
    </xf>
    <xf numFmtId="0" fontId="48" fillId="0" borderId="14" xfId="2" quotePrefix="1" applyFont="1" applyBorder="1" applyAlignment="1">
      <alignment horizontal="left" vertical="center" wrapText="1"/>
    </xf>
    <xf numFmtId="0" fontId="48" fillId="0" borderId="0" xfId="2" quotePrefix="1" applyFont="1" applyAlignment="1">
      <alignment horizontal="left" vertical="center" wrapText="1"/>
    </xf>
    <xf numFmtId="0" fontId="48" fillId="0" borderId="15" xfId="2" quotePrefix="1" applyFont="1" applyBorder="1" applyAlignment="1">
      <alignment horizontal="left" vertical="center" wrapText="1"/>
    </xf>
    <xf numFmtId="0" fontId="48" fillId="0" borderId="60" xfId="2" quotePrefix="1" applyFont="1" applyBorder="1" applyAlignment="1">
      <alignment horizontal="left" vertical="center" wrapText="1"/>
    </xf>
    <xf numFmtId="0" fontId="48" fillId="0" borderId="61" xfId="2" quotePrefix="1" applyFont="1" applyBorder="1" applyAlignment="1">
      <alignment horizontal="left" vertical="center" wrapText="1"/>
    </xf>
    <xf numFmtId="0" fontId="48" fillId="0" borderId="62" xfId="2" quotePrefix="1" applyFont="1" applyBorder="1" applyAlignment="1">
      <alignment horizontal="left" vertical="center" wrapText="1"/>
    </xf>
    <xf numFmtId="0" fontId="50" fillId="3" borderId="43" xfId="2" quotePrefix="1" applyFont="1" applyFill="1" applyBorder="1" applyAlignment="1">
      <alignment horizontal="left" vertical="top" wrapText="1"/>
    </xf>
    <xf numFmtId="0" fontId="51" fillId="3" borderId="44" xfId="2" quotePrefix="1" applyFont="1" applyFill="1" applyBorder="1" applyAlignment="1">
      <alignment horizontal="left" vertical="top" wrapText="1"/>
    </xf>
    <xf numFmtId="0" fontId="51" fillId="3" borderId="45" xfId="2" quotePrefix="1" applyFont="1" applyFill="1" applyBorder="1" applyAlignment="1">
      <alignment horizontal="left" vertical="top" wrapText="1"/>
    </xf>
    <xf numFmtId="0" fontId="48" fillId="0" borderId="14" xfId="2" quotePrefix="1" applyFont="1" applyBorder="1" applyAlignment="1">
      <alignment horizontal="left" vertical="top" wrapText="1"/>
    </xf>
    <xf numFmtId="0" fontId="48" fillId="0" borderId="0" xfId="2" quotePrefix="1" applyFont="1" applyAlignment="1">
      <alignment horizontal="left" vertical="top" wrapText="1"/>
    </xf>
    <xf numFmtId="0" fontId="48" fillId="0" borderId="15" xfId="2" quotePrefix="1" applyFont="1" applyBorder="1" applyAlignment="1">
      <alignment horizontal="left" vertical="top" wrapText="1"/>
    </xf>
    <xf numFmtId="0" fontId="53" fillId="14" borderId="46" xfId="3" applyFont="1" applyFill="1" applyBorder="1" applyAlignment="1">
      <alignment horizontal="center" vertical="center" wrapText="1"/>
    </xf>
    <xf numFmtId="0" fontId="53" fillId="14" borderId="47" xfId="3" applyFont="1" applyFill="1" applyBorder="1" applyAlignment="1">
      <alignment horizontal="center" vertical="center" wrapText="1"/>
    </xf>
    <xf numFmtId="0" fontId="53" fillId="14" borderId="48" xfId="2" applyFont="1" applyFill="1" applyBorder="1" applyAlignment="1">
      <alignment horizontal="center" vertical="center"/>
    </xf>
    <xf numFmtId="0" fontId="53" fillId="14" borderId="49" xfId="2" applyFont="1" applyFill="1" applyBorder="1" applyAlignment="1">
      <alignment horizontal="center" vertical="center"/>
    </xf>
    <xf numFmtId="0" fontId="2" fillId="3" borderId="60" xfId="2" quotePrefix="1" applyFont="1" applyFill="1" applyBorder="1" applyAlignment="1">
      <alignment horizontal="justify" vertical="center" wrapText="1"/>
    </xf>
    <xf numFmtId="0" fontId="2" fillId="3" borderId="61" xfId="2" quotePrefix="1" applyFont="1" applyFill="1" applyBorder="1" applyAlignment="1">
      <alignment horizontal="justify" vertical="center" wrapText="1"/>
    </xf>
    <xf numFmtId="0" fontId="2" fillId="3" borderId="62" xfId="2" quotePrefix="1" applyFont="1" applyFill="1" applyBorder="1" applyAlignment="1">
      <alignment horizontal="justify" vertical="center" wrapText="1"/>
    </xf>
    <xf numFmtId="0" fontId="41" fillId="11" borderId="12" xfId="0" applyFont="1" applyFill="1" applyBorder="1" applyAlignment="1">
      <alignment horizontal="center" vertical="center" wrapText="1" readingOrder="1"/>
    </xf>
    <xf numFmtId="0" fontId="41" fillId="11" borderId="19" xfId="0" applyFont="1" applyFill="1" applyBorder="1" applyAlignment="1">
      <alignment horizontal="center" vertical="center" wrapText="1" readingOrder="1"/>
    </xf>
    <xf numFmtId="0" fontId="41" fillId="11" borderId="13" xfId="0" applyFont="1" applyFill="1" applyBorder="1" applyAlignment="1">
      <alignment horizontal="center" vertical="center" wrapText="1" readingOrder="1"/>
    </xf>
    <xf numFmtId="0" fontId="41" fillId="11" borderId="14" xfId="0" applyFont="1" applyFill="1" applyBorder="1" applyAlignment="1">
      <alignment horizontal="center" vertical="center" wrapText="1" readingOrder="1"/>
    </xf>
    <xf numFmtId="0" fontId="41" fillId="11" borderId="0" xfId="0" applyFont="1" applyFill="1" applyAlignment="1">
      <alignment horizontal="center" vertical="center" wrapText="1" readingOrder="1"/>
    </xf>
    <xf numFmtId="0" fontId="41" fillId="11" borderId="15" xfId="0" applyFont="1" applyFill="1" applyBorder="1" applyAlignment="1">
      <alignment horizontal="center" vertical="center" wrapText="1" readingOrder="1"/>
    </xf>
    <xf numFmtId="0" fontId="41" fillId="11" borderId="16" xfId="0" applyFont="1" applyFill="1" applyBorder="1" applyAlignment="1">
      <alignment horizontal="center" vertical="center" wrapText="1" readingOrder="1"/>
    </xf>
    <xf numFmtId="0" fontId="41" fillId="11" borderId="18" xfId="0" applyFont="1" applyFill="1" applyBorder="1" applyAlignment="1">
      <alignment horizontal="center" vertical="center" wrapText="1" readingOrder="1"/>
    </xf>
    <xf numFmtId="0" fontId="41" fillId="11" borderId="17" xfId="0" applyFont="1" applyFill="1" applyBorder="1" applyAlignment="1">
      <alignment horizontal="center" vertical="center" wrapText="1" readingOrder="1"/>
    </xf>
    <xf numFmtId="0" fontId="42" fillId="0" borderId="12" xfId="0" applyFont="1" applyBorder="1" applyAlignment="1">
      <alignment horizontal="center" vertical="center" wrapText="1"/>
    </xf>
    <xf numFmtId="0" fontId="42" fillId="0" borderId="19" xfId="0" applyFont="1" applyBorder="1" applyAlignment="1">
      <alignment horizontal="center" vertical="center"/>
    </xf>
    <xf numFmtId="0" fontId="42" fillId="0" borderId="14" xfId="0" applyFont="1" applyBorder="1" applyAlignment="1">
      <alignment horizontal="center" vertical="center" wrapText="1"/>
    </xf>
    <xf numFmtId="0" fontId="42" fillId="0" borderId="0" xfId="0" applyFont="1" applyAlignment="1">
      <alignment horizontal="center" vertical="center"/>
    </xf>
    <xf numFmtId="0" fontId="42" fillId="0" borderId="14" xfId="0" applyFont="1" applyBorder="1" applyAlignment="1">
      <alignment horizontal="center" vertical="center"/>
    </xf>
    <xf numFmtId="0" fontId="41" fillId="12" borderId="12" xfId="0" applyFont="1" applyFill="1" applyBorder="1" applyAlignment="1">
      <alignment horizontal="center" vertical="center" wrapText="1" readingOrder="1"/>
    </xf>
    <xf numFmtId="0" fontId="41" fillId="12" borderId="19" xfId="0" applyFont="1" applyFill="1" applyBorder="1" applyAlignment="1">
      <alignment horizontal="center" vertical="center" wrapText="1" readingOrder="1"/>
    </xf>
    <xf numFmtId="0" fontId="41" fillId="12" borderId="13" xfId="0" applyFont="1" applyFill="1" applyBorder="1" applyAlignment="1">
      <alignment horizontal="center" vertical="center" wrapText="1" readingOrder="1"/>
    </xf>
    <xf numFmtId="0" fontId="41" fillId="12" borderId="14" xfId="0" applyFont="1" applyFill="1" applyBorder="1" applyAlignment="1">
      <alignment horizontal="center" vertical="center" wrapText="1" readingOrder="1"/>
    </xf>
    <xf numFmtId="0" fontId="41" fillId="12" borderId="0" xfId="0" applyFont="1" applyFill="1" applyAlignment="1">
      <alignment horizontal="center" vertical="center" wrapText="1" readingOrder="1"/>
    </xf>
    <xf numFmtId="0" fontId="41" fillId="12" borderId="15" xfId="0" applyFont="1" applyFill="1" applyBorder="1" applyAlignment="1">
      <alignment horizontal="center" vertical="center" wrapText="1" readingOrder="1"/>
    </xf>
    <xf numFmtId="0" fontId="41" fillId="12" borderId="16" xfId="0" applyFont="1" applyFill="1" applyBorder="1" applyAlignment="1">
      <alignment horizontal="center" vertical="center" wrapText="1" readingOrder="1"/>
    </xf>
    <xf numFmtId="0" fontId="41" fillId="12" borderId="18" xfId="0" applyFont="1" applyFill="1" applyBorder="1" applyAlignment="1">
      <alignment horizontal="center" vertical="center" wrapText="1" readingOrder="1"/>
    </xf>
    <xf numFmtId="0" fontId="41" fillId="12" borderId="17" xfId="0" applyFont="1" applyFill="1" applyBorder="1" applyAlignment="1">
      <alignment horizontal="center" vertical="center" wrapText="1" readingOrder="1"/>
    </xf>
    <xf numFmtId="0" fontId="40" fillId="0" borderId="0" xfId="0" applyFont="1" applyAlignment="1">
      <alignment horizontal="center" vertical="center" wrapText="1"/>
    </xf>
    <xf numFmtId="0" fontId="22" fillId="0" borderId="0" xfId="0" applyFont="1" applyAlignment="1">
      <alignment horizontal="center" vertical="center" wrapText="1"/>
    </xf>
    <xf numFmtId="0" fontId="18" fillId="10" borderId="0" xfId="0" applyFont="1" applyFill="1" applyAlignment="1">
      <alignment horizontal="center" vertical="center" wrapText="1" readingOrder="1"/>
    </xf>
    <xf numFmtId="0" fontId="18" fillId="10" borderId="12" xfId="0" applyFont="1" applyFill="1" applyBorder="1" applyAlignment="1">
      <alignment horizontal="center" vertical="center" textRotation="90" wrapText="1" readingOrder="1"/>
    </xf>
    <xf numFmtId="0" fontId="18" fillId="10" borderId="19" xfId="0" applyFont="1" applyFill="1" applyBorder="1" applyAlignment="1">
      <alignment horizontal="center" vertical="center" textRotation="90" wrapText="1" readingOrder="1"/>
    </xf>
    <xf numFmtId="0" fontId="18" fillId="10" borderId="13" xfId="0" applyFont="1" applyFill="1" applyBorder="1" applyAlignment="1">
      <alignment horizontal="center" vertical="center" textRotation="90" wrapText="1" readingOrder="1"/>
    </xf>
    <xf numFmtId="0" fontId="18" fillId="10" borderId="14" xfId="0" applyFont="1" applyFill="1" applyBorder="1" applyAlignment="1">
      <alignment horizontal="center" vertical="center" textRotation="90" wrapText="1" readingOrder="1"/>
    </xf>
    <xf numFmtId="0" fontId="18" fillId="10" borderId="0" xfId="0" applyFont="1" applyFill="1" applyAlignment="1">
      <alignment horizontal="center" vertical="center" textRotation="90" wrapText="1" readingOrder="1"/>
    </xf>
    <xf numFmtId="0" fontId="18" fillId="10" borderId="15" xfId="0" applyFont="1" applyFill="1" applyBorder="1" applyAlignment="1">
      <alignment horizontal="center" vertical="center" textRotation="90" wrapText="1" readingOrder="1"/>
    </xf>
    <xf numFmtId="0" fontId="18" fillId="10" borderId="16" xfId="0" applyFont="1" applyFill="1" applyBorder="1" applyAlignment="1">
      <alignment horizontal="center" vertical="center" textRotation="90" wrapText="1" readingOrder="1"/>
    </xf>
    <xf numFmtId="0" fontId="18" fillId="10" borderId="18" xfId="0" applyFont="1" applyFill="1" applyBorder="1" applyAlignment="1">
      <alignment horizontal="center" vertical="center" textRotation="90" wrapText="1" readingOrder="1"/>
    </xf>
    <xf numFmtId="0" fontId="18" fillId="10" borderId="17" xfId="0" applyFont="1" applyFill="1" applyBorder="1" applyAlignment="1">
      <alignment horizontal="center" vertical="center" textRotation="90" wrapText="1" readingOrder="1"/>
    </xf>
    <xf numFmtId="0" fontId="42" fillId="0" borderId="16" xfId="0" applyFont="1" applyBorder="1" applyAlignment="1">
      <alignment horizontal="center" vertical="center"/>
    </xf>
    <xf numFmtId="0" fontId="42" fillId="0" borderId="18" xfId="0" applyFont="1" applyBorder="1" applyAlignment="1">
      <alignment horizontal="center" vertical="center"/>
    </xf>
    <xf numFmtId="0" fontId="41" fillId="5" borderId="12" xfId="0" applyFont="1" applyFill="1" applyBorder="1" applyAlignment="1">
      <alignment horizontal="center" vertical="center" wrapText="1" readingOrder="1"/>
    </xf>
    <xf numFmtId="0" fontId="41" fillId="5" borderId="19" xfId="0" applyFont="1" applyFill="1" applyBorder="1" applyAlignment="1">
      <alignment horizontal="center" vertical="center" wrapText="1" readingOrder="1"/>
    </xf>
    <xf numFmtId="0" fontId="41" fillId="5" borderId="13" xfId="0" applyFont="1" applyFill="1" applyBorder="1" applyAlignment="1">
      <alignment horizontal="center" vertical="center" wrapText="1" readingOrder="1"/>
    </xf>
    <xf numFmtId="0" fontId="41" fillId="5" borderId="14" xfId="0" applyFont="1" applyFill="1" applyBorder="1" applyAlignment="1">
      <alignment horizontal="center" vertical="center" wrapText="1" readingOrder="1"/>
    </xf>
    <xf numFmtId="0" fontId="41" fillId="5" borderId="0" xfId="0" applyFont="1" applyFill="1" applyAlignment="1">
      <alignment horizontal="center" vertical="center" wrapText="1" readingOrder="1"/>
    </xf>
    <xf numFmtId="0" fontId="41" fillId="5" borderId="15" xfId="0" applyFont="1" applyFill="1" applyBorder="1" applyAlignment="1">
      <alignment horizontal="center" vertical="center" wrapText="1" readingOrder="1"/>
    </xf>
    <xf numFmtId="0" fontId="41" fillId="5" borderId="16" xfId="0" applyFont="1" applyFill="1" applyBorder="1" applyAlignment="1">
      <alignment horizontal="center" vertical="center" wrapText="1" readingOrder="1"/>
    </xf>
    <xf numFmtId="0" fontId="41" fillId="5" borderId="18" xfId="0" applyFont="1" applyFill="1" applyBorder="1" applyAlignment="1">
      <alignment horizontal="center" vertical="center" wrapText="1" readingOrder="1"/>
    </xf>
    <xf numFmtId="0" fontId="41" fillId="5" borderId="17" xfId="0" applyFont="1" applyFill="1" applyBorder="1" applyAlignment="1">
      <alignment horizontal="center" vertical="center" wrapText="1" readingOrder="1"/>
    </xf>
    <xf numFmtId="0" fontId="41" fillId="13" borderId="12" xfId="0" applyFont="1" applyFill="1" applyBorder="1" applyAlignment="1">
      <alignment horizontal="center" vertical="center" wrapText="1" readingOrder="1"/>
    </xf>
    <xf numFmtId="0" fontId="41" fillId="13" borderId="19" xfId="0" applyFont="1" applyFill="1" applyBorder="1" applyAlignment="1">
      <alignment horizontal="center" vertical="center" wrapText="1" readingOrder="1"/>
    </xf>
    <xf numFmtId="0" fontId="41" fillId="13" borderId="13" xfId="0" applyFont="1" applyFill="1" applyBorder="1" applyAlignment="1">
      <alignment horizontal="center" vertical="center" wrapText="1" readingOrder="1"/>
    </xf>
    <xf numFmtId="0" fontId="41" fillId="13" borderId="14" xfId="0" applyFont="1" applyFill="1" applyBorder="1" applyAlignment="1">
      <alignment horizontal="center" vertical="center" wrapText="1" readingOrder="1"/>
    </xf>
    <xf numFmtId="0" fontId="41" fillId="13" borderId="0" xfId="0" applyFont="1" applyFill="1" applyAlignment="1">
      <alignment horizontal="center" vertical="center" wrapText="1" readingOrder="1"/>
    </xf>
    <xf numFmtId="0" fontId="41" fillId="13" borderId="15" xfId="0" applyFont="1" applyFill="1" applyBorder="1" applyAlignment="1">
      <alignment horizontal="center" vertical="center" wrapText="1" readingOrder="1"/>
    </xf>
    <xf numFmtId="0" fontId="41" fillId="13" borderId="16" xfId="0" applyFont="1" applyFill="1" applyBorder="1" applyAlignment="1">
      <alignment horizontal="center" vertical="center" wrapText="1" readingOrder="1"/>
    </xf>
    <xf numFmtId="0" fontId="41" fillId="13" borderId="18" xfId="0" applyFont="1" applyFill="1" applyBorder="1" applyAlignment="1">
      <alignment horizontal="center" vertical="center" wrapText="1" readingOrder="1"/>
    </xf>
    <xf numFmtId="0" fontId="41" fillId="13" borderId="17" xfId="0" applyFont="1" applyFill="1" applyBorder="1" applyAlignment="1">
      <alignment horizontal="center" vertical="center" wrapText="1" readingOrder="1"/>
    </xf>
    <xf numFmtId="0" fontId="42" fillId="0" borderId="15" xfId="0" applyFont="1" applyBorder="1" applyAlignment="1">
      <alignment horizontal="center" vertical="center"/>
    </xf>
    <xf numFmtId="0" fontId="42" fillId="0" borderId="17" xfId="0" applyFont="1" applyBorder="1" applyAlignment="1">
      <alignment horizontal="center" vertical="center"/>
    </xf>
    <xf numFmtId="0" fontId="42" fillId="0" borderId="0" xfId="0" applyFont="1" applyAlignment="1">
      <alignment horizontal="center" vertical="center" wrapText="1"/>
    </xf>
    <xf numFmtId="0" fontId="42" fillId="0" borderId="69" xfId="0" applyFont="1" applyBorder="1" applyAlignment="1">
      <alignment horizontal="center" vertical="center"/>
    </xf>
    <xf numFmtId="0" fontId="42" fillId="0" borderId="68" xfId="0" applyFont="1" applyBorder="1" applyAlignment="1">
      <alignment horizontal="center" vertical="center"/>
    </xf>
    <xf numFmtId="0" fontId="42" fillId="0" borderId="67" xfId="0" applyFont="1" applyBorder="1" applyAlignment="1">
      <alignment horizontal="center" vertical="center"/>
    </xf>
    <xf numFmtId="0" fontId="42" fillId="0" borderId="70" xfId="0" applyFont="1" applyBorder="1" applyAlignment="1">
      <alignment horizontal="center" vertical="center"/>
    </xf>
    <xf numFmtId="166" fontId="6" fillId="0" borderId="25" xfId="0" applyNumberFormat="1" applyFont="1" applyBorder="1" applyAlignment="1">
      <alignment horizontal="center" vertical="center" wrapText="1"/>
    </xf>
    <xf numFmtId="14" fontId="6" fillId="18" borderId="25" xfId="0" applyNumberFormat="1" applyFont="1" applyFill="1" applyBorder="1" applyAlignment="1" applyProtection="1">
      <alignment horizontal="center" vertical="center" wrapText="1"/>
      <protection locked="0"/>
    </xf>
    <xf numFmtId="14" fontId="6" fillId="0" borderId="25" xfId="0" applyNumberFormat="1" applyFont="1" applyFill="1" applyBorder="1" applyAlignment="1" applyProtection="1">
      <alignment horizontal="center" vertical="center" wrapText="1"/>
      <protection locked="0"/>
    </xf>
    <xf numFmtId="9" fontId="6" fillId="0" borderId="25" xfId="0" applyNumberFormat="1" applyFont="1" applyFill="1" applyBorder="1" applyAlignment="1" applyProtection="1">
      <alignment horizontal="center" vertical="center" wrapText="1"/>
      <protection locked="0"/>
    </xf>
    <xf numFmtId="0" fontId="4" fillId="2" borderId="3" xfId="0" applyFont="1" applyFill="1" applyBorder="1" applyAlignment="1">
      <alignment horizontal="center" vertical="center"/>
    </xf>
    <xf numFmtId="0" fontId="4" fillId="2" borderId="23" xfId="0" applyFont="1" applyFill="1" applyBorder="1" applyAlignment="1">
      <alignment horizontal="center" vertical="center"/>
    </xf>
    <xf numFmtId="0" fontId="57" fillId="2" borderId="6" xfId="0" applyFont="1" applyFill="1" applyBorder="1" applyAlignment="1">
      <alignment horizontal="center" vertical="center" wrapText="1"/>
    </xf>
    <xf numFmtId="0" fontId="57" fillId="2" borderId="10" xfId="0" applyFont="1" applyFill="1" applyBorder="1" applyAlignment="1">
      <alignment horizontal="center" vertical="center" wrapText="1"/>
    </xf>
    <xf numFmtId="0" fontId="57" fillId="2" borderId="7" xfId="0" applyFont="1" applyFill="1" applyBorder="1" applyAlignment="1">
      <alignment horizontal="center" vertical="center" wrapText="1"/>
    </xf>
    <xf numFmtId="0" fontId="57" fillId="2" borderId="2" xfId="0" applyFont="1" applyFill="1" applyBorder="1" applyAlignment="1">
      <alignment horizontal="center" vertical="center" wrapText="1"/>
    </xf>
    <xf numFmtId="0" fontId="57" fillId="2" borderId="20" xfId="0" applyFont="1" applyFill="1" applyBorder="1" applyAlignment="1">
      <alignment horizontal="center" vertical="center" wrapText="1"/>
    </xf>
    <xf numFmtId="0" fontId="6" fillId="0" borderId="25" xfId="0" quotePrefix="1" applyFont="1" applyBorder="1" applyAlignment="1">
      <alignment horizontal="center" vertical="center" wrapText="1"/>
    </xf>
    <xf numFmtId="0" fontId="1" fillId="3" borderId="0" xfId="0" applyFont="1" applyFill="1" applyAlignment="1">
      <alignment horizontal="left" vertical="center" wrapText="1"/>
    </xf>
    <xf numFmtId="0" fontId="6" fillId="3" borderId="4"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57" fillId="3" borderId="4" xfId="0" applyFont="1" applyFill="1" applyBorder="1" applyAlignment="1" applyProtection="1">
      <alignment horizontal="center" vertical="center" wrapText="1"/>
      <protection hidden="1"/>
    </xf>
    <xf numFmtId="0" fontId="57" fillId="3" borderId="8" xfId="0" applyFont="1" applyFill="1" applyBorder="1" applyAlignment="1" applyProtection="1">
      <alignment horizontal="center" vertical="center" wrapText="1"/>
      <protection hidden="1"/>
    </xf>
    <xf numFmtId="0" fontId="57" fillId="3" borderId="5" xfId="0" applyFont="1" applyFill="1" applyBorder="1" applyAlignment="1" applyProtection="1">
      <alignment horizontal="center" vertical="center" wrapText="1"/>
      <protection hidden="1"/>
    </xf>
    <xf numFmtId="9" fontId="6" fillId="3" borderId="4" xfId="0" applyNumberFormat="1" applyFont="1" applyFill="1" applyBorder="1" applyAlignment="1" applyProtection="1">
      <alignment horizontal="center" vertical="center" wrapText="1"/>
      <protection hidden="1"/>
    </xf>
    <xf numFmtId="9" fontId="6" fillId="3" borderId="8" xfId="0" applyNumberFormat="1" applyFont="1" applyFill="1" applyBorder="1" applyAlignment="1" applyProtection="1">
      <alignment horizontal="center" vertical="center" wrapText="1"/>
      <protection hidden="1"/>
    </xf>
    <xf numFmtId="9" fontId="6" fillId="3" borderId="5" xfId="0" applyNumberFormat="1" applyFont="1" applyFill="1" applyBorder="1" applyAlignment="1" applyProtection="1">
      <alignment horizontal="center" vertical="center" wrapText="1"/>
      <protection hidden="1"/>
    </xf>
    <xf numFmtId="9" fontId="6" fillId="3" borderId="4" xfId="0" applyNumberFormat="1" applyFont="1" applyFill="1" applyBorder="1" applyAlignment="1" applyProtection="1">
      <alignment horizontal="center" vertical="center" wrapText="1"/>
      <protection locked="0"/>
    </xf>
    <xf numFmtId="9" fontId="6" fillId="3" borderId="8" xfId="0" applyNumberFormat="1" applyFont="1" applyFill="1" applyBorder="1" applyAlignment="1" applyProtection="1">
      <alignment horizontal="center" vertical="center" wrapText="1"/>
      <protection locked="0"/>
    </xf>
    <xf numFmtId="9" fontId="6" fillId="3" borderId="5" xfId="0" applyNumberFormat="1" applyFont="1" applyFill="1" applyBorder="1" applyAlignment="1" applyProtection="1">
      <alignment horizontal="center" vertical="center" wrapText="1"/>
      <protection locked="0"/>
    </xf>
    <xf numFmtId="0" fontId="57" fillId="3" borderId="4" xfId="0" applyFont="1" applyFill="1" applyBorder="1" applyAlignment="1" applyProtection="1">
      <alignment horizontal="center" vertical="center"/>
      <protection hidden="1"/>
    </xf>
    <xf numFmtId="0" fontId="57" fillId="3" borderId="8" xfId="0" applyFont="1" applyFill="1" applyBorder="1" applyAlignment="1" applyProtection="1">
      <alignment horizontal="center" vertical="center"/>
      <protection hidden="1"/>
    </xf>
    <xf numFmtId="0" fontId="57" fillId="3" borderId="5" xfId="0" applyFont="1" applyFill="1" applyBorder="1" applyAlignment="1" applyProtection="1">
      <alignment horizontal="center" vertical="center"/>
      <protection hidden="1"/>
    </xf>
    <xf numFmtId="0" fontId="6" fillId="3" borderId="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8" fillId="3" borderId="4" xfId="0" applyFont="1" applyFill="1" applyBorder="1" applyAlignment="1" applyProtection="1">
      <alignment horizontal="center" vertical="center" wrapText="1"/>
      <protection locked="0"/>
    </xf>
    <xf numFmtId="0" fontId="48" fillId="3" borderId="8" xfId="0" applyFont="1" applyFill="1" applyBorder="1" applyAlignment="1" applyProtection="1">
      <alignment horizontal="center" vertical="center" wrapText="1"/>
      <protection locked="0"/>
    </xf>
    <xf numFmtId="0" fontId="4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0" borderId="8" xfId="0" applyFont="1" applyBorder="1" applyAlignment="1">
      <alignment horizontal="center" vertical="center"/>
    </xf>
    <xf numFmtId="0" fontId="6" fillId="3" borderId="4" xfId="0" applyFont="1" applyFill="1" applyBorder="1" applyAlignment="1">
      <alignment horizontal="justify" vertical="center"/>
    </xf>
    <xf numFmtId="0" fontId="6" fillId="3" borderId="8" xfId="0" applyFont="1" applyFill="1" applyBorder="1" applyAlignment="1">
      <alignment horizontal="justify" vertical="center"/>
    </xf>
    <xf numFmtId="0" fontId="6" fillId="3" borderId="5" xfId="0" applyFont="1" applyFill="1" applyBorder="1" applyAlignment="1">
      <alignment horizontal="justify" vertical="center"/>
    </xf>
    <xf numFmtId="0" fontId="6" fillId="3" borderId="4"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6" fillId="3" borderId="5" xfId="0" applyFont="1" applyFill="1" applyBorder="1" applyAlignment="1">
      <alignment horizontal="justify" vertical="center" wrapText="1"/>
    </xf>
    <xf numFmtId="0" fontId="48" fillId="0" borderId="4" xfId="0" applyFont="1" applyBorder="1" applyAlignment="1" applyProtection="1">
      <alignment horizontal="center" vertical="center" wrapText="1"/>
      <protection locked="0"/>
    </xf>
    <xf numFmtId="0" fontId="48" fillId="0" borderId="8" xfId="0" applyFont="1" applyBorder="1" applyAlignment="1" applyProtection="1">
      <alignment horizontal="center" vertical="center" wrapText="1"/>
      <protection locked="0"/>
    </xf>
    <xf numFmtId="0" fontId="48" fillId="3" borderId="4" xfId="0" applyFont="1" applyFill="1" applyBorder="1" applyAlignment="1" applyProtection="1">
      <alignment horizontal="center" vertical="center"/>
      <protection locked="0"/>
    </xf>
    <xf numFmtId="0" fontId="48" fillId="3" borderId="8" xfId="0" applyFont="1" applyFill="1" applyBorder="1" applyAlignment="1" applyProtection="1">
      <alignment horizontal="center" vertical="center"/>
      <protection locked="0"/>
    </xf>
    <xf numFmtId="0" fontId="48" fillId="3" borderId="5" xfId="0" applyFont="1" applyFill="1" applyBorder="1" applyAlignment="1" applyProtection="1">
      <alignment horizontal="center" vertical="center"/>
      <protection locked="0"/>
    </xf>
    <xf numFmtId="9" fontId="6" fillId="0" borderId="4" xfId="0" applyNumberFormat="1" applyFont="1" applyBorder="1" applyAlignment="1" applyProtection="1">
      <alignment horizontal="center" vertical="center" wrapText="1"/>
      <protection hidden="1"/>
    </xf>
    <xf numFmtId="9" fontId="6" fillId="0" borderId="8" xfId="0" applyNumberFormat="1" applyFont="1" applyBorder="1" applyAlignment="1" applyProtection="1">
      <alignment horizontal="center" vertical="center" wrapText="1"/>
      <protection hidden="1"/>
    </xf>
    <xf numFmtId="9" fontId="6" fillId="0" borderId="5" xfId="0" applyNumberFormat="1" applyFont="1" applyBorder="1" applyAlignment="1" applyProtection="1">
      <alignment horizontal="center" vertical="center" wrapText="1"/>
      <protection hidden="1"/>
    </xf>
    <xf numFmtId="0" fontId="57" fillId="0" borderId="4" xfId="0" applyFont="1" applyBorder="1" applyAlignment="1" applyProtection="1">
      <alignment horizontal="center" vertical="center"/>
      <protection hidden="1"/>
    </xf>
    <xf numFmtId="0" fontId="57" fillId="0" borderId="8" xfId="0" applyFont="1" applyBorder="1" applyAlignment="1" applyProtection="1">
      <alignment horizontal="center" vertical="center"/>
      <protection hidden="1"/>
    </xf>
    <xf numFmtId="0" fontId="57" fillId="0" borderId="5"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57" fillId="0" borderId="4" xfId="0" applyFont="1" applyBorder="1" applyAlignment="1" applyProtection="1">
      <alignment horizontal="center" vertical="center" wrapText="1"/>
      <protection hidden="1"/>
    </xf>
    <xf numFmtId="0" fontId="57" fillId="0" borderId="8" xfId="0" applyFont="1" applyBorder="1" applyAlignment="1" applyProtection="1">
      <alignment horizontal="center" vertical="center" wrapText="1"/>
      <protection hidden="1"/>
    </xf>
    <xf numFmtId="0" fontId="57" fillId="0" borderId="5" xfId="0" applyFont="1" applyBorder="1" applyAlignment="1" applyProtection="1">
      <alignment horizontal="center" vertical="center" wrapText="1"/>
      <protection hidden="1"/>
    </xf>
    <xf numFmtId="9" fontId="6" fillId="0" borderId="4" xfId="0" applyNumberFormat="1" applyFont="1" applyBorder="1" applyAlignment="1" applyProtection="1">
      <alignment horizontal="center" vertical="center" wrapText="1"/>
      <protection locked="0"/>
    </xf>
    <xf numFmtId="9" fontId="6" fillId="0" borderId="8" xfId="0" applyNumberFormat="1"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4"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4" xfId="0" quotePrefix="1" applyFont="1" applyBorder="1" applyAlignment="1" applyProtection="1">
      <alignment horizontal="center" vertical="center" wrapText="1"/>
      <protection locked="0"/>
    </xf>
    <xf numFmtId="0" fontId="6" fillId="0" borderId="8" xfId="0" applyFont="1" applyBorder="1" applyAlignment="1">
      <alignment horizontal="justify" vertical="center"/>
    </xf>
    <xf numFmtId="0" fontId="48" fillId="0" borderId="4" xfId="0" quotePrefix="1" applyFont="1" applyBorder="1" applyAlignment="1" applyProtection="1">
      <alignment horizontal="center" vertical="center" wrapText="1"/>
      <protection locked="0"/>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48" fillId="0" borderId="8" xfId="0" quotePrefix="1" applyFont="1" applyBorder="1" applyAlignment="1" applyProtection="1">
      <alignment horizontal="center" vertical="center" wrapText="1"/>
      <protection locked="0"/>
    </xf>
    <xf numFmtId="0" fontId="48" fillId="0" borderId="5" xfId="0" quotePrefix="1" applyFont="1" applyBorder="1" applyAlignment="1" applyProtection="1">
      <alignment horizontal="center" vertical="center" wrapText="1"/>
      <protection locked="0"/>
    </xf>
    <xf numFmtId="0" fontId="52" fillId="0" borderId="4" xfId="0" applyFont="1" applyBorder="1" applyAlignment="1" applyProtection="1">
      <alignment horizontal="center" vertical="center"/>
      <protection hidden="1"/>
    </xf>
    <xf numFmtId="0" fontId="52" fillId="0" borderId="8" xfId="0" applyFont="1" applyBorder="1" applyAlignment="1" applyProtection="1">
      <alignment horizontal="center" vertical="center"/>
      <protection hidden="1"/>
    </xf>
    <xf numFmtId="0" fontId="52" fillId="0" borderId="5" xfId="0" applyFont="1" applyBorder="1" applyAlignment="1" applyProtection="1">
      <alignment horizontal="center" vertical="center"/>
      <protection hidden="1"/>
    </xf>
    <xf numFmtId="0" fontId="48" fillId="0" borderId="4" xfId="0" applyFont="1" applyBorder="1" applyAlignment="1" applyProtection="1">
      <alignment horizontal="center" vertical="center"/>
      <protection locked="0"/>
    </xf>
    <xf numFmtId="0" fontId="48" fillId="0" borderId="8" xfId="0" applyFont="1" applyBorder="1" applyAlignment="1" applyProtection="1">
      <alignment horizontal="center" vertical="center"/>
      <protection locked="0"/>
    </xf>
    <xf numFmtId="0" fontId="48" fillId="0" borderId="5" xfId="0" applyFont="1" applyBorder="1" applyAlignment="1" applyProtection="1">
      <alignment horizontal="center" vertical="center" wrapText="1"/>
      <protection locked="0"/>
    </xf>
    <xf numFmtId="0" fontId="6" fillId="3" borderId="4" xfId="0" quotePrefix="1" applyFont="1" applyFill="1" applyBorder="1" applyAlignment="1" applyProtection="1">
      <alignment horizontal="center" vertical="center" wrapText="1"/>
      <protection locked="0"/>
    </xf>
    <xf numFmtId="0" fontId="6" fillId="3" borderId="8" xfId="0" quotePrefix="1" applyFont="1" applyFill="1" applyBorder="1" applyAlignment="1" applyProtection="1">
      <alignment horizontal="center" vertical="center" wrapText="1"/>
      <protection locked="0"/>
    </xf>
    <xf numFmtId="0" fontId="6" fillId="0" borderId="5" xfId="0" applyFont="1" applyBorder="1" applyAlignment="1">
      <alignment horizontal="justify" vertical="center" wrapText="1"/>
    </xf>
    <xf numFmtId="9" fontId="6" fillId="0" borderId="5" xfId="0" applyNumberFormat="1"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4" xfId="0" applyFont="1" applyBorder="1" applyAlignment="1">
      <alignment horizontal="center" vertical="center"/>
    </xf>
    <xf numFmtId="0" fontId="1" fillId="9" borderId="6" xfId="0" applyFont="1" applyFill="1" applyBorder="1" applyAlignment="1">
      <alignment horizontal="left" vertical="center" wrapText="1"/>
    </xf>
    <xf numFmtId="0" fontId="1" fillId="9" borderId="10" xfId="0" applyFont="1" applyFill="1" applyBorder="1" applyAlignment="1">
      <alignment horizontal="left" vertical="center" wrapText="1"/>
    </xf>
    <xf numFmtId="0" fontId="1" fillId="9" borderId="7" xfId="0" applyFont="1" applyFill="1" applyBorder="1" applyAlignment="1">
      <alignment horizontal="left" vertical="center" wrapText="1"/>
    </xf>
    <xf numFmtId="0" fontId="52" fillId="0" borderId="4" xfId="0" applyFont="1" applyBorder="1" applyAlignment="1" applyProtection="1">
      <alignment horizontal="center" vertical="center" wrapText="1"/>
      <protection hidden="1"/>
    </xf>
    <xf numFmtId="0" fontId="52" fillId="0" borderId="8" xfId="0" applyFont="1" applyBorder="1" applyAlignment="1" applyProtection="1">
      <alignment horizontal="center" vertical="center" wrapText="1"/>
      <protection hidden="1"/>
    </xf>
    <xf numFmtId="0" fontId="52" fillId="0" borderId="5" xfId="0" applyFont="1" applyBorder="1" applyAlignment="1" applyProtection="1">
      <alignment horizontal="center" vertical="center" wrapText="1"/>
      <protection hidden="1"/>
    </xf>
    <xf numFmtId="9" fontId="48" fillId="0" borderId="4" xfId="0" applyNumberFormat="1" applyFont="1" applyBorder="1" applyAlignment="1" applyProtection="1">
      <alignment horizontal="center" vertical="center" wrapText="1"/>
      <protection hidden="1"/>
    </xf>
    <xf numFmtId="9" fontId="48" fillId="0" borderId="8" xfId="0" applyNumberFormat="1" applyFont="1" applyBorder="1" applyAlignment="1" applyProtection="1">
      <alignment horizontal="center" vertical="center" wrapText="1"/>
      <protection hidden="1"/>
    </xf>
    <xf numFmtId="9" fontId="48" fillId="0" borderId="5" xfId="0" applyNumberFormat="1" applyFont="1" applyBorder="1" applyAlignment="1" applyProtection="1">
      <alignment horizontal="center" vertical="center" wrapText="1"/>
      <protection hidden="1"/>
    </xf>
    <xf numFmtId="0" fontId="24" fillId="2" borderId="20" xfId="0" applyFont="1" applyFill="1" applyBorder="1" applyAlignment="1">
      <alignment horizontal="center" vertical="center" wrapText="1"/>
    </xf>
    <xf numFmtId="0" fontId="24" fillId="2" borderId="21" xfId="0" applyFont="1" applyFill="1" applyBorder="1" applyAlignment="1">
      <alignment horizontal="center" vertical="center"/>
    </xf>
    <xf numFmtId="0" fontId="24" fillId="2" borderId="22"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23" xfId="0" applyFont="1" applyFill="1" applyBorder="1" applyAlignment="1">
      <alignment horizontal="center" vertical="center"/>
    </xf>
    <xf numFmtId="0" fontId="24" fillId="2" borderId="2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25" fillId="2" borderId="4" xfId="0" applyFont="1" applyFill="1" applyBorder="1" applyAlignment="1">
      <alignment horizontal="center" vertical="center" textRotation="90"/>
    </xf>
    <xf numFmtId="0" fontId="25" fillId="2" borderId="5" xfId="0" applyFont="1" applyFill="1" applyBorder="1" applyAlignment="1">
      <alignment horizontal="center" vertical="center" textRotation="90"/>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6" fillId="0" borderId="8" xfId="0" quotePrefix="1" applyFont="1" applyBorder="1" applyAlignment="1" applyProtection="1">
      <alignment horizontal="center" vertical="center" wrapText="1"/>
      <protection locked="0"/>
    </xf>
    <xf numFmtId="0" fontId="6" fillId="0" borderId="5" xfId="0" quotePrefix="1" applyFont="1" applyBorder="1" applyAlignment="1" applyProtection="1">
      <alignment horizontal="center" vertical="center" wrapText="1"/>
      <protection locked="0"/>
    </xf>
    <xf numFmtId="0" fontId="4" fillId="17" borderId="0" xfId="0" applyFont="1" applyFill="1" applyAlignment="1">
      <alignment horizontal="center" vertical="center"/>
    </xf>
    <xf numFmtId="0" fontId="6" fillId="0" borderId="25" xfId="0" applyFont="1" applyFill="1" applyBorder="1" applyAlignment="1" applyProtection="1">
      <alignment horizontal="center" vertical="center"/>
      <protection locked="0"/>
    </xf>
    <xf numFmtId="0" fontId="6" fillId="0" borderId="25" xfId="0" applyFont="1" applyBorder="1" applyAlignment="1">
      <alignment horizontal="center" vertical="center" wrapText="1"/>
    </xf>
    <xf numFmtId="9" fontId="6" fillId="0" borderId="25" xfId="0" applyNumberFormat="1" applyFont="1" applyBorder="1" applyAlignment="1">
      <alignment horizontal="center" vertical="center" wrapText="1"/>
    </xf>
    <xf numFmtId="0" fontId="0" fillId="0" borderId="25" xfId="0" applyBorder="1" applyAlignment="1">
      <alignment horizontal="center" vertical="center" wrapText="1"/>
    </xf>
    <xf numFmtId="0" fontId="6" fillId="0" borderId="75"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wrapText="1"/>
      <protection locked="0"/>
    </xf>
    <xf numFmtId="0" fontId="20" fillId="5" borderId="14" xfId="0" applyFont="1" applyFill="1" applyBorder="1" applyAlignment="1" applyProtection="1">
      <alignment horizontal="center" vertical="center" wrapText="1" readingOrder="1"/>
      <protection hidden="1"/>
    </xf>
    <xf numFmtId="0" fontId="20" fillId="5" borderId="0" xfId="0" applyFont="1" applyFill="1" applyAlignment="1" applyProtection="1">
      <alignment horizontal="center" vertical="center" wrapText="1" readingOrder="1"/>
      <protection hidden="1"/>
    </xf>
    <xf numFmtId="0" fontId="20" fillId="5" borderId="15" xfId="0" applyFont="1" applyFill="1" applyBorder="1" applyAlignment="1" applyProtection="1">
      <alignment horizontal="center" vertical="center" wrapText="1" readingOrder="1"/>
      <protection hidden="1"/>
    </xf>
    <xf numFmtId="0" fontId="20" fillId="12" borderId="0" xfId="0" applyFont="1" applyFill="1" applyAlignment="1" applyProtection="1">
      <alignment horizontal="center" vertical="center" wrapText="1" readingOrder="1"/>
      <protection hidden="1"/>
    </xf>
    <xf numFmtId="0" fontId="20" fillId="12"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vertical="center" wrapText="1" readingOrder="1"/>
      <protection hidden="1"/>
    </xf>
    <xf numFmtId="0" fontId="20" fillId="13" borderId="0" xfId="0" applyFont="1" applyFill="1" applyAlignment="1" applyProtection="1">
      <alignment horizontal="center" vertical="center" wrapText="1" readingOrder="1"/>
      <protection hidden="1"/>
    </xf>
    <xf numFmtId="0" fontId="20" fillId="13" borderId="14" xfId="0" applyFont="1" applyFill="1" applyBorder="1" applyAlignment="1" applyProtection="1">
      <alignment horizontal="center" vertical="center" wrapText="1" readingOrder="1"/>
      <protection hidden="1"/>
    </xf>
    <xf numFmtId="0" fontId="20" fillId="16" borderId="0" xfId="0" applyFont="1" applyFill="1" applyAlignment="1" applyProtection="1">
      <alignment horizontal="center" vertical="center" wrapText="1" readingOrder="1"/>
      <protection hidden="1"/>
    </xf>
    <xf numFmtId="0" fontId="20" fillId="16" borderId="15" xfId="0" applyFont="1" applyFill="1" applyBorder="1" applyAlignment="1" applyProtection="1">
      <alignment horizontal="center" vertical="center" wrapText="1" readingOrder="1"/>
      <protection hidden="1"/>
    </xf>
    <xf numFmtId="0" fontId="20" fillId="16" borderId="14" xfId="0" applyFont="1" applyFill="1" applyBorder="1" applyAlignment="1" applyProtection="1">
      <alignment horizontal="center" vertical="center" wrapText="1" readingOrder="1"/>
      <protection hidden="1"/>
    </xf>
    <xf numFmtId="0" fontId="20" fillId="13" borderId="15" xfId="0" applyFont="1" applyFill="1" applyBorder="1" applyAlignment="1" applyProtection="1">
      <alignment horizontal="center" vertical="center" wrapText="1" readingOrder="1"/>
      <protection hidden="1"/>
    </xf>
    <xf numFmtId="0" fontId="20" fillId="16" borderId="19" xfId="0" applyFont="1" applyFill="1" applyBorder="1" applyAlignment="1" applyProtection="1">
      <alignment horizontal="center" vertical="center" wrapText="1" readingOrder="1"/>
      <protection hidden="1"/>
    </xf>
    <xf numFmtId="0" fontId="20" fillId="16" borderId="18" xfId="0" applyFont="1" applyFill="1" applyBorder="1" applyAlignment="1" applyProtection="1">
      <alignment horizontal="center" vertical="center" wrapText="1" readingOrder="1"/>
      <protection hidden="1"/>
    </xf>
    <xf numFmtId="0" fontId="20" fillId="13" borderId="12" xfId="0" applyFont="1" applyFill="1" applyBorder="1" applyAlignment="1" applyProtection="1">
      <alignment horizontal="center" vertical="center" wrapText="1" readingOrder="1"/>
      <protection hidden="1"/>
    </xf>
    <xf numFmtId="0" fontId="20" fillId="13" borderId="19" xfId="0" applyFont="1" applyFill="1" applyBorder="1" applyAlignment="1" applyProtection="1">
      <alignment horizontal="center" vertic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6" borderId="13" xfId="0" applyFont="1" applyFill="1" applyBorder="1" applyAlignment="1" applyProtection="1">
      <alignment horizontal="center" vertical="center" wrapText="1" readingOrder="1"/>
      <protection hidden="1"/>
    </xf>
    <xf numFmtId="0" fontId="20" fillId="13" borderId="18" xfId="0" applyFont="1" applyFill="1" applyBorder="1" applyAlignment="1" applyProtection="1">
      <alignment horizontal="center" vertical="center" wrapText="1" readingOrder="1"/>
      <protection hidden="1"/>
    </xf>
    <xf numFmtId="0" fontId="20" fillId="13" borderId="13" xfId="0" applyFont="1" applyFill="1" applyBorder="1" applyAlignment="1" applyProtection="1">
      <alignment horizontal="center" vertical="center" wrapText="1" readingOrder="1"/>
      <protection hidden="1"/>
    </xf>
    <xf numFmtId="0" fontId="20" fillId="16" borderId="12" xfId="0" applyFont="1" applyFill="1" applyBorder="1" applyAlignment="1" applyProtection="1">
      <alignment horizontal="center" vertical="center" wrapText="1" readingOrder="1"/>
      <protection hidden="1"/>
    </xf>
    <xf numFmtId="0" fontId="20" fillId="13" borderId="16" xfId="0" applyFont="1" applyFill="1" applyBorder="1" applyAlignment="1" applyProtection="1">
      <alignment horizontal="center" vertical="center" wrapText="1" readingOrder="1"/>
      <protection hidden="1"/>
    </xf>
    <xf numFmtId="0" fontId="20" fillId="16" borderId="16"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vertical="center" wrapText="1" readingOrder="1"/>
      <protection hidden="1"/>
    </xf>
    <xf numFmtId="0" fontId="20" fillId="12" borderId="18" xfId="0" applyFont="1" applyFill="1" applyBorder="1" applyAlignment="1" applyProtection="1">
      <alignment horizontal="center" vertical="center" wrapText="1" readingOrder="1"/>
      <protection hidden="1"/>
    </xf>
    <xf numFmtId="0" fontId="20" fillId="12" borderId="17" xfId="0" applyFont="1" applyFill="1" applyBorder="1" applyAlignment="1" applyProtection="1">
      <alignment horizontal="center" vertical="center" wrapText="1" readingOrder="1"/>
      <protection hidden="1"/>
    </xf>
    <xf numFmtId="0" fontId="20" fillId="5" borderId="16" xfId="0" applyFont="1" applyFill="1" applyBorder="1" applyAlignment="1" applyProtection="1">
      <alignment horizontal="center" vertical="center" wrapText="1" readingOrder="1"/>
      <protection hidden="1"/>
    </xf>
    <xf numFmtId="0" fontId="20" fillId="5" borderId="18" xfId="0" applyFont="1" applyFill="1" applyBorder="1" applyAlignment="1" applyProtection="1">
      <alignment horizontal="center" vertical="center" wrapText="1" readingOrder="1"/>
      <protection hidden="1"/>
    </xf>
    <xf numFmtId="0" fontId="20" fillId="5" borderId="17"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vertical="center" wrapText="1" readingOrder="1"/>
      <protection hidden="1"/>
    </xf>
    <xf numFmtId="0" fontId="20" fillId="12" borderId="19" xfId="0" applyFont="1" applyFill="1" applyBorder="1" applyAlignment="1" applyProtection="1">
      <alignment horizontal="center" vertical="center" wrapText="1" readingOrder="1"/>
      <protection hidden="1"/>
    </xf>
    <xf numFmtId="0" fontId="20" fillId="12" borderId="13"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5" borderId="19" xfId="0" applyFont="1" applyFill="1" applyBorder="1" applyAlignment="1" applyProtection="1">
      <alignment horizontal="center" vertical="center" wrapText="1" readingOrder="1"/>
      <protection hidden="1"/>
    </xf>
    <xf numFmtId="0" fontId="20" fillId="16" borderId="17" xfId="0" applyFont="1" applyFill="1" applyBorder="1" applyAlignment="1" applyProtection="1">
      <alignment horizontal="center" vertical="center" wrapText="1" readingOrder="1"/>
      <protection hidden="1"/>
    </xf>
    <xf numFmtId="0" fontId="20" fillId="5" borderId="13" xfId="0" applyFont="1" applyFill="1" applyBorder="1" applyAlignment="1" applyProtection="1">
      <alignment horizontal="center" vertical="center" wrapText="1" readingOrder="1"/>
      <protection hidden="1"/>
    </xf>
    <xf numFmtId="0" fontId="20" fillId="5" borderId="12" xfId="0" applyFont="1" applyFill="1" applyBorder="1" applyAlignment="1" applyProtection="1">
      <alignment horizontal="center" vertical="center" wrapText="1" readingOrder="1"/>
      <protection hidden="1"/>
    </xf>
    <xf numFmtId="0" fontId="20" fillId="13" borderId="17" xfId="0" applyFont="1" applyFill="1" applyBorder="1" applyAlignment="1" applyProtection="1">
      <alignment horizontal="center" vertical="center" wrapText="1" readingOrder="1"/>
      <protection hidden="1"/>
    </xf>
    <xf numFmtId="0" fontId="21" fillId="12" borderId="12" xfId="0" applyFont="1" applyFill="1" applyBorder="1" applyAlignment="1">
      <alignment horizontal="center" vertical="center" wrapText="1" readingOrder="1"/>
    </xf>
    <xf numFmtId="0" fontId="21" fillId="12" borderId="19" xfId="0" applyFont="1" applyFill="1" applyBorder="1" applyAlignment="1">
      <alignment horizontal="center" vertical="center" wrapText="1" readingOrder="1"/>
    </xf>
    <xf numFmtId="0" fontId="21" fillId="12" borderId="13" xfId="0" applyFont="1" applyFill="1" applyBorder="1" applyAlignment="1">
      <alignment horizontal="center" vertical="center" wrapText="1" readingOrder="1"/>
    </xf>
    <xf numFmtId="0" fontId="21" fillId="12" borderId="14" xfId="0" applyFont="1" applyFill="1" applyBorder="1" applyAlignment="1">
      <alignment horizontal="center" vertical="center" wrapText="1" readingOrder="1"/>
    </xf>
    <xf numFmtId="0" fontId="21" fillId="12" borderId="0" xfId="0" applyFont="1" applyFill="1" applyAlignment="1">
      <alignment horizontal="center" vertical="center" wrapText="1" readingOrder="1"/>
    </xf>
    <xf numFmtId="0" fontId="21" fillId="12" borderId="15" xfId="0" applyFont="1" applyFill="1" applyBorder="1" applyAlignment="1">
      <alignment horizontal="center" vertical="center" wrapText="1" readingOrder="1"/>
    </xf>
    <xf numFmtId="0" fontId="21" fillId="12" borderId="16" xfId="0" applyFont="1" applyFill="1" applyBorder="1" applyAlignment="1">
      <alignment horizontal="center" vertical="center" wrapText="1" readingOrder="1"/>
    </xf>
    <xf numFmtId="0" fontId="21" fillId="12" borderId="18" xfId="0" applyFont="1" applyFill="1" applyBorder="1" applyAlignment="1">
      <alignment horizontal="center" vertical="center" wrapText="1" readingOrder="1"/>
    </xf>
    <xf numFmtId="0" fontId="21" fillId="12" borderId="17" xfId="0" applyFont="1" applyFill="1" applyBorder="1" applyAlignment="1">
      <alignment horizontal="center" vertical="center" wrapText="1" readingOrder="1"/>
    </xf>
    <xf numFmtId="0" fontId="21" fillId="11" borderId="12" xfId="0" applyFont="1" applyFill="1" applyBorder="1" applyAlignment="1">
      <alignment horizontal="center" vertical="center" wrapText="1" readingOrder="1"/>
    </xf>
    <xf numFmtId="0" fontId="21" fillId="11" borderId="19" xfId="0" applyFont="1" applyFill="1" applyBorder="1" applyAlignment="1">
      <alignment horizontal="center" vertical="center" wrapText="1" readingOrder="1"/>
    </xf>
    <xf numFmtId="0" fontId="21" fillId="11" borderId="13" xfId="0" applyFont="1" applyFill="1" applyBorder="1" applyAlignment="1">
      <alignment horizontal="center" vertical="center" wrapText="1" readingOrder="1"/>
    </xf>
    <xf numFmtId="0" fontId="21" fillId="11" borderId="14" xfId="0" applyFont="1" applyFill="1" applyBorder="1" applyAlignment="1">
      <alignment horizontal="center" vertical="center" wrapText="1" readingOrder="1"/>
    </xf>
    <xf numFmtId="0" fontId="21" fillId="11" borderId="0" xfId="0" applyFont="1" applyFill="1" applyAlignment="1">
      <alignment horizontal="center" vertical="center" wrapText="1" readingOrder="1"/>
    </xf>
    <xf numFmtId="0" fontId="21" fillId="11" borderId="15" xfId="0" applyFont="1" applyFill="1" applyBorder="1" applyAlignment="1">
      <alignment horizontal="center" vertical="center" wrapText="1" readingOrder="1"/>
    </xf>
    <xf numFmtId="0" fontId="21" fillId="11" borderId="16" xfId="0" applyFont="1" applyFill="1" applyBorder="1" applyAlignment="1">
      <alignment horizontal="center" vertical="center" wrapText="1" readingOrder="1"/>
    </xf>
    <xf numFmtId="0" fontId="21" fillId="11" borderId="18" xfId="0" applyFont="1" applyFill="1" applyBorder="1" applyAlignment="1">
      <alignment horizontal="center" vertical="center" wrapText="1" readingOrder="1"/>
    </xf>
    <xf numFmtId="0" fontId="21" fillId="11" borderId="17" xfId="0" applyFont="1" applyFill="1" applyBorder="1" applyAlignment="1">
      <alignment horizontal="center" vertical="center" wrapText="1" readingOrder="1"/>
    </xf>
    <xf numFmtId="0" fontId="21" fillId="13" borderId="12" xfId="0" applyFont="1" applyFill="1" applyBorder="1" applyAlignment="1">
      <alignment horizontal="center" vertical="center" wrapText="1" readingOrder="1"/>
    </xf>
    <xf numFmtId="0" fontId="21" fillId="13" borderId="19" xfId="0" applyFont="1" applyFill="1" applyBorder="1" applyAlignment="1">
      <alignment horizontal="center" vertical="center" wrapText="1" readingOrder="1"/>
    </xf>
    <xf numFmtId="0" fontId="21" fillId="13" borderId="13" xfId="0" applyFont="1" applyFill="1" applyBorder="1" applyAlignment="1">
      <alignment horizontal="center" vertical="center" wrapText="1" readingOrder="1"/>
    </xf>
    <xf numFmtId="0" fontId="21" fillId="13" borderId="14" xfId="0" applyFont="1" applyFill="1" applyBorder="1" applyAlignment="1">
      <alignment horizontal="center" vertical="center" wrapText="1" readingOrder="1"/>
    </xf>
    <xf numFmtId="0" fontId="21" fillId="13" borderId="0" xfId="0" applyFont="1" applyFill="1" applyAlignment="1">
      <alignment horizontal="center" vertical="center" wrapText="1" readingOrder="1"/>
    </xf>
    <xf numFmtId="0" fontId="21" fillId="13" borderId="15" xfId="0" applyFont="1" applyFill="1" applyBorder="1" applyAlignment="1">
      <alignment horizontal="center" vertical="center" wrapText="1" readingOrder="1"/>
    </xf>
    <xf numFmtId="0" fontId="21" fillId="13" borderId="16" xfId="0" applyFont="1" applyFill="1" applyBorder="1" applyAlignment="1">
      <alignment horizontal="center" vertical="center" wrapText="1" readingOrder="1"/>
    </xf>
    <xf numFmtId="0" fontId="21" fillId="13" borderId="18" xfId="0" applyFont="1" applyFill="1" applyBorder="1" applyAlignment="1">
      <alignment horizontal="center" vertical="center" wrapText="1" readingOrder="1"/>
    </xf>
    <xf numFmtId="0" fontId="21" fillId="13" borderId="17" xfId="0" applyFont="1" applyFill="1" applyBorder="1" applyAlignment="1">
      <alignment horizontal="center" vertical="center" wrapText="1" readingOrder="1"/>
    </xf>
    <xf numFmtId="0" fontId="21" fillId="5" borderId="12" xfId="0" applyFont="1" applyFill="1" applyBorder="1" applyAlignment="1">
      <alignment horizontal="center" vertical="center" wrapText="1" readingOrder="1"/>
    </xf>
    <xf numFmtId="0" fontId="21" fillId="5" borderId="19" xfId="0" applyFont="1" applyFill="1" applyBorder="1" applyAlignment="1">
      <alignment horizontal="center" vertical="center" wrapText="1" readingOrder="1"/>
    </xf>
    <xf numFmtId="0" fontId="21" fillId="5" borderId="13" xfId="0" applyFont="1" applyFill="1" applyBorder="1" applyAlignment="1">
      <alignment horizontal="center" vertical="center" wrapText="1" readingOrder="1"/>
    </xf>
    <xf numFmtId="0" fontId="21" fillId="5" borderId="14" xfId="0" applyFont="1" applyFill="1" applyBorder="1" applyAlignment="1">
      <alignment horizontal="center" vertical="center" wrapText="1" readingOrder="1"/>
    </xf>
    <xf numFmtId="0" fontId="21" fillId="5" borderId="0" xfId="0" applyFont="1" applyFill="1" applyAlignment="1">
      <alignment horizontal="center" vertical="center" wrapText="1" readingOrder="1"/>
    </xf>
    <xf numFmtId="0" fontId="21" fillId="5" borderId="15" xfId="0" applyFont="1" applyFill="1" applyBorder="1" applyAlignment="1">
      <alignment horizontal="center" vertical="center" wrapText="1" readingOrder="1"/>
    </xf>
    <xf numFmtId="0" fontId="21" fillId="5" borderId="16" xfId="0" applyFont="1" applyFill="1" applyBorder="1" applyAlignment="1">
      <alignment horizontal="center" vertical="center" wrapText="1" readingOrder="1"/>
    </xf>
    <xf numFmtId="0" fontId="21" fillId="5" borderId="18" xfId="0" applyFont="1" applyFill="1" applyBorder="1" applyAlignment="1">
      <alignment horizontal="center" vertical="center" wrapText="1" readingOrder="1"/>
    </xf>
    <xf numFmtId="0" fontId="21" fillId="5" borderId="17" xfId="0" applyFont="1" applyFill="1" applyBorder="1" applyAlignment="1">
      <alignment horizontal="center" vertical="center" wrapText="1" readingOrder="1"/>
    </xf>
    <xf numFmtId="0" fontId="17" fillId="0" borderId="12" xfId="0" applyFont="1" applyBorder="1" applyAlignment="1">
      <alignment horizontal="center" vertical="center" wrapText="1"/>
    </xf>
    <xf numFmtId="0" fontId="17" fillId="0" borderId="19" xfId="0" applyFont="1" applyBorder="1" applyAlignment="1">
      <alignment horizontal="center" vertical="center"/>
    </xf>
    <xf numFmtId="0" fontId="17" fillId="0" borderId="14" xfId="0" applyFont="1" applyBorder="1" applyAlignment="1">
      <alignment horizontal="center" vertical="center"/>
    </xf>
    <xf numFmtId="0" fontId="17" fillId="0" borderId="0" xfId="0" applyFont="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17" xfId="0" applyFont="1" applyBorder="1" applyAlignment="1">
      <alignment horizontal="center" vertical="center"/>
    </xf>
    <xf numFmtId="0" fontId="17" fillId="0" borderId="14" xfId="0" applyFont="1" applyBorder="1" applyAlignment="1">
      <alignment horizontal="center" vertical="center" wrapText="1"/>
    </xf>
    <xf numFmtId="0" fontId="20" fillId="11" borderId="12"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17" fillId="0" borderId="0" xfId="0" applyFont="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horizontal="center" vertical="center"/>
    </xf>
    <xf numFmtId="0" fontId="44" fillId="0" borderId="0" xfId="0" applyFont="1" applyAlignment="1">
      <alignment horizontal="center" vertical="center"/>
    </xf>
    <xf numFmtId="0" fontId="39" fillId="15" borderId="27" xfId="0" applyFont="1" applyFill="1" applyBorder="1" applyAlignment="1">
      <alignment horizontal="center" vertical="center" wrapText="1" readingOrder="1"/>
    </xf>
    <xf numFmtId="0" fontId="39" fillId="15" borderId="28" xfId="0" applyFont="1" applyFill="1" applyBorder="1" applyAlignment="1">
      <alignment horizontal="center" vertical="center" wrapText="1" readingOrder="1"/>
    </xf>
    <xf numFmtId="0" fontId="39" fillId="15" borderId="39" xfId="0" applyFont="1" applyFill="1" applyBorder="1" applyAlignment="1">
      <alignment horizontal="center" vertical="center" wrapText="1" readingOrder="1"/>
    </xf>
    <xf numFmtId="0" fontId="34" fillId="3" borderId="0" xfId="0" applyFont="1" applyFill="1" applyAlignment="1">
      <alignment horizontal="justify" vertical="center" wrapText="1"/>
    </xf>
    <xf numFmtId="0" fontId="36" fillId="15" borderId="36" xfId="0" applyFont="1" applyFill="1" applyBorder="1" applyAlignment="1">
      <alignment horizontal="center" vertical="center" wrapText="1" readingOrder="1"/>
    </xf>
    <xf numFmtId="0" fontId="36" fillId="15" borderId="37" xfId="0" applyFont="1" applyFill="1" applyBorder="1" applyAlignment="1">
      <alignment horizontal="center" vertical="center" wrapText="1" readingOrder="1"/>
    </xf>
    <xf numFmtId="0" fontId="36" fillId="3" borderId="34" xfId="0" applyFont="1" applyFill="1" applyBorder="1" applyAlignment="1">
      <alignment horizontal="center" vertical="center" wrapText="1" readingOrder="1"/>
    </xf>
    <xf numFmtId="0" fontId="36" fillId="3" borderId="29" xfId="0" applyFont="1" applyFill="1" applyBorder="1" applyAlignment="1">
      <alignment horizontal="center" vertical="center" wrapText="1" readingOrder="1"/>
    </xf>
    <xf numFmtId="0" fontId="36" fillId="3" borderId="26" xfId="0" applyFont="1" applyFill="1" applyBorder="1" applyAlignment="1">
      <alignment horizontal="center" vertical="center" wrapText="1" readingOrder="1"/>
    </xf>
    <xf numFmtId="0" fontId="36" fillId="3" borderId="25" xfId="0" applyFont="1" applyFill="1" applyBorder="1" applyAlignment="1">
      <alignment horizontal="center" vertical="center" wrapText="1" readingOrder="1"/>
    </xf>
    <xf numFmtId="0" fontId="36" fillId="3" borderId="31" xfId="0" applyFont="1" applyFill="1" applyBorder="1" applyAlignment="1">
      <alignment horizontal="center" vertical="center" wrapText="1" readingOrder="1"/>
    </xf>
    <xf numFmtId="0" fontId="36" fillId="3" borderId="32" xfId="0" applyFont="1" applyFill="1" applyBorder="1" applyAlignment="1">
      <alignment horizontal="center" vertical="center" wrapText="1" readingOrder="1"/>
    </xf>
  </cellXfs>
  <cellStyles count="5">
    <cellStyle name="Normal" xfId="0" builtinId="0"/>
    <cellStyle name="Normal - Style1 2" xfId="2"/>
    <cellStyle name="Normal 2" xfId="4"/>
    <cellStyle name="Normal 2 2" xfId="3"/>
    <cellStyle name="Porcentaje" xfId="1" builtinId="5"/>
  </cellStyles>
  <dxfs count="705">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1" defaultTableStyle="TableStyleMedium2" defaultPivotStyle="PivotStyleLight16">
    <tableStyle name="Invisible" pivot="0" table="0" count="0"/>
  </tableStyles>
  <colors>
    <mruColors>
      <color rgb="FFFFCC00"/>
      <color rgb="FFFFFF66"/>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lujo6\Downloads\Mapa_riesgos_Ejec_Proy_2024_Propuesta_SG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triz Calor Residual"/>
      <sheetName val="Mapa final"/>
      <sheetName val="Matriz Calor Inherente"/>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ndres Marin" refreshedDate="44186.276661689815" createdVersion="6" refreshedVersion="6" minRefreshableVersion="3" recordCount="1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n="El riesgo afecta la imagen de la entidad internamente, de conocimiento general, nivel interno, de junta directiva y accionistas y/o de proveedores" x="6"/>
        <item x="7"/>
        <item n="El riesgo afecta la imagen de la entidad con efecto publicitario sostenido a nivel de sector administrativo, nivel departamental o municipal"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a1" displayName="Tabla1" ref="B209:C219" totalsRowShown="0" headerRowDxfId="3" dataDxfId="2">
  <autoFilter ref="B209:C219"/>
  <tableColumns count="2">
    <tableColumn id="1" name="Criterios" dataDxfId="1"/>
    <tableColumn id="2"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drive/folders/1mKrxYwojtzpc3B79x_L_z1J56ZeRneH4?usp=share_link" TargetMode="External"/><Relationship Id="rId13" Type="http://schemas.openxmlformats.org/officeDocument/2006/relationships/printerSettings" Target="../printerSettings/printerSettings3.bin"/><Relationship Id="rId3" Type="http://schemas.openxmlformats.org/officeDocument/2006/relationships/hyperlink" Target="https://drive.google.com/drive/folders/10lNYZEv-ZrAbu8frQ-p9uXFkf0LOY3tf?usp=share_link" TargetMode="External"/><Relationship Id="rId7" Type="http://schemas.openxmlformats.org/officeDocument/2006/relationships/hyperlink" Target="https://drive.google.com/drive/folders/1pX96oOwkz9PrvrsIHGtOWj81murpCPR-?usp=share_link" TargetMode="External"/><Relationship Id="rId12" Type="http://schemas.openxmlformats.org/officeDocument/2006/relationships/hyperlink" Target="https://drive.google.com/drive/u/2/folders/1DJ0p63Y4dlmW3SUOIjdpOhVoDmj8xXSL" TargetMode="External"/><Relationship Id="rId2" Type="http://schemas.openxmlformats.org/officeDocument/2006/relationships/hyperlink" Target="https://drive.google.com/drive/u/0/folders/1q4AvnXBNy0EvF48FgLXCz2O9c17PWXtC" TargetMode="External"/><Relationship Id="rId1" Type="http://schemas.openxmlformats.org/officeDocument/2006/relationships/hyperlink" Target="https://drive.google.com/drive/u/0/folders/1q4AvnXBNy0EvF48FgLXCz2O9c17PWXtC" TargetMode="External"/><Relationship Id="rId6" Type="http://schemas.openxmlformats.org/officeDocument/2006/relationships/hyperlink" Target="https://drive.google.com/drive/folders/1pX96oOwkz9PrvrsIHGtOWj81murpCPR-?usp=share_link" TargetMode="External"/><Relationship Id="rId11" Type="http://schemas.openxmlformats.org/officeDocument/2006/relationships/hyperlink" Target="https://drive.google.com/drive/u/2/folders/1DJ0p63Y4dlmW3SUOIjdpOhVoDmj8xXSL" TargetMode="External"/><Relationship Id="rId5" Type="http://schemas.openxmlformats.org/officeDocument/2006/relationships/hyperlink" Target="https://drive.google.com/drive/folders/1W_oAmlh9KSHqoQM6VHnUUDg3JKTAoqHJ?usp=share_link" TargetMode="External"/><Relationship Id="rId10" Type="http://schemas.openxmlformats.org/officeDocument/2006/relationships/hyperlink" Target="https://drive.google.com/drive/u/2/folders/1DJ0p63Y4dlmW3SUOIjdpOhVoDmj8xXSL" TargetMode="External"/><Relationship Id="rId4" Type="http://schemas.openxmlformats.org/officeDocument/2006/relationships/hyperlink" Target="https://drive.google.com/drive/u/1/folders/1uGEDos7_MnjDLjfgsgRX6ssfw3eMbCzv" TargetMode="External"/><Relationship Id="rId9" Type="http://schemas.openxmlformats.org/officeDocument/2006/relationships/hyperlink" Target="https://drive.google.com/drive/u/2/folders/1DJ0p63Y4dlmW3SUOIjdpOhVoDmj8xXS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5"/>
  <sheetViews>
    <sheetView topLeftCell="B37" zoomScale="110" zoomScaleNormal="110" workbookViewId="0">
      <selection activeCell="B43" sqref="B43:H43"/>
    </sheetView>
  </sheetViews>
  <sheetFormatPr baseColWidth="10" defaultColWidth="11.42578125" defaultRowHeight="15" x14ac:dyDescent="0.25"/>
  <cols>
    <col min="1" max="1" width="2.85546875" style="38" customWidth="1"/>
    <col min="2" max="3" width="24.5703125" style="38" customWidth="1"/>
    <col min="4" max="4" width="16" style="38" customWidth="1"/>
    <col min="5" max="5" width="24.5703125" style="38" customWidth="1"/>
    <col min="6" max="6" width="27.5703125" style="38" customWidth="1"/>
    <col min="7" max="8" width="24.5703125" style="38" customWidth="1"/>
    <col min="9" max="16384" width="11.42578125" style="38"/>
  </cols>
  <sheetData>
    <row r="1" spans="2:8" ht="15.75" thickBot="1" x14ac:dyDescent="0.3"/>
    <row r="2" spans="2:8" ht="18" x14ac:dyDescent="0.25">
      <c r="B2" s="304" t="s">
        <v>140</v>
      </c>
      <c r="C2" s="305"/>
      <c r="D2" s="305"/>
      <c r="E2" s="305"/>
      <c r="F2" s="305"/>
      <c r="G2" s="305"/>
      <c r="H2" s="306"/>
    </row>
    <row r="3" spans="2:8" x14ac:dyDescent="0.25">
      <c r="B3" s="39"/>
      <c r="C3" s="40"/>
      <c r="D3" s="40"/>
      <c r="E3" s="40"/>
      <c r="F3" s="40"/>
      <c r="G3" s="40"/>
      <c r="H3" s="41"/>
    </row>
    <row r="4" spans="2:8" ht="63" customHeight="1" x14ac:dyDescent="0.25">
      <c r="B4" s="307" t="s">
        <v>183</v>
      </c>
      <c r="C4" s="308"/>
      <c r="D4" s="308"/>
      <c r="E4" s="308"/>
      <c r="F4" s="308"/>
      <c r="G4" s="308"/>
      <c r="H4" s="309"/>
    </row>
    <row r="5" spans="2:8" ht="63" customHeight="1" x14ac:dyDescent="0.25">
      <c r="B5" s="310"/>
      <c r="C5" s="311"/>
      <c r="D5" s="311"/>
      <c r="E5" s="311"/>
      <c r="F5" s="311"/>
      <c r="G5" s="311"/>
      <c r="H5" s="312"/>
    </row>
    <row r="6" spans="2:8" ht="16.5" x14ac:dyDescent="0.25">
      <c r="B6" s="313" t="s">
        <v>138</v>
      </c>
      <c r="C6" s="314"/>
      <c r="D6" s="314"/>
      <c r="E6" s="314"/>
      <c r="F6" s="314"/>
      <c r="G6" s="314"/>
      <c r="H6" s="315"/>
    </row>
    <row r="7" spans="2:8" ht="95.25" customHeight="1" x14ac:dyDescent="0.25">
      <c r="B7" s="323" t="s">
        <v>143</v>
      </c>
      <c r="C7" s="324"/>
      <c r="D7" s="324"/>
      <c r="E7" s="324"/>
      <c r="F7" s="324"/>
      <c r="G7" s="324"/>
      <c r="H7" s="325"/>
    </row>
    <row r="8" spans="2:8" ht="16.5" x14ac:dyDescent="0.25">
      <c r="B8" s="75"/>
      <c r="C8" s="76"/>
      <c r="D8" s="76"/>
      <c r="E8" s="76"/>
      <c r="F8" s="76"/>
      <c r="G8" s="76"/>
      <c r="H8" s="77"/>
    </row>
    <row r="9" spans="2:8" ht="16.5" customHeight="1" x14ac:dyDescent="0.25">
      <c r="B9" s="316" t="s">
        <v>176</v>
      </c>
      <c r="C9" s="317"/>
      <c r="D9" s="317"/>
      <c r="E9" s="317"/>
      <c r="F9" s="317"/>
      <c r="G9" s="317"/>
      <c r="H9" s="318"/>
    </row>
    <row r="10" spans="2:8" ht="44.25" customHeight="1" x14ac:dyDescent="0.25">
      <c r="B10" s="316"/>
      <c r="C10" s="317"/>
      <c r="D10" s="317"/>
      <c r="E10" s="317"/>
      <c r="F10" s="317"/>
      <c r="G10" s="317"/>
      <c r="H10" s="318"/>
    </row>
    <row r="11" spans="2:8" ht="15.75" thickBot="1" x14ac:dyDescent="0.3">
      <c r="B11" s="64"/>
      <c r="C11" s="67"/>
      <c r="D11" s="72"/>
      <c r="E11" s="73"/>
      <c r="F11" s="73"/>
      <c r="G11" s="74"/>
      <c r="H11" s="68"/>
    </row>
    <row r="12" spans="2:8" ht="15.75" thickTop="1" x14ac:dyDescent="0.25">
      <c r="B12" s="64"/>
      <c r="C12" s="319" t="s">
        <v>139</v>
      </c>
      <c r="D12" s="320"/>
      <c r="E12" s="321" t="s">
        <v>177</v>
      </c>
      <c r="F12" s="322"/>
      <c r="G12" s="67"/>
      <c r="H12" s="68"/>
    </row>
    <row r="13" spans="2:8" ht="35.25" customHeight="1" x14ac:dyDescent="0.25">
      <c r="B13" s="64"/>
      <c r="C13" s="291" t="s">
        <v>170</v>
      </c>
      <c r="D13" s="292"/>
      <c r="E13" s="293" t="s">
        <v>175</v>
      </c>
      <c r="F13" s="294"/>
      <c r="G13" s="67"/>
      <c r="H13" s="68"/>
    </row>
    <row r="14" spans="2:8" ht="17.25" customHeight="1" x14ac:dyDescent="0.25">
      <c r="B14" s="64"/>
      <c r="C14" s="291" t="s">
        <v>171</v>
      </c>
      <c r="D14" s="292"/>
      <c r="E14" s="293" t="s">
        <v>173</v>
      </c>
      <c r="F14" s="294"/>
      <c r="G14" s="67"/>
      <c r="H14" s="68"/>
    </row>
    <row r="15" spans="2:8" ht="19.5" customHeight="1" x14ac:dyDescent="0.25">
      <c r="B15" s="64"/>
      <c r="C15" s="291" t="s">
        <v>172</v>
      </c>
      <c r="D15" s="292"/>
      <c r="E15" s="293" t="s">
        <v>174</v>
      </c>
      <c r="F15" s="294"/>
      <c r="G15" s="67"/>
      <c r="H15" s="68"/>
    </row>
    <row r="16" spans="2:8" ht="69.75" customHeight="1" x14ac:dyDescent="0.25">
      <c r="B16" s="64"/>
      <c r="C16" s="291" t="s">
        <v>141</v>
      </c>
      <c r="D16" s="292"/>
      <c r="E16" s="293" t="s">
        <v>142</v>
      </c>
      <c r="F16" s="294"/>
      <c r="G16" s="67"/>
      <c r="H16" s="68"/>
    </row>
    <row r="17" spans="2:8" ht="34.5" customHeight="1" x14ac:dyDescent="0.25">
      <c r="B17" s="64"/>
      <c r="C17" s="295" t="s">
        <v>2</v>
      </c>
      <c r="D17" s="296"/>
      <c r="E17" s="287" t="s">
        <v>184</v>
      </c>
      <c r="F17" s="288"/>
      <c r="G17" s="67"/>
      <c r="H17" s="68"/>
    </row>
    <row r="18" spans="2:8" ht="27.75" customHeight="1" x14ac:dyDescent="0.25">
      <c r="B18" s="64"/>
      <c r="C18" s="295" t="s">
        <v>3</v>
      </c>
      <c r="D18" s="296"/>
      <c r="E18" s="287" t="s">
        <v>185</v>
      </c>
      <c r="F18" s="288"/>
      <c r="G18" s="67"/>
      <c r="H18" s="68"/>
    </row>
    <row r="19" spans="2:8" ht="28.5" customHeight="1" x14ac:dyDescent="0.25">
      <c r="B19" s="64"/>
      <c r="C19" s="295" t="s">
        <v>38</v>
      </c>
      <c r="D19" s="296"/>
      <c r="E19" s="287" t="s">
        <v>186</v>
      </c>
      <c r="F19" s="288"/>
      <c r="G19" s="67"/>
      <c r="H19" s="68"/>
    </row>
    <row r="20" spans="2:8" ht="72.75" customHeight="1" x14ac:dyDescent="0.25">
      <c r="B20" s="64"/>
      <c r="C20" s="295" t="s">
        <v>1</v>
      </c>
      <c r="D20" s="296"/>
      <c r="E20" s="287" t="s">
        <v>187</v>
      </c>
      <c r="F20" s="288"/>
      <c r="G20" s="67"/>
      <c r="H20" s="68"/>
    </row>
    <row r="21" spans="2:8" ht="64.5" customHeight="1" x14ac:dyDescent="0.25">
      <c r="B21" s="64"/>
      <c r="C21" s="295" t="s">
        <v>44</v>
      </c>
      <c r="D21" s="296"/>
      <c r="E21" s="287" t="s">
        <v>145</v>
      </c>
      <c r="F21" s="288"/>
      <c r="G21" s="67"/>
      <c r="H21" s="68"/>
    </row>
    <row r="22" spans="2:8" ht="71.25" customHeight="1" x14ac:dyDescent="0.25">
      <c r="B22" s="64"/>
      <c r="C22" s="295" t="s">
        <v>144</v>
      </c>
      <c r="D22" s="296"/>
      <c r="E22" s="287" t="s">
        <v>146</v>
      </c>
      <c r="F22" s="288"/>
      <c r="G22" s="67"/>
      <c r="H22" s="68"/>
    </row>
    <row r="23" spans="2:8" ht="55.5" customHeight="1" x14ac:dyDescent="0.25">
      <c r="B23" s="64"/>
      <c r="C23" s="289" t="s">
        <v>147</v>
      </c>
      <c r="D23" s="290"/>
      <c r="E23" s="287" t="s">
        <v>148</v>
      </c>
      <c r="F23" s="288"/>
      <c r="G23" s="67"/>
      <c r="H23" s="68"/>
    </row>
    <row r="24" spans="2:8" ht="42" customHeight="1" x14ac:dyDescent="0.25">
      <c r="B24" s="64"/>
      <c r="C24" s="289" t="s">
        <v>42</v>
      </c>
      <c r="D24" s="290"/>
      <c r="E24" s="287" t="s">
        <v>149</v>
      </c>
      <c r="F24" s="288"/>
      <c r="G24" s="67"/>
      <c r="H24" s="68"/>
    </row>
    <row r="25" spans="2:8" ht="59.25" customHeight="1" x14ac:dyDescent="0.25">
      <c r="B25" s="64"/>
      <c r="C25" s="289" t="s">
        <v>137</v>
      </c>
      <c r="D25" s="290"/>
      <c r="E25" s="287" t="s">
        <v>150</v>
      </c>
      <c r="F25" s="288"/>
      <c r="G25" s="67"/>
      <c r="H25" s="68"/>
    </row>
    <row r="26" spans="2:8" ht="23.25" customHeight="1" x14ac:dyDescent="0.25">
      <c r="B26" s="64"/>
      <c r="C26" s="289" t="s">
        <v>12</v>
      </c>
      <c r="D26" s="290"/>
      <c r="E26" s="287" t="s">
        <v>151</v>
      </c>
      <c r="F26" s="288"/>
      <c r="G26" s="67"/>
      <c r="H26" s="68"/>
    </row>
    <row r="27" spans="2:8" ht="30.75" customHeight="1" x14ac:dyDescent="0.25">
      <c r="B27" s="64"/>
      <c r="C27" s="289" t="s">
        <v>155</v>
      </c>
      <c r="D27" s="290"/>
      <c r="E27" s="287" t="s">
        <v>152</v>
      </c>
      <c r="F27" s="288"/>
      <c r="G27" s="67"/>
      <c r="H27" s="68"/>
    </row>
    <row r="28" spans="2:8" ht="35.25" customHeight="1" x14ac:dyDescent="0.25">
      <c r="B28" s="64"/>
      <c r="C28" s="289" t="s">
        <v>156</v>
      </c>
      <c r="D28" s="290"/>
      <c r="E28" s="287" t="s">
        <v>153</v>
      </c>
      <c r="F28" s="288"/>
      <c r="G28" s="67"/>
      <c r="H28" s="68"/>
    </row>
    <row r="29" spans="2:8" ht="33" customHeight="1" x14ac:dyDescent="0.25">
      <c r="B29" s="64"/>
      <c r="C29" s="289" t="s">
        <v>156</v>
      </c>
      <c r="D29" s="290"/>
      <c r="E29" s="287" t="s">
        <v>153</v>
      </c>
      <c r="F29" s="288"/>
      <c r="G29" s="67"/>
      <c r="H29" s="68"/>
    </row>
    <row r="30" spans="2:8" ht="30" customHeight="1" x14ac:dyDescent="0.25">
      <c r="B30" s="64"/>
      <c r="C30" s="289" t="s">
        <v>157</v>
      </c>
      <c r="D30" s="290"/>
      <c r="E30" s="287" t="s">
        <v>154</v>
      </c>
      <c r="F30" s="288"/>
      <c r="G30" s="67"/>
      <c r="H30" s="68"/>
    </row>
    <row r="31" spans="2:8" ht="35.25" customHeight="1" x14ac:dyDescent="0.25">
      <c r="B31" s="64"/>
      <c r="C31" s="289" t="s">
        <v>158</v>
      </c>
      <c r="D31" s="290"/>
      <c r="E31" s="287" t="s">
        <v>159</v>
      </c>
      <c r="F31" s="288"/>
      <c r="G31" s="67"/>
      <c r="H31" s="68"/>
    </row>
    <row r="32" spans="2:8" ht="31.5" customHeight="1" x14ac:dyDescent="0.25">
      <c r="B32" s="64"/>
      <c r="C32" s="289" t="s">
        <v>160</v>
      </c>
      <c r="D32" s="290"/>
      <c r="E32" s="287" t="s">
        <v>161</v>
      </c>
      <c r="F32" s="288"/>
      <c r="G32" s="67"/>
      <c r="H32" s="68"/>
    </row>
    <row r="33" spans="2:8" ht="35.25" customHeight="1" x14ac:dyDescent="0.25">
      <c r="B33" s="64"/>
      <c r="C33" s="289" t="s">
        <v>162</v>
      </c>
      <c r="D33" s="290"/>
      <c r="E33" s="287" t="s">
        <v>163</v>
      </c>
      <c r="F33" s="288"/>
      <c r="G33" s="67"/>
      <c r="H33" s="68"/>
    </row>
    <row r="34" spans="2:8" ht="59.25" customHeight="1" x14ac:dyDescent="0.25">
      <c r="B34" s="64"/>
      <c r="C34" s="289" t="s">
        <v>164</v>
      </c>
      <c r="D34" s="290"/>
      <c r="E34" s="287" t="s">
        <v>165</v>
      </c>
      <c r="F34" s="288"/>
      <c r="G34" s="67"/>
      <c r="H34" s="68"/>
    </row>
    <row r="35" spans="2:8" ht="29.25" customHeight="1" x14ac:dyDescent="0.25">
      <c r="B35" s="64"/>
      <c r="C35" s="289" t="s">
        <v>29</v>
      </c>
      <c r="D35" s="290"/>
      <c r="E35" s="287" t="s">
        <v>166</v>
      </c>
      <c r="F35" s="288"/>
      <c r="G35" s="67"/>
      <c r="H35" s="68"/>
    </row>
    <row r="36" spans="2:8" ht="82.5" customHeight="1" x14ac:dyDescent="0.25">
      <c r="B36" s="64"/>
      <c r="C36" s="289" t="s">
        <v>168</v>
      </c>
      <c r="D36" s="290"/>
      <c r="E36" s="287" t="s">
        <v>167</v>
      </c>
      <c r="F36" s="288"/>
      <c r="G36" s="67"/>
      <c r="H36" s="68"/>
    </row>
    <row r="37" spans="2:8" ht="46.5" customHeight="1" x14ac:dyDescent="0.25">
      <c r="B37" s="64"/>
      <c r="C37" s="289" t="s">
        <v>35</v>
      </c>
      <c r="D37" s="290"/>
      <c r="E37" s="287" t="s">
        <v>169</v>
      </c>
      <c r="F37" s="288"/>
      <c r="G37" s="67"/>
      <c r="H37" s="68"/>
    </row>
    <row r="38" spans="2:8" ht="6.75" customHeight="1" thickBot="1" x14ac:dyDescent="0.3">
      <c r="B38" s="64"/>
      <c r="C38" s="300"/>
      <c r="D38" s="301"/>
      <c r="E38" s="302"/>
      <c r="F38" s="303"/>
      <c r="G38" s="67"/>
      <c r="H38" s="68"/>
    </row>
    <row r="39" spans="2:8" ht="15.75" thickTop="1" x14ac:dyDescent="0.25">
      <c r="B39" s="64"/>
      <c r="C39" s="65"/>
      <c r="D39" s="65"/>
      <c r="E39" s="66"/>
      <c r="F39" s="66"/>
      <c r="G39" s="67"/>
      <c r="H39" s="68"/>
    </row>
    <row r="40" spans="2:8" ht="21" customHeight="1" x14ac:dyDescent="0.25">
      <c r="B40" s="297" t="s">
        <v>178</v>
      </c>
      <c r="C40" s="298"/>
      <c r="D40" s="298"/>
      <c r="E40" s="298"/>
      <c r="F40" s="298"/>
      <c r="G40" s="298"/>
      <c r="H40" s="299"/>
    </row>
    <row r="41" spans="2:8" ht="20.25" customHeight="1" x14ac:dyDescent="0.25">
      <c r="B41" s="297" t="s">
        <v>179</v>
      </c>
      <c r="C41" s="298"/>
      <c r="D41" s="298"/>
      <c r="E41" s="298"/>
      <c r="F41" s="298"/>
      <c r="G41" s="298"/>
      <c r="H41" s="299"/>
    </row>
    <row r="42" spans="2:8" ht="20.25" customHeight="1" x14ac:dyDescent="0.25">
      <c r="B42" s="297" t="s">
        <v>180</v>
      </c>
      <c r="C42" s="298"/>
      <c r="D42" s="298"/>
      <c r="E42" s="298"/>
      <c r="F42" s="298"/>
      <c r="G42" s="298"/>
      <c r="H42" s="299"/>
    </row>
    <row r="43" spans="2:8" ht="20.25" customHeight="1" x14ac:dyDescent="0.25">
      <c r="B43" s="297" t="s">
        <v>181</v>
      </c>
      <c r="C43" s="298"/>
      <c r="D43" s="298"/>
      <c r="E43" s="298"/>
      <c r="F43" s="298"/>
      <c r="G43" s="298"/>
      <c r="H43" s="299"/>
    </row>
    <row r="44" spans="2:8" x14ac:dyDescent="0.25">
      <c r="B44" s="297" t="s">
        <v>182</v>
      </c>
      <c r="C44" s="298"/>
      <c r="D44" s="298"/>
      <c r="E44" s="298"/>
      <c r="F44" s="298"/>
      <c r="G44" s="298"/>
      <c r="H44" s="299"/>
    </row>
    <row r="45" spans="2:8" ht="15.75" thickBot="1" x14ac:dyDescent="0.3">
      <c r="B45" s="69"/>
      <c r="C45" s="70"/>
      <c r="D45" s="70"/>
      <c r="E45" s="70"/>
      <c r="F45" s="70"/>
      <c r="G45" s="70"/>
      <c r="H45" s="71"/>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413"/>
  <sheetViews>
    <sheetView topLeftCell="A130" zoomScale="70" zoomScaleNormal="70" workbookViewId="0">
      <selection activeCell="P135" sqref="P135"/>
    </sheetView>
  </sheetViews>
  <sheetFormatPr baseColWidth="10" defaultRowHeight="15" x14ac:dyDescent="0.25"/>
  <cols>
    <col min="2" max="9" width="5.5703125" customWidth="1"/>
    <col min="10" max="10" width="10.5703125" bestFit="1" customWidth="1"/>
    <col min="11" max="12" width="11" bestFit="1" customWidth="1"/>
    <col min="13" max="13" width="10.5703125" bestFit="1" customWidth="1"/>
    <col min="14" max="15" width="11" bestFit="1" customWidth="1"/>
    <col min="16" max="16" width="10.85546875" customWidth="1"/>
    <col min="17" max="17" width="11" bestFit="1" customWidth="1"/>
    <col min="18" max="18" width="11" customWidth="1"/>
    <col min="19" max="19" width="10.5703125" bestFit="1" customWidth="1"/>
    <col min="20" max="21" width="11" customWidth="1"/>
    <col min="22" max="22" width="10.85546875" bestFit="1" customWidth="1"/>
    <col min="23" max="24" width="9.5703125" customWidth="1"/>
    <col min="26" max="31" width="5.5703125" customWidth="1"/>
  </cols>
  <sheetData>
    <row r="1" spans="1:76"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row>
    <row r="2" spans="1:76" ht="18" customHeight="1" x14ac:dyDescent="0.25">
      <c r="A2" s="38"/>
      <c r="B2" s="349" t="s">
        <v>134</v>
      </c>
      <c r="C2" s="350"/>
      <c r="D2" s="350"/>
      <c r="E2" s="350"/>
      <c r="F2" s="350"/>
      <c r="G2" s="350"/>
      <c r="H2" s="350"/>
      <c r="I2" s="350"/>
      <c r="J2" s="351" t="s">
        <v>2</v>
      </c>
      <c r="K2" s="351"/>
      <c r="L2" s="351"/>
      <c r="M2" s="351"/>
      <c r="N2" s="351"/>
      <c r="O2" s="351"/>
      <c r="P2" s="351"/>
      <c r="Q2" s="351"/>
      <c r="R2" s="351"/>
      <c r="S2" s="351"/>
      <c r="T2" s="351"/>
      <c r="U2" s="351"/>
      <c r="V2" s="351"/>
      <c r="W2" s="351"/>
      <c r="X2" s="351"/>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row>
    <row r="3" spans="1:76" ht="18.75" customHeight="1" x14ac:dyDescent="0.25">
      <c r="A3" s="38"/>
      <c r="B3" s="350"/>
      <c r="C3" s="350"/>
      <c r="D3" s="350"/>
      <c r="E3" s="350"/>
      <c r="F3" s="350"/>
      <c r="G3" s="350"/>
      <c r="H3" s="350"/>
      <c r="I3" s="350"/>
      <c r="J3" s="351"/>
      <c r="K3" s="351"/>
      <c r="L3" s="351"/>
      <c r="M3" s="351"/>
      <c r="N3" s="351"/>
      <c r="O3" s="351"/>
      <c r="P3" s="351"/>
      <c r="Q3" s="351"/>
      <c r="R3" s="351"/>
      <c r="S3" s="351"/>
      <c r="T3" s="351"/>
      <c r="U3" s="351"/>
      <c r="V3" s="351"/>
      <c r="W3" s="351"/>
      <c r="X3" s="351"/>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row>
    <row r="4" spans="1:76" ht="15" customHeight="1" x14ac:dyDescent="0.25">
      <c r="A4" s="38"/>
      <c r="B4" s="350"/>
      <c r="C4" s="350"/>
      <c r="D4" s="350"/>
      <c r="E4" s="350"/>
      <c r="F4" s="350"/>
      <c r="G4" s="350"/>
      <c r="H4" s="350"/>
      <c r="I4" s="350"/>
      <c r="J4" s="351"/>
      <c r="K4" s="351"/>
      <c r="L4" s="351"/>
      <c r="M4" s="351"/>
      <c r="N4" s="351"/>
      <c r="O4" s="351"/>
      <c r="P4" s="351"/>
      <c r="Q4" s="351"/>
      <c r="R4" s="351"/>
      <c r="S4" s="351"/>
      <c r="T4" s="351"/>
      <c r="U4" s="351"/>
      <c r="V4" s="351"/>
      <c r="W4" s="351"/>
      <c r="X4" s="351"/>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row>
    <row r="5" spans="1:76" ht="15.75" thickBot="1" x14ac:dyDescent="0.3">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row>
    <row r="6" spans="1:76" ht="15" customHeight="1" x14ac:dyDescent="0.25">
      <c r="A6" s="38"/>
      <c r="B6" s="352" t="s">
        <v>4</v>
      </c>
      <c r="C6" s="353"/>
      <c r="D6" s="354"/>
      <c r="E6" s="335" t="s">
        <v>107</v>
      </c>
      <c r="F6" s="336"/>
      <c r="G6" s="336"/>
      <c r="H6" s="336"/>
      <c r="I6" s="336"/>
      <c r="J6" s="80" t="str">
        <f ca="1">IF(AND('Mapa final'!$AB$7="Muy Alta",'Mapa final'!$AD$7="Leve"),CONCATENATE("R1C",'Mapa final'!$R$7),"")</f>
        <v/>
      </c>
      <c r="K6" s="81" t="str">
        <f ca="1">IF(AND('Mapa final'!$AB$8="Muy Alta",'Mapa final'!$AD$8="Leve"),CONCATENATE("R1C",'Mapa final'!$R$8),"")</f>
        <v/>
      </c>
      <c r="L6" s="82" t="str">
        <f>IF(AND('Mapa final'!$AB$9="Muy Alta",'Mapa final'!$AD$9="Leve"),CONCATENATE("R1C",'Mapa final'!$R$9),"")</f>
        <v/>
      </c>
      <c r="M6" s="80" t="str">
        <f ca="1">IF(AND('Mapa final'!$AB$7="Muy Alta",'Mapa final'!$AD$7="Menor"),CONCATENATE("R1C",'Mapa final'!$R$7),"")</f>
        <v/>
      </c>
      <c r="N6" s="81" t="str">
        <f ca="1">IF(AND('Mapa final'!$AB$8="Muy Alta",'Mapa final'!$AD$8="Menor"),CONCATENATE("R1C",'Mapa final'!$R$8),"")</f>
        <v/>
      </c>
      <c r="O6" s="82" t="str">
        <f>IF(AND('Mapa final'!$AB$9="Muy Alta",'Mapa final'!$AD$9="Menor"),CONCATENATE("R1C",'Mapa final'!$R$9),"")</f>
        <v/>
      </c>
      <c r="P6" s="80" t="str">
        <f ca="1">IF(AND('Mapa final'!$AB$7="Muy Alta",'Mapa final'!$AD$7="Moderado"),CONCATENATE("R1C",'Mapa final'!$R$7),"")</f>
        <v/>
      </c>
      <c r="Q6" s="81" t="str">
        <f ca="1">IF(AND('Mapa final'!$AB$8="Muy Alta",'Mapa final'!$AD$8="Moderado"),CONCATENATE("R1C",'Mapa final'!$R$8),"")</f>
        <v/>
      </c>
      <c r="R6" s="82" t="str">
        <f>IF(AND('Mapa final'!$AB$9="Muy Alta",'Mapa final'!$AD$9="Moderado"),CONCATENATE("R1C",'Mapa final'!$R$9),"")</f>
        <v/>
      </c>
      <c r="S6" s="80" t="str">
        <f ca="1">IF(AND('Mapa final'!$AB$7="Muy Alta",'Mapa final'!$AD$7="Mayor"),CONCATENATE("R1C",'Mapa final'!$R$7),"")</f>
        <v/>
      </c>
      <c r="T6" s="81" t="str">
        <f ca="1">IF(AND('Mapa final'!$AB$8="Muy Alta",'Mapa final'!$AD$8="Mayor"),CONCATENATE("R1C",'Mapa final'!$R$8),"")</f>
        <v/>
      </c>
      <c r="U6" s="82" t="str">
        <f>IF(AND('Mapa final'!$AB$9="Muy Alta",'Mapa final'!$AD$9="Mayor"),CONCATENATE("R1C",'Mapa final'!$R$9),"")</f>
        <v/>
      </c>
      <c r="V6" s="156" t="str">
        <f ca="1">IF(AND('Mapa final'!$AB$7="Muy Alta",'Mapa final'!$AD$7="Catastrófico"),CONCATENATE("R1C",'Mapa final'!$R$7),"")</f>
        <v/>
      </c>
      <c r="W6" s="157" t="str">
        <f ca="1">IF(AND('Mapa final'!$AB$8="Muy Alta",'Mapa final'!$AD$8="Catastrófico"),CONCATENATE("R1C",'Mapa final'!$R$8),"")</f>
        <v/>
      </c>
      <c r="X6" s="158" t="str">
        <f>IF(AND('Mapa final'!$AB$9="Muy Alta",'Mapa final'!$AD$9="Catastrófico"),CONCATENATE("R1C",'Mapa final'!$R$9),"")</f>
        <v/>
      </c>
      <c r="Y6" s="38"/>
      <c r="Z6" s="340" t="s">
        <v>73</v>
      </c>
      <c r="AA6" s="341"/>
      <c r="AB6" s="341"/>
      <c r="AC6" s="341"/>
      <c r="AD6" s="341"/>
      <c r="AE6" s="342"/>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row>
    <row r="7" spans="1:76" ht="15" customHeight="1" x14ac:dyDescent="0.25">
      <c r="A7" s="38"/>
      <c r="B7" s="355"/>
      <c r="C7" s="356"/>
      <c r="D7" s="357"/>
      <c r="E7" s="339"/>
      <c r="F7" s="338"/>
      <c r="G7" s="338"/>
      <c r="H7" s="338"/>
      <c r="I7" s="338"/>
      <c r="J7" s="83" t="str">
        <f ca="1">IF(AND('Mapa final'!$AB$10="Muy Alta",'Mapa final'!$AD$10="Leve"),CONCATENATE("R2C",'Mapa final'!$R$10),"")</f>
        <v/>
      </c>
      <c r="K7" s="195" t="str">
        <f>IF(AND('Mapa final'!$AB$11="Muy Alta",'Mapa final'!$AD$11="Leve"),CONCATENATE("R2C",'Mapa final'!$R$11),"")</f>
        <v/>
      </c>
      <c r="L7" s="84" t="str">
        <f>IF(AND('Mapa final'!$AB$12="Muy Alta",'Mapa final'!$AD$12="Leve"),CONCATENATE("R2C",'Mapa final'!$R$12),"")</f>
        <v/>
      </c>
      <c r="M7" s="83" t="str">
        <f ca="1">IF(AND('Mapa final'!$AB$10="Muy Alta",'Mapa final'!$AD$10="Menor"),CONCATENATE("R2C",'Mapa final'!$R$10),"")</f>
        <v/>
      </c>
      <c r="N7" s="195" t="str">
        <f>IF(AND('Mapa final'!$AB$11="Muy Alta",'Mapa final'!$AD$11="Menor"),CONCATENATE("R2C",'Mapa final'!$R$11),"")</f>
        <v/>
      </c>
      <c r="O7" s="84" t="str">
        <f>IF(AND('Mapa final'!$AB$12="Muy Alta",'Mapa final'!$AD$12="Menor"),CONCATENATE("R2C",'Mapa final'!$R$12),"")</f>
        <v/>
      </c>
      <c r="P7" s="83" t="str">
        <f ca="1">IF(AND('Mapa final'!$AB$10="Muy Alta",'Mapa final'!$AD$10="Moderado"),CONCATENATE("R2C",'Mapa final'!$R$10),"")</f>
        <v/>
      </c>
      <c r="Q7" s="195" t="str">
        <f>IF(AND('Mapa final'!$AB$11="Muy Alta",'Mapa final'!$AD$11="Moderado"),CONCATENATE("R2C",'Mapa final'!$R$11),"")</f>
        <v/>
      </c>
      <c r="R7" s="84" t="str">
        <f>IF(AND('Mapa final'!$AB$12="Muy Alta",'Mapa final'!$AD$12="Moderado"),CONCATENATE("R2C",'Mapa final'!$R$12),"")</f>
        <v/>
      </c>
      <c r="S7" s="83" t="str">
        <f ca="1">IF(AND('Mapa final'!$AB$10="Muy Alta",'Mapa final'!$AD$10="Mayor"),CONCATENATE("R2C",'Mapa final'!$R$10),"")</f>
        <v/>
      </c>
      <c r="T7" s="195" t="str">
        <f>IF(AND('Mapa final'!$AB$11="Muy Alta",'Mapa final'!$AD$11="Mayor"),CONCATENATE("R2C",'Mapa final'!$R$11),"")</f>
        <v/>
      </c>
      <c r="U7" s="84" t="str">
        <f>IF(AND('Mapa final'!$AB$12="Muy Alta",'Mapa final'!$AD$12="Mayor"),CONCATENATE("R2C",'Mapa final'!$R$12),"")</f>
        <v/>
      </c>
      <c r="V7" s="159" t="str">
        <f ca="1">IF(AND('Mapa final'!$AB$10="Muy Alta",'Mapa final'!$AD$10="Catastrófico"),CONCATENATE("R2C",'Mapa final'!$R$10),"")</f>
        <v/>
      </c>
      <c r="W7" s="194" t="str">
        <f>IF(AND('Mapa final'!$AB$11="Muy Alta",'Mapa final'!$AD$11="Catastrófico"),CONCATENATE("R2C",'Mapa final'!$R$11),"")</f>
        <v/>
      </c>
      <c r="X7" s="160" t="str">
        <f>IF(AND('Mapa final'!$AB$12="Muy Alta",'Mapa final'!$AD$12="Catastrófico"),CONCATENATE("R2C",'Mapa final'!$R$12),"")</f>
        <v/>
      </c>
      <c r="Y7" s="38"/>
      <c r="Z7" s="343"/>
      <c r="AA7" s="344"/>
      <c r="AB7" s="344"/>
      <c r="AC7" s="344"/>
      <c r="AD7" s="344"/>
      <c r="AE7" s="345"/>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row>
    <row r="8" spans="1:76" ht="15" customHeight="1" x14ac:dyDescent="0.25">
      <c r="A8" s="38"/>
      <c r="B8" s="355"/>
      <c r="C8" s="356"/>
      <c r="D8" s="357"/>
      <c r="E8" s="339"/>
      <c r="F8" s="338"/>
      <c r="G8" s="338"/>
      <c r="H8" s="338"/>
      <c r="I8" s="338"/>
      <c r="J8" s="83" t="str">
        <f ca="1">IF(AND('Mapa final'!$AB$13="Muy Alta",'Mapa final'!$AD$13="Leve"),CONCATENATE("R3C",'Mapa final'!$R$13),"")</f>
        <v/>
      </c>
      <c r="K8" s="195" t="str">
        <f>IF(AND('Mapa final'!$AB$14="Muy Alta",'Mapa final'!$AD$14="Leve"),CONCATENATE("R3C",'Mapa final'!$R$14),"")</f>
        <v/>
      </c>
      <c r="L8" s="84" t="str">
        <f>IF(AND('Mapa final'!$AB$15="Muy Alta",'Mapa final'!$AD$15="Leve"),CONCATENATE("R3C",'Mapa final'!$R$15),"")</f>
        <v/>
      </c>
      <c r="M8" s="83" t="str">
        <f ca="1">IF(AND('Mapa final'!$AB$13="Muy Alta",'Mapa final'!$AD$13="Menor"),CONCATENATE("R3C",'Mapa final'!$R$13),"")</f>
        <v/>
      </c>
      <c r="N8" s="195" t="str">
        <f>IF(AND('Mapa final'!$AB$14="Muy Alta",'Mapa final'!$AD$14="Menor"),CONCATENATE("R3C",'Mapa final'!$R$14),"")</f>
        <v/>
      </c>
      <c r="O8" s="84" t="str">
        <f>IF(AND('Mapa final'!$AB$15="Muy Alta",'Mapa final'!$AD$15="Menor"),CONCATENATE("R3C",'Mapa final'!$R$15),"")</f>
        <v/>
      </c>
      <c r="P8" s="83" t="str">
        <f ca="1">IF(AND('Mapa final'!$AB$13="Muy Alta",'Mapa final'!$AD$13="Moderado"),CONCATENATE("R3C",'Mapa final'!$R$13),"")</f>
        <v/>
      </c>
      <c r="Q8" s="195" t="str">
        <f>IF(AND('Mapa final'!$AB$14="Muy Alta",'Mapa final'!$AD$14="Moderado"),CONCATENATE("R3C",'Mapa final'!$R$14),"")</f>
        <v/>
      </c>
      <c r="R8" s="84" t="str">
        <f>IF(AND('Mapa final'!$AB$15="Muy Alta",'Mapa final'!$AD$15="Moderado"),CONCATENATE("R3C",'Mapa final'!$R$15),"")</f>
        <v/>
      </c>
      <c r="S8" s="83" t="str">
        <f ca="1">IF(AND('Mapa final'!$AB$13="Muy Alta",'Mapa final'!$AD$13="Mayor"),CONCATENATE("R3C",'Mapa final'!$R$13),"")</f>
        <v/>
      </c>
      <c r="T8" s="195" t="str">
        <f>IF(AND('Mapa final'!$AB$14="Muy Alta",'Mapa final'!$AD$14="Mayor"),CONCATENATE("R3C",'Mapa final'!$R$14),"")</f>
        <v/>
      </c>
      <c r="U8" s="84" t="str">
        <f>IF(AND('Mapa final'!$AB$15="Muy Alta",'Mapa final'!$AD$15="Mayor"),CONCATENATE("R3C",'Mapa final'!$R$15),"")</f>
        <v/>
      </c>
      <c r="V8" s="159" t="str">
        <f ca="1">IF(AND('Mapa final'!$AB$13="Muy Alta",'Mapa final'!$AD$13="Catastrófico"),CONCATENATE("R3C",'Mapa final'!$R$13),"")</f>
        <v/>
      </c>
      <c r="W8" s="194" t="str">
        <f>IF(AND('Mapa final'!$AB$14="Muy Alta",'Mapa final'!$AD$14="Catastrófico"),CONCATENATE("R3C",'Mapa final'!$R$14),"")</f>
        <v/>
      </c>
      <c r="X8" s="160" t="str">
        <f>IF(AND('Mapa final'!$AB$15="Muy Alta",'Mapa final'!$AD$15="Catastrófico"),CONCATENATE("R3C",'Mapa final'!$R$15),"")</f>
        <v/>
      </c>
      <c r="Y8" s="38"/>
      <c r="Z8" s="343"/>
      <c r="AA8" s="344"/>
      <c r="AB8" s="344"/>
      <c r="AC8" s="344"/>
      <c r="AD8" s="344"/>
      <c r="AE8" s="345"/>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row>
    <row r="9" spans="1:76" ht="15" customHeight="1" x14ac:dyDescent="0.25">
      <c r="A9" s="38"/>
      <c r="B9" s="355"/>
      <c r="C9" s="356"/>
      <c r="D9" s="357"/>
      <c r="E9" s="339"/>
      <c r="F9" s="338"/>
      <c r="G9" s="338"/>
      <c r="H9" s="338"/>
      <c r="I9" s="338"/>
      <c r="J9" s="83" t="str">
        <f ca="1">IF(AND('Mapa final'!$AB$16="Muy Alta",'Mapa final'!$AD$16="Leve"),CONCATENATE("R4C",'Mapa final'!$R$16),"")</f>
        <v/>
      </c>
      <c r="K9" s="195" t="str">
        <f>IF(AND('Mapa final'!$AB$17="Muy Alta",'Mapa final'!$AD$17="Leve"),CONCATENATE("R4C",'Mapa final'!$R$17),"")</f>
        <v/>
      </c>
      <c r="L9" s="84" t="str">
        <f>IF(AND('Mapa final'!$AB$18="Muy Alta",'Mapa final'!$AD$18="Leve"),CONCATENATE("R4C",'Mapa final'!$R$18),"")</f>
        <v/>
      </c>
      <c r="M9" s="83" t="str">
        <f ca="1">IF(AND('Mapa final'!$AB$16="Muy Alta",'Mapa final'!$AD$16="Menor"),CONCATENATE("R4C",'Mapa final'!$R$16),"")</f>
        <v/>
      </c>
      <c r="N9" s="195" t="str">
        <f>IF(AND('Mapa final'!$AB$17="Muy Alta",'Mapa final'!$AD$17="Menor"),CONCATENATE("R4C",'Mapa final'!$R$17),"")</f>
        <v/>
      </c>
      <c r="O9" s="84" t="str">
        <f>IF(AND('Mapa final'!$AB$18="Muy Alta",'Mapa final'!$AD$18="Menor"),CONCATENATE("R4C",'Mapa final'!$R$18),"")</f>
        <v/>
      </c>
      <c r="P9" s="83" t="str">
        <f ca="1">IF(AND('Mapa final'!$AB$16="Muy Alta",'Mapa final'!$AD$16="Moderado"),CONCATENATE("R4C",'Mapa final'!$R$16),"")</f>
        <v/>
      </c>
      <c r="Q9" s="195" t="str">
        <f>IF(AND('Mapa final'!$AB$17="Muy Alta",'Mapa final'!$AD$17="Moderado"),CONCATENATE("R4C",'Mapa final'!$R$17),"")</f>
        <v/>
      </c>
      <c r="R9" s="84" t="str">
        <f>IF(AND('Mapa final'!$AB$18="Muy Alta",'Mapa final'!$AD$18="Moderado"),CONCATENATE("R4C",'Mapa final'!$R$18),"")</f>
        <v/>
      </c>
      <c r="S9" s="83" t="str">
        <f ca="1">IF(AND('Mapa final'!$AB$16="Muy Alta",'Mapa final'!$AD$16="Mayor"),CONCATENATE("R4C",'Mapa final'!$R$16),"")</f>
        <v/>
      </c>
      <c r="T9" s="195" t="str">
        <f>IF(AND('Mapa final'!$AB$17="Muy Alta",'Mapa final'!$AD$17="Mayor"),CONCATENATE("R4C",'Mapa final'!$R$17),"")</f>
        <v/>
      </c>
      <c r="U9" s="84" t="str">
        <f>IF(AND('Mapa final'!$AB$18="Muy Alta",'Mapa final'!$AD$18="Mayor"),CONCATENATE("R4C",'Mapa final'!$R$18),"")</f>
        <v/>
      </c>
      <c r="V9" s="159" t="str">
        <f ca="1">IF(AND('Mapa final'!$AB$16="Muy Alta",'Mapa final'!$AD$16="Catastrófico"),CONCATENATE("R4C",'Mapa final'!$R$16),"")</f>
        <v/>
      </c>
      <c r="W9" s="194" t="str">
        <f>IF(AND('Mapa final'!$AB$17="Muy Alta",'Mapa final'!$AD$17="Catastrófico"),CONCATENATE("R4C",'Mapa final'!$R$17),"")</f>
        <v/>
      </c>
      <c r="X9" s="160" t="str">
        <f>IF(AND('Mapa final'!$AB$18="Muy Alta",'Mapa final'!$AD$18="Catastrófico"),CONCATENATE("R4C",'Mapa final'!$R$18),"")</f>
        <v/>
      </c>
      <c r="Y9" s="38"/>
      <c r="Z9" s="343"/>
      <c r="AA9" s="344"/>
      <c r="AB9" s="344"/>
      <c r="AC9" s="344"/>
      <c r="AD9" s="344"/>
      <c r="AE9" s="345"/>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row>
    <row r="10" spans="1:76" ht="15" customHeight="1" x14ac:dyDescent="0.25">
      <c r="A10" s="38"/>
      <c r="B10" s="355"/>
      <c r="C10" s="356"/>
      <c r="D10" s="357"/>
      <c r="E10" s="339"/>
      <c r="F10" s="338"/>
      <c r="G10" s="338"/>
      <c r="H10" s="338"/>
      <c r="I10" s="338"/>
      <c r="J10" s="83" t="str">
        <f ca="1">IF(AND('Mapa final'!$AB$19="Muy Alta",'Mapa final'!$AD$19="Leve"),CONCATENATE("R5C",'Mapa final'!$R$19),"")</f>
        <v/>
      </c>
      <c r="K10" s="195" t="str">
        <f>IF(AND('Mapa final'!$AB$20="Muy Alta",'Mapa final'!$AD$20="Leve"),CONCATENATE("R5C",'Mapa final'!$R$20),"")</f>
        <v/>
      </c>
      <c r="L10" s="84" t="str">
        <f>IF(AND('Mapa final'!$AB$21="Muy Alta",'Mapa final'!$AD$21="Leve"),CONCATENATE("R5C",'Mapa final'!$R$21),"")</f>
        <v/>
      </c>
      <c r="M10" s="83" t="str">
        <f ca="1">IF(AND('Mapa final'!$AB$19="Muy Alta",'Mapa final'!$AD$19="Menor"),CONCATENATE("R5C",'Mapa final'!$R$19),"")</f>
        <v/>
      </c>
      <c r="N10" s="195" t="str">
        <f>IF(AND('Mapa final'!$AB$20="Muy Alta",'Mapa final'!$AD$20="Menor"),CONCATENATE("R5C",'Mapa final'!$R$20),"")</f>
        <v/>
      </c>
      <c r="O10" s="84" t="str">
        <f>IF(AND('Mapa final'!$AB$21="Muy Alta",'Mapa final'!$AD$21="Menor"),CONCATENATE("R5C",'Mapa final'!$R$21),"")</f>
        <v/>
      </c>
      <c r="P10" s="83" t="str">
        <f ca="1">IF(AND('Mapa final'!$AB$19="Muy Alta",'Mapa final'!$AD$19="Moderado"),CONCATENATE("R5C",'Mapa final'!$R$19),"")</f>
        <v/>
      </c>
      <c r="Q10" s="195" t="str">
        <f>IF(AND('Mapa final'!$AB$20="Muy Alta",'Mapa final'!$AD$20="Moderado"),CONCATENATE("R5C",'Mapa final'!$R$20),"")</f>
        <v/>
      </c>
      <c r="R10" s="84" t="str">
        <f>IF(AND('Mapa final'!$AB$21="Muy Alta",'Mapa final'!$AD$21="Moderado"),CONCATENATE("R5C",'Mapa final'!$R$21),"")</f>
        <v/>
      </c>
      <c r="S10" s="83" t="str">
        <f ca="1">IF(AND('Mapa final'!$AB$19="Muy Alta",'Mapa final'!$AD$19="Mayor"),CONCATENATE("R5C",'Mapa final'!$R$19),"")</f>
        <v/>
      </c>
      <c r="T10" s="195" t="str">
        <f>IF(AND('Mapa final'!$AB$20="Muy Alta",'Mapa final'!$AD$20="Mayor"),CONCATENATE("R5C",'Mapa final'!$R$20),"")</f>
        <v/>
      </c>
      <c r="U10" s="84" t="str">
        <f>IF(AND('Mapa final'!$AB$21="Muy Alta",'Mapa final'!$AD$21="Mayor"),CONCATENATE("R5C",'Mapa final'!$R$21),"")</f>
        <v/>
      </c>
      <c r="V10" s="159" t="str">
        <f ca="1">IF(AND('Mapa final'!$AB$19="Muy Alta",'Mapa final'!$AD$19="Catastrófico"),CONCATENATE("R5C",'Mapa final'!$R$19),"")</f>
        <v/>
      </c>
      <c r="W10" s="194" t="str">
        <f>IF(AND('Mapa final'!$AB$20="Muy Alta",'Mapa final'!$AD$20="Catastrófico"),CONCATENATE("R5C",'Mapa final'!$R$20),"")</f>
        <v/>
      </c>
      <c r="X10" s="160" t="str">
        <f>IF(AND('Mapa final'!$AB$21="Muy Alta",'Mapa final'!$AD$21="Catastrófico"),CONCATENATE("R5C",'Mapa final'!$R$21),"")</f>
        <v/>
      </c>
      <c r="Y10" s="38"/>
      <c r="Z10" s="343"/>
      <c r="AA10" s="344"/>
      <c r="AB10" s="344"/>
      <c r="AC10" s="344"/>
      <c r="AD10" s="344"/>
      <c r="AE10" s="345"/>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row>
    <row r="11" spans="1:76" ht="15" customHeight="1" x14ac:dyDescent="0.25">
      <c r="A11" s="38"/>
      <c r="B11" s="355"/>
      <c r="C11" s="356"/>
      <c r="D11" s="357"/>
      <c r="E11" s="339"/>
      <c r="F11" s="338"/>
      <c r="G11" s="338"/>
      <c r="H11" s="338"/>
      <c r="I11" s="338"/>
      <c r="J11" s="83" t="str">
        <f ca="1">IF(AND('Mapa final'!$AB$22="Muy Alta",'Mapa final'!$AD$22="Leve"),CONCATENATE("R6C",'Mapa final'!$R$22),"")</f>
        <v/>
      </c>
      <c r="K11" s="195" t="str">
        <f>IF(AND('Mapa final'!$AB$23="Muy Alta",'Mapa final'!$AD$23="Leve"),CONCATENATE("R6C",'Mapa final'!$R$23),"")</f>
        <v/>
      </c>
      <c r="L11" s="84" t="str">
        <f>IF(AND('Mapa final'!$AB$24="Muy Alta",'Mapa final'!$AD$24="Leve"),CONCATENATE("R6C",'Mapa final'!$R$24),"")</f>
        <v/>
      </c>
      <c r="M11" s="83" t="str">
        <f ca="1">IF(AND('Mapa final'!$AB$22="Muy Alta",'Mapa final'!$AD$22="Menor"),CONCATENATE("R6C",'Mapa final'!$R$22),"")</f>
        <v/>
      </c>
      <c r="N11" s="195" t="str">
        <f>IF(AND('Mapa final'!$AB$23="Muy Alta",'Mapa final'!$AD$23="Menor"),CONCATENATE("R6C",'Mapa final'!$R$23),"")</f>
        <v/>
      </c>
      <c r="O11" s="84" t="str">
        <f>IF(AND('Mapa final'!$AB$24="Muy Alta",'Mapa final'!$AD$24="Menor"),CONCATENATE("R6C",'Mapa final'!$R$24),"")</f>
        <v/>
      </c>
      <c r="P11" s="83" t="str">
        <f ca="1">IF(AND('Mapa final'!$AB$22="Muy Alta",'Mapa final'!$AD$22="Moderado"),CONCATENATE("R6C",'Mapa final'!$R$22),"")</f>
        <v/>
      </c>
      <c r="Q11" s="195" t="str">
        <f>IF(AND('Mapa final'!$AB$23="Muy Alta",'Mapa final'!$AD$23="Moderado"),CONCATENATE("R6C",'Mapa final'!$R$23),"")</f>
        <v/>
      </c>
      <c r="R11" s="84" t="str">
        <f>IF(AND('Mapa final'!$AB$24="Muy Alta",'Mapa final'!$AD$24="Moderado"),CONCATENATE("R6C",'Mapa final'!$R$24),"")</f>
        <v/>
      </c>
      <c r="S11" s="83" t="str">
        <f ca="1">IF(AND('Mapa final'!$AB$22="Muy Alta",'Mapa final'!$AD$22="Mayor"),CONCATENATE("R6C",'Mapa final'!$R$22),"")</f>
        <v/>
      </c>
      <c r="T11" s="195" t="str">
        <f>IF(AND('Mapa final'!$AB$23="Muy Alta",'Mapa final'!$AD$23="Mayor"),CONCATENATE("R6C",'Mapa final'!$R$23),"")</f>
        <v/>
      </c>
      <c r="U11" s="84" t="str">
        <f>IF(AND('Mapa final'!$AB$24="Muy Alta",'Mapa final'!$AD$24="Mayor"),CONCATENATE("R6C",'Mapa final'!$R$24),"")</f>
        <v/>
      </c>
      <c r="V11" s="159" t="str">
        <f ca="1">IF(AND('Mapa final'!$AB$22="Muy Alta",'Mapa final'!$AD$22="Catastrófico"),CONCATENATE("R6C",'Mapa final'!$R$22),"")</f>
        <v/>
      </c>
      <c r="W11" s="194" t="str">
        <f>IF(AND('Mapa final'!$AB$23="Muy Alta",'Mapa final'!$AD$23="Catastrófico"),CONCATENATE("R6C",'Mapa final'!$R$23),"")</f>
        <v/>
      </c>
      <c r="X11" s="160" t="str">
        <f>IF(AND('Mapa final'!$AB$24="Muy Alta",'Mapa final'!$AD$24="Catastrófico"),CONCATENATE("R6C",'Mapa final'!$R$24),"")</f>
        <v/>
      </c>
      <c r="Y11" s="38"/>
      <c r="Z11" s="343"/>
      <c r="AA11" s="344"/>
      <c r="AB11" s="344"/>
      <c r="AC11" s="344"/>
      <c r="AD11" s="344"/>
      <c r="AE11" s="345"/>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row>
    <row r="12" spans="1:76" ht="15" customHeight="1" x14ac:dyDescent="0.25">
      <c r="A12" s="38"/>
      <c r="B12" s="355"/>
      <c r="C12" s="356"/>
      <c r="D12" s="357"/>
      <c r="E12" s="339"/>
      <c r="F12" s="338"/>
      <c r="G12" s="338"/>
      <c r="H12" s="338"/>
      <c r="I12" s="338"/>
      <c r="J12" s="83" t="str">
        <f ca="1">IF(AND('Mapa final'!$AB$25="Muy Alta",'Mapa final'!$AD$25="Leve"),CONCATENATE("R7C",'Mapa final'!$R$25),"")</f>
        <v/>
      </c>
      <c r="K12" s="195" t="str">
        <f>IF(AND('Mapa final'!$AB$26="Muy Alta",'Mapa final'!$AD$26="Leve"),CONCATENATE("R7C",'Mapa final'!$R$26),"")</f>
        <v/>
      </c>
      <c r="L12" s="84" t="str">
        <f>IF(AND('Mapa final'!$AB$27="Muy Alta",'Mapa final'!$AD$27="Leve"),CONCATENATE("R7C",'Mapa final'!$R$27),"")</f>
        <v/>
      </c>
      <c r="M12" s="83" t="str">
        <f ca="1">IF(AND('Mapa final'!$AB$25="Muy Alta",'Mapa final'!$AD$25="Menor"),CONCATENATE("R7C",'Mapa final'!$R$25),"")</f>
        <v/>
      </c>
      <c r="N12" s="195" t="str">
        <f>IF(AND('Mapa final'!$AB$26="Muy Alta",'Mapa final'!$AD$26="Menor"),CONCATENATE("R7C",'Mapa final'!$R$26),"")</f>
        <v/>
      </c>
      <c r="O12" s="84" t="str">
        <f>IF(AND('Mapa final'!$AB$27="Muy Alta",'Mapa final'!$AD$27="Menor"),CONCATENATE("R7C",'Mapa final'!$R$27),"")</f>
        <v/>
      </c>
      <c r="P12" s="83" t="str">
        <f ca="1">IF(AND('Mapa final'!$AB$25="Muy Alta",'Mapa final'!$AD$25="Moderado"),CONCATENATE("R7C",'Mapa final'!$R$25),"")</f>
        <v/>
      </c>
      <c r="Q12" s="195" t="str">
        <f>IF(AND('Mapa final'!$AB$26="Muy Alta",'Mapa final'!$AD$26="Moderado"),CONCATENATE("R7C",'Mapa final'!$R$26),"")</f>
        <v/>
      </c>
      <c r="R12" s="84" t="str">
        <f>IF(AND('Mapa final'!$AB$27="Muy Alta",'Mapa final'!$AD$27="Moderado"),CONCATENATE("R7C",'Mapa final'!$R$27),"")</f>
        <v/>
      </c>
      <c r="S12" s="83" t="str">
        <f ca="1">IF(AND('Mapa final'!$AB$25="Muy Alta",'Mapa final'!$AD$25="Mayor"),CONCATENATE("R7C",'Mapa final'!$R$25),"")</f>
        <v/>
      </c>
      <c r="T12" s="195" t="str">
        <f>IF(AND('Mapa final'!$AB$26="Muy Alta",'Mapa final'!$AD$26="Mayor"),CONCATENATE("R7C",'Mapa final'!$R$26),"")</f>
        <v/>
      </c>
      <c r="U12" s="84" t="str">
        <f>IF(AND('Mapa final'!$AB$27="Muy Alta",'Mapa final'!$AD$27="Mayor"),CONCATENATE("R7C",'Mapa final'!$R$27),"")</f>
        <v/>
      </c>
      <c r="V12" s="159" t="str">
        <f ca="1">IF(AND('Mapa final'!$AB$25="Muy Alta",'Mapa final'!$AD$25="Catastrófico"),CONCATENATE("R7C",'Mapa final'!$R$25),"")</f>
        <v/>
      </c>
      <c r="W12" s="194" t="str">
        <f>IF(AND('Mapa final'!$AB$26="Muy Alta",'Mapa final'!$AD$26="Catastrófico"),CONCATENATE("R7C",'Mapa final'!$R$26),"")</f>
        <v/>
      </c>
      <c r="X12" s="160" t="str">
        <f>IF(AND('Mapa final'!$AB$27="Muy Alta",'Mapa final'!$AD$27="Catastrófico"),CONCATENATE("R7C",'Mapa final'!$R$27),"")</f>
        <v/>
      </c>
      <c r="Y12" s="38"/>
      <c r="Z12" s="343"/>
      <c r="AA12" s="344"/>
      <c r="AB12" s="344"/>
      <c r="AC12" s="344"/>
      <c r="AD12" s="344"/>
      <c r="AE12" s="345"/>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row>
    <row r="13" spans="1:76" ht="15" customHeight="1" x14ac:dyDescent="0.25">
      <c r="A13" s="38"/>
      <c r="B13" s="355"/>
      <c r="C13" s="356"/>
      <c r="D13" s="357"/>
      <c r="E13" s="339"/>
      <c r="F13" s="338"/>
      <c r="G13" s="338"/>
      <c r="H13" s="338"/>
      <c r="I13" s="338"/>
      <c r="J13" s="83" t="str">
        <f ca="1">IF(AND('Mapa final'!$AB$28="Muy Alta",'Mapa final'!$AD$28="Leve"),CONCATENATE("R8C",'Mapa final'!$R$28),"")</f>
        <v/>
      </c>
      <c r="K13" s="195" t="str">
        <f>IF(AND('Mapa final'!$AB$29="Muy Alta",'Mapa final'!$AD$29="Leve"),CONCATENATE("R8C",'Mapa final'!$R$29),"")</f>
        <v/>
      </c>
      <c r="L13" s="84" t="str">
        <f>IF(AND('Mapa final'!$AB$30="Muy Alta",'Mapa final'!$AD$30="Leve"),CONCATENATE("R8C",'Mapa final'!$R$30),"")</f>
        <v/>
      </c>
      <c r="M13" s="83" t="str">
        <f ca="1">IF(AND('Mapa final'!$AB$28="Muy Alta",'Mapa final'!$AD$28="Menor"),CONCATENATE("R8C",'Mapa final'!$R$28),"")</f>
        <v/>
      </c>
      <c r="N13" s="195" t="str">
        <f>IF(AND('Mapa final'!$AB$29="Muy Alta",'Mapa final'!$AD$29="Menor"),CONCATENATE("R8C",'Mapa final'!$R$29),"")</f>
        <v/>
      </c>
      <c r="O13" s="84" t="str">
        <f>IF(AND('Mapa final'!$AB$30="Muy Alta",'Mapa final'!$AD$30="Menor"),CONCATENATE("R8C",'Mapa final'!$R$30),"")</f>
        <v/>
      </c>
      <c r="P13" s="83" t="str">
        <f ca="1">IF(AND('Mapa final'!$AB$28="Muy Alta",'Mapa final'!$AD$28="Moderado"),CONCATENATE("R8C",'Mapa final'!$R$28),"")</f>
        <v/>
      </c>
      <c r="Q13" s="195" t="str">
        <f>IF(AND('Mapa final'!$AB$29="Muy Alta",'Mapa final'!$AD$29="Moderado"),CONCATENATE("R8C",'Mapa final'!$R$29),"")</f>
        <v/>
      </c>
      <c r="R13" s="84" t="str">
        <f>IF(AND('Mapa final'!$AB$30="Muy Alta",'Mapa final'!$AD$30="Moderado"),CONCATENATE("R8C",'Mapa final'!$R$30),"")</f>
        <v/>
      </c>
      <c r="S13" s="83" t="str">
        <f ca="1">IF(AND('Mapa final'!$AB$28="Muy Alta",'Mapa final'!$AD$28="Mayor"),CONCATENATE("R8C",'Mapa final'!$R$28),"")</f>
        <v/>
      </c>
      <c r="T13" s="195" t="str">
        <f>IF(AND('Mapa final'!$AB$29="Muy Alta",'Mapa final'!$AD$29="Mayor"),CONCATENATE("R8C",'Mapa final'!$R$29),"")</f>
        <v/>
      </c>
      <c r="U13" s="84" t="str">
        <f>IF(AND('Mapa final'!$AB$30="Muy Alta",'Mapa final'!$AD$30="Mayor"),CONCATENATE("R8C",'Mapa final'!$R$30),"")</f>
        <v/>
      </c>
      <c r="V13" s="159" t="str">
        <f ca="1">IF(AND('Mapa final'!$AB$28="Muy Alta",'Mapa final'!$AD$28="Catastrófico"),CONCATENATE("R8C",'Mapa final'!$R$28),"")</f>
        <v/>
      </c>
      <c r="W13" s="194" t="str">
        <f>IF(AND('Mapa final'!$AB$29="Muy Alta",'Mapa final'!$AD$29="Catastrófico"),CONCATENATE("R8C",'Mapa final'!$R$29),"")</f>
        <v/>
      </c>
      <c r="X13" s="160" t="str">
        <f>IF(AND('Mapa final'!$AB$30="Muy Alta",'Mapa final'!$AD$30="Catastrófico"),CONCATENATE("R8C",'Mapa final'!$R$30),"")</f>
        <v/>
      </c>
      <c r="Y13" s="38"/>
      <c r="Z13" s="343"/>
      <c r="AA13" s="344"/>
      <c r="AB13" s="344"/>
      <c r="AC13" s="344"/>
      <c r="AD13" s="344"/>
      <c r="AE13" s="345"/>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row>
    <row r="14" spans="1:76" ht="15" customHeight="1" x14ac:dyDescent="0.25">
      <c r="A14" s="38"/>
      <c r="B14" s="355"/>
      <c r="C14" s="356"/>
      <c r="D14" s="357"/>
      <c r="E14" s="339"/>
      <c r="F14" s="338"/>
      <c r="G14" s="338"/>
      <c r="H14" s="338"/>
      <c r="I14" s="338"/>
      <c r="J14" s="83" t="str">
        <f ca="1">IF(AND('Mapa final'!$AB$31="Muy Alta",'Mapa final'!$AD$31="Leve"),CONCATENATE("R9C",'Mapa final'!$R$31),"")</f>
        <v/>
      </c>
      <c r="K14" s="195" t="str">
        <f>IF(AND('Mapa final'!$AB$32="Muy Alta",'Mapa final'!$AD$32="Leve"),CONCATENATE("R9C",'Mapa final'!$R$32),"")</f>
        <v/>
      </c>
      <c r="L14" s="84" t="str">
        <f>IF(AND('Mapa final'!$AB$33="Muy Alta",'Mapa final'!$AD$33="Leve"),CONCATENATE("R9C",'Mapa final'!$R$33),"")</f>
        <v/>
      </c>
      <c r="M14" s="83" t="str">
        <f ca="1">IF(AND('Mapa final'!$AB$31="Muy Alta",'Mapa final'!$AD$31="Menor"),CONCATENATE("R9C",'Mapa final'!$R$31),"")</f>
        <v/>
      </c>
      <c r="N14" s="195" t="str">
        <f>IF(AND('Mapa final'!$AB$32="Muy Alta",'Mapa final'!$AD$32="Menor"),CONCATENATE("R9C",'Mapa final'!$R$32),"")</f>
        <v/>
      </c>
      <c r="O14" s="84" t="str">
        <f>IF(AND('Mapa final'!$AB$33="Muy Alta",'Mapa final'!$AD$33="Menor"),CONCATENATE("R9C",'Mapa final'!$R$33),"")</f>
        <v/>
      </c>
      <c r="P14" s="83" t="str">
        <f ca="1">IF(AND('Mapa final'!$AB$31="Muy Alta",'Mapa final'!$AD$31="Moderado"),CONCATENATE("R9C",'Mapa final'!$R$31),"")</f>
        <v/>
      </c>
      <c r="Q14" s="195" t="str">
        <f>IF(AND('Mapa final'!$AB$32="Muy Alta",'Mapa final'!$AD$32="Moderado"),CONCATENATE("R9C",'Mapa final'!$R$32),"")</f>
        <v/>
      </c>
      <c r="R14" s="84" t="str">
        <f>IF(AND('Mapa final'!$AB$33="Muy Alta",'Mapa final'!$AD$33="Moderado"),CONCATENATE("R9C",'Mapa final'!$R$33),"")</f>
        <v/>
      </c>
      <c r="S14" s="83" t="str">
        <f ca="1">IF(AND('Mapa final'!$AB$31="Muy Alta",'Mapa final'!$AD$31="Mayor"),CONCATENATE("R9C",'Mapa final'!$R$31),"")</f>
        <v/>
      </c>
      <c r="T14" s="195" t="str">
        <f>IF(AND('Mapa final'!$AB$32="Muy Alta",'Mapa final'!$AD$32="Mayor"),CONCATENATE("R9C",'Mapa final'!$R$32),"")</f>
        <v/>
      </c>
      <c r="U14" s="84" t="str">
        <f>IF(AND('Mapa final'!$AB$33="Muy Alta",'Mapa final'!$AD$33="Mayor"),CONCATENATE("R9C",'Mapa final'!$R$33),"")</f>
        <v/>
      </c>
      <c r="V14" s="159" t="str">
        <f ca="1">IF(AND('Mapa final'!$AB$31="Muy Alta",'Mapa final'!$AD$31="Catastrófico"),CONCATENATE("R9C",'Mapa final'!$R$31),"")</f>
        <v/>
      </c>
      <c r="W14" s="194" t="str">
        <f>IF(AND('Mapa final'!$AB$32="Muy Alta",'Mapa final'!$AD$32="Catastrófico"),CONCATENATE("R9C",'Mapa final'!$R$32),"")</f>
        <v/>
      </c>
      <c r="X14" s="160" t="str">
        <f>IF(AND('Mapa final'!$AB$33="Muy Alta",'Mapa final'!$AD$33="Catastrófico"),CONCATENATE("R9C",'Mapa final'!$R$33),"")</f>
        <v/>
      </c>
      <c r="Y14" s="38"/>
      <c r="Z14" s="343"/>
      <c r="AA14" s="344"/>
      <c r="AB14" s="344"/>
      <c r="AC14" s="344"/>
      <c r="AD14" s="344"/>
      <c r="AE14" s="345"/>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row>
    <row r="15" spans="1:76" ht="15" customHeight="1" x14ac:dyDescent="0.25">
      <c r="A15" s="38"/>
      <c r="B15" s="355"/>
      <c r="C15" s="356"/>
      <c r="D15" s="357"/>
      <c r="E15" s="339"/>
      <c r="F15" s="338"/>
      <c r="G15" s="338"/>
      <c r="H15" s="338"/>
      <c r="I15" s="338"/>
      <c r="J15" s="83" t="str">
        <f ca="1">IF(AND('Mapa final'!$AB$34="Muy Alta",'Mapa final'!$AD$34="Leve"),CONCATENATE("R10C",'Mapa final'!$R$34),"")</f>
        <v/>
      </c>
      <c r="K15" s="195" t="str">
        <f>IF(AND('Mapa final'!$AB$35="Muy Alta",'Mapa final'!$AD$35="Leve"),CONCATENATE("R10C",'Mapa final'!$R$35),"")</f>
        <v/>
      </c>
      <c r="L15" s="84" t="str">
        <f>IF(AND('Mapa final'!$AB$36="Muy Alta",'Mapa final'!$AD$36="Leve"),CONCATENATE("R10C",'Mapa final'!$R$36),"")</f>
        <v/>
      </c>
      <c r="M15" s="83" t="str">
        <f ca="1">IF(AND('Mapa final'!$AB$34="Muy Alta",'Mapa final'!$AD$34="Menor"),CONCATENATE("R10C",'Mapa final'!$R$34),"")</f>
        <v/>
      </c>
      <c r="N15" s="195" t="str">
        <f>IF(AND('Mapa final'!$AB$35="Muy Alta",'Mapa final'!$AD$35="Menor"),CONCATENATE("R10C",'Mapa final'!$R$35),"")</f>
        <v/>
      </c>
      <c r="O15" s="84" t="str">
        <f>IF(AND('Mapa final'!$AB$36="Muy Alta",'Mapa final'!$AD$36="Menor"),CONCATENATE("R10C",'Mapa final'!$R$36),"")</f>
        <v/>
      </c>
      <c r="P15" s="83" t="str">
        <f ca="1">IF(AND('Mapa final'!$AB$34="Muy Alta",'Mapa final'!$AD$34="Moderado"),CONCATENATE("R10C",'Mapa final'!$R$34),"")</f>
        <v/>
      </c>
      <c r="Q15" s="195" t="str">
        <f>IF(AND('Mapa final'!$AB$35="Muy Alta",'Mapa final'!$AD$35="Moderado"),CONCATENATE("R10C",'Mapa final'!$R$35),"")</f>
        <v/>
      </c>
      <c r="R15" s="84" t="str">
        <f>IF(AND('Mapa final'!$AB$36="Muy Alta",'Mapa final'!$AD$36="Moderado"),CONCATENATE("R10C",'Mapa final'!$R$36),"")</f>
        <v/>
      </c>
      <c r="S15" s="83" t="str">
        <f ca="1">IF(AND('Mapa final'!$AB$34="Muy Alta",'Mapa final'!$AD$34="Mayor"),CONCATENATE("R10C",'Mapa final'!$R$34),"")</f>
        <v/>
      </c>
      <c r="T15" s="195" t="str">
        <f>IF(AND('Mapa final'!$AB$35="Muy Alta",'Mapa final'!$AD$35="Mayor"),CONCATENATE("R10C",'Mapa final'!$R$35),"")</f>
        <v/>
      </c>
      <c r="U15" s="84" t="str">
        <f>IF(AND('Mapa final'!$AB$36="Muy Alta",'Mapa final'!$AD$36="Mayor"),CONCATENATE("R10C",'Mapa final'!$R$36),"")</f>
        <v/>
      </c>
      <c r="V15" s="159" t="str">
        <f ca="1">IF(AND('Mapa final'!$AB$34="Muy Alta",'Mapa final'!$AD$34="Catastrófico"),CONCATENATE("R10C",'Mapa final'!$R$34),"")</f>
        <v/>
      </c>
      <c r="W15" s="194" t="str">
        <f>IF(AND('Mapa final'!$AB$35="Muy Alta",'Mapa final'!$AD$35="Catastrófico"),CONCATENATE("R10C",'Mapa final'!$R$35),"")</f>
        <v/>
      </c>
      <c r="X15" s="160" t="str">
        <f>IF(AND('Mapa final'!$AB$36="Muy Alta",'Mapa final'!$AD$36="Catastrófico"),CONCATENATE("R10C",'Mapa final'!$R$36),"")</f>
        <v/>
      </c>
      <c r="Y15" s="38"/>
      <c r="Z15" s="343"/>
      <c r="AA15" s="344"/>
      <c r="AB15" s="344"/>
      <c r="AC15" s="344"/>
      <c r="AD15" s="344"/>
      <c r="AE15" s="345"/>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row>
    <row r="16" spans="1:76" ht="15" customHeight="1" x14ac:dyDescent="0.25">
      <c r="A16" s="38"/>
      <c r="B16" s="355"/>
      <c r="C16" s="356"/>
      <c r="D16" s="357"/>
      <c r="E16" s="339"/>
      <c r="F16" s="338"/>
      <c r="G16" s="338"/>
      <c r="H16" s="338"/>
      <c r="I16" s="338"/>
      <c r="J16" s="83" t="str">
        <f ca="1">IF(AND('Mapa final'!$AB$37="Muy Alta",'Mapa final'!$AD$37="Leve"),CONCATENATE("R11C",'Mapa final'!$R$37),"")</f>
        <v/>
      </c>
      <c r="K16" s="195" t="str">
        <f>IF(AND('Mapa final'!$AB$38="Muy Alta",'Mapa final'!$AD$38="Leve"),CONCATENATE("R11C",'Mapa final'!$R$38),"")</f>
        <v/>
      </c>
      <c r="L16" s="84" t="str">
        <f>IF(AND('Mapa final'!$AB$39="Muy Alta",'Mapa final'!$AD$39="Leve"),CONCATENATE("R11C",'Mapa final'!$R$39),"")</f>
        <v/>
      </c>
      <c r="M16" s="83" t="str">
        <f ca="1">IF(AND('Mapa final'!$AB$37="Muy Alta",'Mapa final'!$AD$37="Menor"),CONCATENATE("R11C",'Mapa final'!$R$37),"")</f>
        <v/>
      </c>
      <c r="N16" s="195" t="str">
        <f>IF(AND('Mapa final'!$AB$38="Muy Alta",'Mapa final'!$AD$38="Menor"),CONCATENATE("R11C",'Mapa final'!$R$38),"")</f>
        <v/>
      </c>
      <c r="O16" s="84" t="str">
        <f>IF(AND('Mapa final'!$AB$39="Muy Alta",'Mapa final'!$AD$39="Menor"),CONCATENATE("R11C",'Mapa final'!$R$39),"")</f>
        <v/>
      </c>
      <c r="P16" s="83" t="str">
        <f ca="1">IF(AND('Mapa final'!$AB$37="Muy Alta",'Mapa final'!$AD$37="Moderado"),CONCATENATE("R11C",'Mapa final'!$R$37),"")</f>
        <v/>
      </c>
      <c r="Q16" s="195" t="str">
        <f>IF(AND('Mapa final'!$AB$38="Muy Alta",'Mapa final'!$AD$38="Moderado"),CONCATENATE("R11C",'Mapa final'!$R$38),"")</f>
        <v/>
      </c>
      <c r="R16" s="84" t="str">
        <f>IF(AND('Mapa final'!$AB$39="Muy Alta",'Mapa final'!$AD$39="Moderado"),CONCATENATE("R11C",'Mapa final'!$R$39),"")</f>
        <v/>
      </c>
      <c r="S16" s="83" t="str">
        <f ca="1">IF(AND('Mapa final'!$AB$37="Muy Alta",'Mapa final'!$AD$37="Mayor"),CONCATENATE("R11C",'Mapa final'!$R$37),"")</f>
        <v/>
      </c>
      <c r="T16" s="195" t="str">
        <f>IF(AND('Mapa final'!$AB$38="Muy Alta",'Mapa final'!$AD$38="Mayor"),CONCATENATE("R11C",'Mapa final'!$R$38),"")</f>
        <v/>
      </c>
      <c r="U16" s="84" t="str">
        <f>IF(AND('Mapa final'!$AB$39="Muy Alta",'Mapa final'!$AD$39="Mayor"),CONCATENATE("R11C",'Mapa final'!$R$39),"")</f>
        <v/>
      </c>
      <c r="V16" s="159" t="str">
        <f ca="1">IF(AND('Mapa final'!$AB$37="Muy Alta",'Mapa final'!$AD$37="Catastrófico"),CONCATENATE("R11C",'Mapa final'!$R$37),"")</f>
        <v/>
      </c>
      <c r="W16" s="194" t="str">
        <f>IF(AND('Mapa final'!$AB$38="Muy Alta",'Mapa final'!$AD$38="Catastrófico"),CONCATENATE("R11C",'Mapa final'!$R$38),"")</f>
        <v/>
      </c>
      <c r="X16" s="160" t="str">
        <f>IF(AND('Mapa final'!$AB$39="Muy Alta",'Mapa final'!$AD$39="Catastrófico"),CONCATENATE("R11C",'Mapa final'!$R$39),"")</f>
        <v/>
      </c>
      <c r="Y16" s="38"/>
      <c r="Z16" s="343"/>
      <c r="AA16" s="344"/>
      <c r="AB16" s="344"/>
      <c r="AC16" s="344"/>
      <c r="AD16" s="344"/>
      <c r="AE16" s="345"/>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row>
    <row r="17" spans="1:61" ht="15" customHeight="1" x14ac:dyDescent="0.25">
      <c r="A17" s="38"/>
      <c r="B17" s="355"/>
      <c r="C17" s="356"/>
      <c r="D17" s="357"/>
      <c r="E17" s="339"/>
      <c r="F17" s="338"/>
      <c r="G17" s="338"/>
      <c r="H17" s="338"/>
      <c r="I17" s="338"/>
      <c r="J17" s="83" t="str">
        <f>IF(AND('Mapa final'!$AB$40="Muy Alta",'Mapa final'!$AD$40="Leve"),CONCATENATE("R11C",'Mapa final'!$R$40),"")</f>
        <v/>
      </c>
      <c r="K17" s="195" t="str">
        <f ca="1">IF(AND('Mapa final'!$AB$41="Muy Alta",'Mapa final'!$AD$41="Leve"),CONCATENATE("R12C",'Mapa final'!$R$41),"")</f>
        <v/>
      </c>
      <c r="L17" s="84" t="str">
        <f>IF(AND('Mapa final'!$AB$42="Muy Alta",'Mapa final'!$AD$42="Leve"),CONCATENATE("R12C",'Mapa final'!$R$42),"")</f>
        <v/>
      </c>
      <c r="M17" s="83" t="str">
        <f>IF(AND('Mapa final'!$AB$40="Muy Alta",'Mapa final'!$AD$40="Menor"),CONCATENATE("R11C",'Mapa final'!$R$40),"")</f>
        <v/>
      </c>
      <c r="N17" s="195" t="str">
        <f ca="1">IF(AND('Mapa final'!$AB$41="Muy Alta",'Mapa final'!$AD$41="Menor"),CONCATENATE("R12C",'Mapa final'!$R$41),"")</f>
        <v/>
      </c>
      <c r="O17" s="84" t="str">
        <f>IF(AND('Mapa final'!$AB$42="Muy Alta",'Mapa final'!$AD$42="Menor"),CONCATENATE("R12C",'Mapa final'!$R$42),"")</f>
        <v/>
      </c>
      <c r="P17" s="83" t="str">
        <f>IF(AND('Mapa final'!$AB$40="Muy Alta",'Mapa final'!$AD$40="Moderado"),CONCATENATE("R11C",'Mapa final'!$R$40),"")</f>
        <v/>
      </c>
      <c r="Q17" s="195" t="str">
        <f ca="1">IF(AND('Mapa final'!$AB$41="Muy Alta",'Mapa final'!$AD$41="Moderado"),CONCATENATE("R12C",'Mapa final'!$R$41),"")</f>
        <v/>
      </c>
      <c r="R17" s="84" t="str">
        <f>IF(AND('Mapa final'!$AB$42="Muy Alta",'Mapa final'!$AD$42="Moderado"),CONCATENATE("R12C",'Mapa final'!$R$42),"")</f>
        <v/>
      </c>
      <c r="S17" s="83" t="str">
        <f>IF(AND('Mapa final'!$AB$40="Muy Alta",'Mapa final'!$AD$40="Mayor"),CONCATENATE("R11C",'Mapa final'!$R$40),"")</f>
        <v/>
      </c>
      <c r="T17" s="195" t="str">
        <f ca="1">IF(AND('Mapa final'!$AB$41="Muy Alta",'Mapa final'!$AD$41="Mayor"),CONCATENATE("R12C",'Mapa final'!$R$41),"")</f>
        <v/>
      </c>
      <c r="U17" s="84" t="str">
        <f>IF(AND('Mapa final'!$AB$42="Muy Alta",'Mapa final'!$AD$42="Mayor"),CONCATENATE("R12C",'Mapa final'!$R$42),"")</f>
        <v/>
      </c>
      <c r="V17" s="159" t="str">
        <f>IF(AND('Mapa final'!$AB$40="Muy Alta",'Mapa final'!$AD$40="Catastrófico"),CONCATENATE("R11C",'Mapa final'!$R$40),"")</f>
        <v/>
      </c>
      <c r="W17" s="194" t="str">
        <f ca="1">IF(AND('Mapa final'!$AB$41="Muy Alta",'Mapa final'!$AD$41="Catastrófico"),CONCATENATE("R12C",'Mapa final'!$R$41),"")</f>
        <v/>
      </c>
      <c r="X17" s="160" t="str">
        <f>IF(AND('Mapa final'!$AB$42="Muy Alta",'Mapa final'!$AD$42="Catastrófico"),CONCATENATE("R12C",'Mapa final'!$R$42),"")</f>
        <v/>
      </c>
      <c r="Y17" s="38"/>
      <c r="Z17" s="343"/>
      <c r="AA17" s="344"/>
      <c r="AB17" s="344"/>
      <c r="AC17" s="344"/>
      <c r="AD17" s="344"/>
      <c r="AE17" s="345"/>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row>
    <row r="18" spans="1:61" ht="15" customHeight="1" x14ac:dyDescent="0.25">
      <c r="A18" s="38"/>
      <c r="B18" s="355"/>
      <c r="C18" s="356"/>
      <c r="D18" s="357"/>
      <c r="E18" s="339"/>
      <c r="F18" s="338"/>
      <c r="G18" s="338"/>
      <c r="H18" s="338"/>
      <c r="I18" s="338"/>
      <c r="J18" s="83" t="str">
        <f>IF(AND('Mapa final'!$AB$43="Muy Alta",'Mapa final'!$AD$43="Leve"),CONCATENATE("R12C",'Mapa final'!$R$43),"")</f>
        <v/>
      </c>
      <c r="K18" s="195" t="str">
        <f ca="1">IF(AND('Mapa final'!$AB$44="Muy Alta",'Mapa final'!$AD$44="Leve"),CONCATENATE("R13C",'Mapa final'!$R$44),"")</f>
        <v/>
      </c>
      <c r="L18" s="84" t="str">
        <f>IF(AND('Mapa final'!$AB$45="Muy Alta",'Mapa final'!$AD$45="Leve"),CONCATENATE("R13C",'Mapa final'!$R$45),"")</f>
        <v/>
      </c>
      <c r="M18" s="83" t="str">
        <f>IF(AND('Mapa final'!$AB$43="Muy Alta",'Mapa final'!$AD$43="Menor"),CONCATENATE("R12C",'Mapa final'!$R$43),"")</f>
        <v/>
      </c>
      <c r="N18" s="195" t="str">
        <f ca="1">IF(AND('Mapa final'!$AB$44="Muy Alta",'Mapa final'!$AD$44="Menor"),CONCATENATE("R13C",'Mapa final'!$R$44),"")</f>
        <v/>
      </c>
      <c r="O18" s="84" t="str">
        <f>IF(AND('Mapa final'!$AB$45="Muy Alta",'Mapa final'!$AD$45="Menor"),CONCATENATE("R13C",'Mapa final'!$R$45),"")</f>
        <v/>
      </c>
      <c r="P18" s="83" t="str">
        <f>IF(AND('Mapa final'!$AB$43="Muy Alta",'Mapa final'!$AD$43="Moderado"),CONCATENATE("R12C",'Mapa final'!$R$43),"")</f>
        <v/>
      </c>
      <c r="Q18" s="195" t="str">
        <f ca="1">IF(AND('Mapa final'!$AB$44="Muy Alta",'Mapa final'!$AD$44="Moderado"),CONCATENATE("R13C",'Mapa final'!$R$44),"")</f>
        <v/>
      </c>
      <c r="R18" s="84" t="str">
        <f>IF(AND('Mapa final'!$AB$45="Muy Alta",'Mapa final'!$AD$45="Moderado"),CONCATENATE("R13C",'Mapa final'!$R$45),"")</f>
        <v/>
      </c>
      <c r="S18" s="83" t="str">
        <f>IF(AND('Mapa final'!$AB$43="Muy Alta",'Mapa final'!$AD$43="Mayor"),CONCATENATE("R12C",'Mapa final'!$R$43),"")</f>
        <v/>
      </c>
      <c r="T18" s="195" t="str">
        <f ca="1">IF(AND('Mapa final'!$AB$44="Muy Alta",'Mapa final'!$AD$44="Mayor"),CONCATENATE("R13C",'Mapa final'!$R$44),"")</f>
        <v/>
      </c>
      <c r="U18" s="84" t="str">
        <f>IF(AND('Mapa final'!$AB$45="Muy Alta",'Mapa final'!$AD$45="Mayor"),CONCATENATE("R13C",'Mapa final'!$R$45),"")</f>
        <v/>
      </c>
      <c r="V18" s="159" t="str">
        <f>IF(AND('Mapa final'!$AB$43="Muy Alta",'Mapa final'!$AD$43="Catastrófico"),CONCATENATE("R12C",'Mapa final'!$R$43),"")</f>
        <v/>
      </c>
      <c r="W18" s="194" t="str">
        <f ca="1">IF(AND('Mapa final'!$AB$44="Muy Alta",'Mapa final'!$AD$44="Catastrófico"),CONCATENATE("R13C",'Mapa final'!$R$44),"")</f>
        <v/>
      </c>
      <c r="X18" s="160" t="str">
        <f>IF(AND('Mapa final'!$AB$45="Muy Alta",'Mapa final'!$AD$45="Catastrófico"),CONCATENATE("R13C",'Mapa final'!$R$45),"")</f>
        <v/>
      </c>
      <c r="Y18" s="38"/>
      <c r="Z18" s="343"/>
      <c r="AA18" s="344"/>
      <c r="AB18" s="344"/>
      <c r="AC18" s="344"/>
      <c r="AD18" s="344"/>
      <c r="AE18" s="345"/>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row>
    <row r="19" spans="1:61" ht="15" customHeight="1" x14ac:dyDescent="0.25">
      <c r="A19" s="38"/>
      <c r="B19" s="355"/>
      <c r="C19" s="356"/>
      <c r="D19" s="357"/>
      <c r="E19" s="339"/>
      <c r="F19" s="338"/>
      <c r="G19" s="338"/>
      <c r="H19" s="338"/>
      <c r="I19" s="338"/>
      <c r="J19" s="83" t="str">
        <f>IF(AND('Mapa final'!$AB$46="Muy Alta",'Mapa final'!$AD$46="Leve"),CONCATENATE("R13C",'Mapa final'!$R$46),"")</f>
        <v/>
      </c>
      <c r="K19" s="195" t="str">
        <f>IF(AND('Mapa final'!$AB$47="Muy Alta",'Mapa final'!$AD$47="Leve"),CONCATENATE("R13C",'Mapa final'!$R$47),"")</f>
        <v/>
      </c>
      <c r="L19" s="84" t="str">
        <f>IF(AND('Mapa final'!$AB$48="Muy Alta",'Mapa final'!$AD$48="Leve"),CONCATENATE("R13C",'Mapa final'!$R$48),"")</f>
        <v/>
      </c>
      <c r="M19" s="83" t="str">
        <f>IF(AND('Mapa final'!$AB$46="Muy Alta",'Mapa final'!$AD$46="Menor"),CONCATENATE("R13C",'Mapa final'!$R$46),"")</f>
        <v/>
      </c>
      <c r="N19" s="195" t="str">
        <f>IF(AND('Mapa final'!$AB$47="Muy Alta",'Mapa final'!$AD$47="Menor"),CONCATENATE("R13C",'Mapa final'!$R$47),"")</f>
        <v/>
      </c>
      <c r="O19" s="84" t="str">
        <f>IF(AND('Mapa final'!$AB$48="Muy Alta",'Mapa final'!$AD$48="Menor"),CONCATENATE("R13C",'Mapa final'!$R$48),"")</f>
        <v/>
      </c>
      <c r="P19" s="83" t="str">
        <f>IF(AND('Mapa final'!$AB$46="Muy Alta",'Mapa final'!$AD$46="Moderado"),CONCATENATE("R13C",'Mapa final'!$R$46),"")</f>
        <v/>
      </c>
      <c r="Q19" s="195" t="str">
        <f>IF(AND('Mapa final'!$AB$47="Muy Alta",'Mapa final'!$AD$47="Moderado"),CONCATENATE("R13C",'Mapa final'!$R$47),"")</f>
        <v/>
      </c>
      <c r="R19" s="84" t="str">
        <f>IF(AND('Mapa final'!$AB$48="Muy Alta",'Mapa final'!$AD$48="Moderado"),CONCATENATE("R13C",'Mapa final'!$R$48),"")</f>
        <v/>
      </c>
      <c r="S19" s="83" t="str">
        <f>IF(AND('Mapa final'!$AB$46="Muy Alta",'Mapa final'!$AD$46="Mayor"),CONCATENATE("R13C",'Mapa final'!$R$46),"")</f>
        <v/>
      </c>
      <c r="T19" s="195" t="str">
        <f>IF(AND('Mapa final'!$AB$47="Muy Alta",'Mapa final'!$AD$47="Mayor"),CONCATENATE("R13C",'Mapa final'!$R$47),"")</f>
        <v/>
      </c>
      <c r="U19" s="84" t="str">
        <f>IF(AND('Mapa final'!$AB$48="Muy Alta",'Mapa final'!$AD$48="Mayor"),CONCATENATE("R13C",'Mapa final'!$R$48),"")</f>
        <v/>
      </c>
      <c r="V19" s="159" t="str">
        <f>IF(AND('Mapa final'!$AB$46="Muy Alta",'Mapa final'!$AD$46="Catastrófico"),CONCATENATE("R13C",'Mapa final'!$R$46),"")</f>
        <v/>
      </c>
      <c r="W19" s="194" t="str">
        <f>IF(AND('Mapa final'!$AB$47="Muy Alta",'Mapa final'!$AD$47="Catastrófico"),CONCATENATE("R13C",'Mapa final'!$R$47),"")</f>
        <v/>
      </c>
      <c r="X19" s="160" t="str">
        <f>IF(AND('Mapa final'!$AB$48="Muy Alta",'Mapa final'!$AD$48="Catastrófico"),CONCATENATE("R13C",'Mapa final'!$R$48),"")</f>
        <v/>
      </c>
      <c r="Y19" s="38"/>
      <c r="Z19" s="343"/>
      <c r="AA19" s="344"/>
      <c r="AB19" s="344"/>
      <c r="AC19" s="344"/>
      <c r="AD19" s="344"/>
      <c r="AE19" s="345"/>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row>
    <row r="20" spans="1:61" ht="15" customHeight="1" x14ac:dyDescent="0.25">
      <c r="A20" s="38"/>
      <c r="B20" s="355"/>
      <c r="C20" s="356"/>
      <c r="D20" s="357"/>
      <c r="E20" s="339"/>
      <c r="F20" s="338"/>
      <c r="G20" s="338"/>
      <c r="H20" s="338"/>
      <c r="I20" s="338"/>
      <c r="J20" s="83" t="str">
        <f ca="1">IF(AND('Mapa final'!$AB$49="Muy Alta",'Mapa final'!$AD$49="Leve"),CONCATENATE("R14C",'Mapa final'!$R$49),"")</f>
        <v/>
      </c>
      <c r="K20" s="195" t="str">
        <f>IF(AND('Mapa final'!$AB$50="Muy Alta",'Mapa final'!$AD$50="Leve"),CONCATENATE("R14C",'Mapa final'!$R$50),"")</f>
        <v/>
      </c>
      <c r="L20" s="84" t="str">
        <f>IF(AND('Mapa final'!$AB$51="Muy Alta",'Mapa final'!$AD$51="Leve"),CONCATENATE("R14C",'Mapa final'!$R$51),"")</f>
        <v/>
      </c>
      <c r="M20" s="83" t="str">
        <f ca="1">IF(AND('Mapa final'!$AB$49="Muy Alta",'Mapa final'!$AD$49="Menor"),CONCATENATE("R14C",'Mapa final'!$R$49),"")</f>
        <v/>
      </c>
      <c r="N20" s="195" t="str">
        <f>IF(AND('Mapa final'!$AB$50="Muy Alta",'Mapa final'!$AD$50="Menor"),CONCATENATE("R14C",'Mapa final'!$R$50),"")</f>
        <v/>
      </c>
      <c r="O20" s="84" t="str">
        <f>IF(AND('Mapa final'!$AB$51="Muy Alta",'Mapa final'!$AD$51="Menor"),CONCATENATE("R14C",'Mapa final'!$R$51),"")</f>
        <v/>
      </c>
      <c r="P20" s="83" t="str">
        <f ca="1">IF(AND('Mapa final'!$AB$49="Muy Alta",'Mapa final'!$AD$49="Moderado"),CONCATENATE("R14C",'Mapa final'!$R$49),"")</f>
        <v/>
      </c>
      <c r="Q20" s="195" t="str">
        <f>IF(AND('Mapa final'!$AB$50="Muy Alta",'Mapa final'!$AD$50="Moderado"),CONCATENATE("R14C",'Mapa final'!$R$50),"")</f>
        <v/>
      </c>
      <c r="R20" s="84" t="str">
        <f>IF(AND('Mapa final'!$AB$51="Muy Alta",'Mapa final'!$AD$51="Moderado"),CONCATENATE("R14C",'Mapa final'!$R$51),"")</f>
        <v/>
      </c>
      <c r="S20" s="83" t="str">
        <f ca="1">IF(AND('Mapa final'!$AB$49="Muy Alta",'Mapa final'!$AD$49="Mayor"),CONCATENATE("R14C",'Mapa final'!$R$49),"")</f>
        <v/>
      </c>
      <c r="T20" s="195" t="str">
        <f>IF(AND('Mapa final'!$AB$50="Muy Alta",'Mapa final'!$AD$50="Mayor"),CONCATENATE("R14C",'Mapa final'!$R$50),"")</f>
        <v/>
      </c>
      <c r="U20" s="84" t="str">
        <f>IF(AND('Mapa final'!$AB$51="Muy Alta",'Mapa final'!$AD$51="Mayor"),CONCATENATE("R14C",'Mapa final'!$R$51),"")</f>
        <v/>
      </c>
      <c r="V20" s="159" t="str">
        <f ca="1">IF(AND('Mapa final'!$AB$49="Muy Alta",'Mapa final'!$AD$49="Catastrófico"),CONCATENATE("R14C",'Mapa final'!$R$49),"")</f>
        <v/>
      </c>
      <c r="W20" s="194" t="str">
        <f>IF(AND('Mapa final'!$AB$50="Muy Alta",'Mapa final'!$AD$50="Catastrófico"),CONCATENATE("R14C",'Mapa final'!$R$50),"")</f>
        <v/>
      </c>
      <c r="X20" s="160" t="str">
        <f>IF(AND('Mapa final'!$AB$51="Muy Alta",'Mapa final'!$AD$51="Catastrófico"),CONCATENATE("R14C",'Mapa final'!$R$51),"")</f>
        <v/>
      </c>
      <c r="Y20" s="38"/>
      <c r="Z20" s="343"/>
      <c r="AA20" s="344"/>
      <c r="AB20" s="344"/>
      <c r="AC20" s="344"/>
      <c r="AD20" s="344"/>
      <c r="AE20" s="345"/>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row>
    <row r="21" spans="1:61" ht="15" customHeight="1" x14ac:dyDescent="0.25">
      <c r="A21" s="38"/>
      <c r="B21" s="355"/>
      <c r="C21" s="356"/>
      <c r="D21" s="357"/>
      <c r="E21" s="339"/>
      <c r="F21" s="338"/>
      <c r="G21" s="338"/>
      <c r="H21" s="338"/>
      <c r="I21" s="338"/>
      <c r="J21" s="83" t="str">
        <f ca="1">IF(AND('Mapa final'!$AB$52="Muy Alta",'Mapa final'!$AD$52="Leve"),CONCATENATE("R15C",'Mapa final'!$R$52),"")</f>
        <v/>
      </c>
      <c r="K21" s="195" t="str">
        <f>IF(AND('Mapa final'!$AB$53="Muy Alta",'Mapa final'!$AD$53="Leve"),CONCATENATE("R15C",'Mapa final'!$R$53),"")</f>
        <v/>
      </c>
      <c r="L21" s="84" t="str">
        <f>IF(AND('Mapa final'!$AB$54="Muy Alta",'Mapa final'!$AD$54="Leve"),CONCATENATE("R15C",'Mapa final'!$R$54),"")</f>
        <v/>
      </c>
      <c r="M21" s="83" t="str">
        <f ca="1">IF(AND('Mapa final'!$AB$52="Muy Alta",'Mapa final'!$AD$52="Menor"),CONCATENATE("R15C",'Mapa final'!$R$52),"")</f>
        <v/>
      </c>
      <c r="N21" s="195" t="str">
        <f>IF(AND('Mapa final'!$AB$53="Muy Alta",'Mapa final'!$AD$53="Menor"),CONCATENATE("R15C",'Mapa final'!$R$53),"")</f>
        <v/>
      </c>
      <c r="O21" s="84" t="str">
        <f>IF(AND('Mapa final'!$AB$54="Muy Alta",'Mapa final'!$AD$54="Menor"),CONCATENATE("R15C",'Mapa final'!$R$54),"")</f>
        <v/>
      </c>
      <c r="P21" s="83" t="str">
        <f ca="1">IF(AND('Mapa final'!$AB$52="Muy Alta",'Mapa final'!$AD$52="Moderado"),CONCATENATE("R15C",'Mapa final'!$R$52),"")</f>
        <v/>
      </c>
      <c r="Q21" s="195" t="str">
        <f>IF(AND('Mapa final'!$AB$53="Muy Alta",'Mapa final'!$AD$53="Moderado"),CONCATENATE("R15C",'Mapa final'!$R$53),"")</f>
        <v/>
      </c>
      <c r="R21" s="84" t="str">
        <f>IF(AND('Mapa final'!$AB$54="Muy Alta",'Mapa final'!$AD$54="Moderado"),CONCATENATE("R15C",'Mapa final'!$R$54),"")</f>
        <v/>
      </c>
      <c r="S21" s="83" t="str">
        <f ca="1">IF(AND('Mapa final'!$AB$52="Muy Alta",'Mapa final'!$AD$52="Mayor"),CONCATENATE("R15C",'Mapa final'!$R$52),"")</f>
        <v/>
      </c>
      <c r="T21" s="195" t="str">
        <f>IF(AND('Mapa final'!$AB$53="Muy Alta",'Mapa final'!$AD$53="Mayor"),CONCATENATE("R15C",'Mapa final'!$R$53),"")</f>
        <v/>
      </c>
      <c r="U21" s="84" t="str">
        <f>IF(AND('Mapa final'!$AB$54="Muy Alta",'Mapa final'!$AD$54="Mayor"),CONCATENATE("R15C",'Mapa final'!$R$54),"")</f>
        <v/>
      </c>
      <c r="V21" s="159" t="str">
        <f ca="1">IF(AND('Mapa final'!$AB$52="Muy Alta",'Mapa final'!$AD$52="Catastrófico"),CONCATENATE("R15C",'Mapa final'!$R$52),"")</f>
        <v/>
      </c>
      <c r="W21" s="194" t="str">
        <f>IF(AND('Mapa final'!$AB$53="Muy Alta",'Mapa final'!$AD$53="Catastrófico"),CONCATENATE("R15C",'Mapa final'!$R$53),"")</f>
        <v/>
      </c>
      <c r="X21" s="160" t="str">
        <f>IF(AND('Mapa final'!$AB$54="Muy Alta",'Mapa final'!$AD$54="Catastrófico"),CONCATENATE("R15C",'Mapa final'!$R$54),"")</f>
        <v/>
      </c>
      <c r="Y21" s="38"/>
      <c r="Z21" s="343"/>
      <c r="AA21" s="344"/>
      <c r="AB21" s="344"/>
      <c r="AC21" s="344"/>
      <c r="AD21" s="344"/>
      <c r="AE21" s="345"/>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row>
    <row r="22" spans="1:61" ht="15" customHeight="1" x14ac:dyDescent="0.25">
      <c r="A22" s="38"/>
      <c r="B22" s="355"/>
      <c r="C22" s="356"/>
      <c r="D22" s="357"/>
      <c r="E22" s="339"/>
      <c r="F22" s="338"/>
      <c r="G22" s="338"/>
      <c r="H22" s="338"/>
      <c r="I22" s="338"/>
      <c r="J22" s="83" t="str">
        <f ca="1">IF(AND('Mapa final'!$AB$55="Muy Alta",'Mapa final'!$AD$55="Leve"),CONCATENATE("R16C",'Mapa final'!$R$55),"")</f>
        <v/>
      </c>
      <c r="K22" s="195" t="str">
        <f>IF(AND('Mapa final'!$AB$56="Muy Alta",'Mapa final'!$AD$56="Leve"),CONCATENATE("R16C",'Mapa final'!$R$56),"")</f>
        <v/>
      </c>
      <c r="L22" s="84" t="str">
        <f>IF(AND('Mapa final'!$AB$57="Muy Alta",'Mapa final'!$AD$57="Leve"),CONCATENATE("R16C",'Mapa final'!$R$57),"")</f>
        <v/>
      </c>
      <c r="M22" s="83" t="str">
        <f ca="1">IF(AND('Mapa final'!$AB$55="Muy Alta",'Mapa final'!$AD$55="Menor"),CONCATENATE("R16C",'Mapa final'!$R$55),"")</f>
        <v/>
      </c>
      <c r="N22" s="195" t="str">
        <f>IF(AND('Mapa final'!$AB$56="Muy Alta",'Mapa final'!$AD$56="Menor"),CONCATENATE("R16C",'Mapa final'!$R$56),"")</f>
        <v/>
      </c>
      <c r="O22" s="84" t="str">
        <f>IF(AND('Mapa final'!$AB$57="Muy Alta",'Mapa final'!$AD$57="Menor"),CONCATENATE("R16C",'Mapa final'!$R$57),"")</f>
        <v/>
      </c>
      <c r="P22" s="83" t="str">
        <f ca="1">IF(AND('Mapa final'!$AB$55="Muy Alta",'Mapa final'!$AD$55="Moderado"),CONCATENATE("R16C",'Mapa final'!$R$55),"")</f>
        <v/>
      </c>
      <c r="Q22" s="195" t="str">
        <f>IF(AND('Mapa final'!$AB$56="Muy Alta",'Mapa final'!$AD$56="Moderado"),CONCATENATE("R16C",'Mapa final'!$R$56),"")</f>
        <v/>
      </c>
      <c r="R22" s="84" t="str">
        <f>IF(AND('Mapa final'!$AB$57="Muy Alta",'Mapa final'!$AD$57="Moderado"),CONCATENATE("R16C",'Mapa final'!$R$57),"")</f>
        <v/>
      </c>
      <c r="S22" s="83" t="str">
        <f ca="1">IF(AND('Mapa final'!$AB$55="Muy Alta",'Mapa final'!$AD$55="Mayor"),CONCATENATE("R16C",'Mapa final'!$R$55),"")</f>
        <v/>
      </c>
      <c r="T22" s="195" t="str">
        <f>IF(AND('Mapa final'!$AB$56="Muy Alta",'Mapa final'!$AD$56="Mayor"),CONCATENATE("R16C",'Mapa final'!$R$56),"")</f>
        <v/>
      </c>
      <c r="U22" s="84" t="str">
        <f>IF(AND('Mapa final'!$AB$57="Muy Alta",'Mapa final'!$AD$57="Mayor"),CONCATENATE("R16C",'Mapa final'!$R$57),"")</f>
        <v/>
      </c>
      <c r="V22" s="159" t="str">
        <f ca="1">IF(AND('Mapa final'!$AB$55="Muy Alta",'Mapa final'!$AD$55="Catastrófico"),CONCATENATE("R16C",'Mapa final'!$R$55),"")</f>
        <v/>
      </c>
      <c r="W22" s="194" t="str">
        <f>IF(AND('Mapa final'!$AB$56="Muy Alta",'Mapa final'!$AD$56="Catastrófico"),CONCATENATE("R16C",'Mapa final'!$R$56),"")</f>
        <v/>
      </c>
      <c r="X22" s="160" t="str">
        <f>IF(AND('Mapa final'!$AB$57="Muy Alta",'Mapa final'!$AD$57="Catastrófico"),CONCATENATE("R16C",'Mapa final'!$R$57),"")</f>
        <v/>
      </c>
      <c r="Y22" s="38"/>
      <c r="Z22" s="343"/>
      <c r="AA22" s="344"/>
      <c r="AB22" s="344"/>
      <c r="AC22" s="344"/>
      <c r="AD22" s="344"/>
      <c r="AE22" s="345"/>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row>
    <row r="23" spans="1:61" ht="15" customHeight="1" x14ac:dyDescent="0.25">
      <c r="A23" s="38"/>
      <c r="B23" s="355"/>
      <c r="C23" s="356"/>
      <c r="D23" s="357"/>
      <c r="E23" s="339"/>
      <c r="F23" s="338"/>
      <c r="G23" s="338"/>
      <c r="H23" s="338"/>
      <c r="I23" s="338"/>
      <c r="J23" s="83" t="str">
        <f ca="1">IF(AND('Mapa final'!$AB$58="Muy Alta",'Mapa final'!$AD$58="Leve"),CONCATENATE("R17C",'Mapa final'!$R$58),"")</f>
        <v/>
      </c>
      <c r="K23" s="195" t="str">
        <f>IF(AND('Mapa final'!$AB$59="Muy Alta",'Mapa final'!$AD$59="Leve"),CONCATENATE("R17C",'Mapa final'!$R$59),"")</f>
        <v/>
      </c>
      <c r="L23" s="84" t="str">
        <f>IF(AND('Mapa final'!$AB$60="Muy Alta",'Mapa final'!$AD$60="Leve"),CONCATENATE("R17C",'Mapa final'!$R$60),"")</f>
        <v/>
      </c>
      <c r="M23" s="83" t="str">
        <f ca="1">IF(AND('Mapa final'!$AB$58="Muy Alta",'Mapa final'!$AD$58="Menor"),CONCATENATE("R17C",'Mapa final'!$R$58),"")</f>
        <v/>
      </c>
      <c r="N23" s="195" t="str">
        <f>IF(AND('Mapa final'!$AB$59="Muy Alta",'Mapa final'!$AD$59="Menor"),CONCATENATE("R17C",'Mapa final'!$R$59),"")</f>
        <v/>
      </c>
      <c r="O23" s="84" t="str">
        <f>IF(AND('Mapa final'!$AB$60="Muy Alta",'Mapa final'!$AD$60="Menor"),CONCATENATE("R17C",'Mapa final'!$R$60),"")</f>
        <v/>
      </c>
      <c r="P23" s="83" t="str">
        <f ca="1">IF(AND('Mapa final'!$AB$58="Muy Alta",'Mapa final'!$AD$58="Moderado"),CONCATENATE("R17C",'Mapa final'!$R$58),"")</f>
        <v/>
      </c>
      <c r="Q23" s="195" t="str">
        <f>IF(AND('Mapa final'!$AB$59="Muy Alta",'Mapa final'!$AD$59="Moderado"),CONCATENATE("R17C",'Mapa final'!$R$59),"")</f>
        <v/>
      </c>
      <c r="R23" s="84" t="str">
        <f>IF(AND('Mapa final'!$AB$60="Muy Alta",'Mapa final'!$AD$60="Moderado"),CONCATENATE("R17C",'Mapa final'!$R$60),"")</f>
        <v/>
      </c>
      <c r="S23" s="83" t="str">
        <f ca="1">IF(AND('Mapa final'!$AB$58="Muy Alta",'Mapa final'!$AD$58="Mayor"),CONCATENATE("R17C",'Mapa final'!$R$58),"")</f>
        <v/>
      </c>
      <c r="T23" s="195" t="str">
        <f>IF(AND('Mapa final'!$AB$59="Muy Alta",'Mapa final'!$AD$59="Mayor"),CONCATENATE("R17C",'Mapa final'!$R$59),"")</f>
        <v/>
      </c>
      <c r="U23" s="84" t="str">
        <f>IF(AND('Mapa final'!$AB$60="Muy Alta",'Mapa final'!$AD$60="Mayor"),CONCATENATE("R17C",'Mapa final'!$R$60),"")</f>
        <v/>
      </c>
      <c r="V23" s="159" t="str">
        <f ca="1">IF(AND('Mapa final'!$AB$58="Muy Alta",'Mapa final'!$AD$58="Catastrófico"),CONCATENATE("R17C",'Mapa final'!$R$58),"")</f>
        <v/>
      </c>
      <c r="W23" s="194" t="str">
        <f>IF(AND('Mapa final'!$AB$59="Muy Alta",'Mapa final'!$AD$59="Catastrófico"),CONCATENATE("R17C",'Mapa final'!$R$59),"")</f>
        <v/>
      </c>
      <c r="X23" s="160" t="str">
        <f>IF(AND('Mapa final'!$AB$60="Muy Alta",'Mapa final'!$AD$60="Catastrófico"),CONCATENATE("R17C",'Mapa final'!$R$60),"")</f>
        <v/>
      </c>
      <c r="Y23" s="38"/>
      <c r="Z23" s="343"/>
      <c r="AA23" s="344"/>
      <c r="AB23" s="344"/>
      <c r="AC23" s="344"/>
      <c r="AD23" s="344"/>
      <c r="AE23" s="345"/>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row>
    <row r="24" spans="1:61" ht="15" customHeight="1" x14ac:dyDescent="0.25">
      <c r="A24" s="38"/>
      <c r="B24" s="355"/>
      <c r="C24" s="356"/>
      <c r="D24" s="357"/>
      <c r="E24" s="339"/>
      <c r="F24" s="338"/>
      <c r="G24" s="338"/>
      <c r="H24" s="338"/>
      <c r="I24" s="338"/>
      <c r="J24" s="83" t="str">
        <f ca="1">IF(AND('Mapa final'!$AB$61="Muy Alta",'Mapa final'!$AD$61="Leve"),CONCATENATE("R18C",'Mapa final'!$R$61),"")</f>
        <v/>
      </c>
      <c r="K24" s="195" t="str">
        <f>IF(AND('Mapa final'!$AB$62="Muy Alta",'Mapa final'!$AD$62="Leve"),CONCATENATE("R18C",'Mapa final'!$R$62),"")</f>
        <v/>
      </c>
      <c r="L24" s="84" t="str">
        <f>IF(AND('Mapa final'!$AB$63="Muy Alta",'Mapa final'!$AD$63="Leve"),CONCATENATE("R18C",'Mapa final'!$R$63),"")</f>
        <v/>
      </c>
      <c r="M24" s="83" t="str">
        <f ca="1">IF(AND('Mapa final'!$AB$61="Muy Alta",'Mapa final'!$AD$61="Menor"),CONCATENATE("R18C",'Mapa final'!$R$61),"")</f>
        <v/>
      </c>
      <c r="N24" s="195" t="str">
        <f>IF(AND('Mapa final'!$AB$62="Muy Alta",'Mapa final'!$AD$62="Menor"),CONCATENATE("R18C",'Mapa final'!$R$62),"")</f>
        <v/>
      </c>
      <c r="O24" s="84" t="str">
        <f>IF(AND('Mapa final'!$AB$63="Muy Alta",'Mapa final'!$AD$63="Menor"),CONCATENATE("R18C",'Mapa final'!$R$63),"")</f>
        <v/>
      </c>
      <c r="P24" s="83" t="str">
        <f ca="1">IF(AND('Mapa final'!$AB$61="Muy Alta",'Mapa final'!$AD$61="Moderado"),CONCATENATE("R18C",'Mapa final'!$R$61),"")</f>
        <v/>
      </c>
      <c r="Q24" s="195" t="str">
        <f>IF(AND('Mapa final'!$AB$62="Muy Alta",'Mapa final'!$AD$62="Moderado"),CONCATENATE("R18C",'Mapa final'!$R$62),"")</f>
        <v/>
      </c>
      <c r="R24" s="84" t="str">
        <f>IF(AND('Mapa final'!$AB$63="Muy Alta",'Mapa final'!$AD$63="Moderado"),CONCATENATE("R18C",'Mapa final'!$R$63),"")</f>
        <v/>
      </c>
      <c r="S24" s="83" t="str">
        <f ca="1">IF(AND('Mapa final'!$AB$61="Muy Alta",'Mapa final'!$AD$61="Mayor"),CONCATENATE("R18C",'Mapa final'!$R$61),"")</f>
        <v/>
      </c>
      <c r="T24" s="195" t="str">
        <f>IF(AND('Mapa final'!$AB$62="Muy Alta",'Mapa final'!$AD$62="Mayor"),CONCATENATE("R18C",'Mapa final'!$R$62),"")</f>
        <v/>
      </c>
      <c r="U24" s="84" t="str">
        <f>IF(AND('Mapa final'!$AB$63="Muy Alta",'Mapa final'!$AD$63="Mayor"),CONCATENATE("R18C",'Mapa final'!$R$63),"")</f>
        <v/>
      </c>
      <c r="V24" s="159" t="str">
        <f ca="1">IF(AND('Mapa final'!$AB$61="Muy Alta",'Mapa final'!$AD$61="Catastrófico"),CONCATENATE("R18C",'Mapa final'!$R$61),"")</f>
        <v/>
      </c>
      <c r="W24" s="194" t="str">
        <f>IF(AND('Mapa final'!$AB$62="Muy Alta",'Mapa final'!$AD$62="Catastrófico"),CONCATENATE("R18C",'Mapa final'!$R$62),"")</f>
        <v/>
      </c>
      <c r="X24" s="160" t="str">
        <f>IF(AND('Mapa final'!$AB$63="Muy Alta",'Mapa final'!$AD$63="Catastrófico"),CONCATENATE("R18C",'Mapa final'!$R$63),"")</f>
        <v/>
      </c>
      <c r="Y24" s="38"/>
      <c r="Z24" s="343"/>
      <c r="AA24" s="344"/>
      <c r="AB24" s="344"/>
      <c r="AC24" s="344"/>
      <c r="AD24" s="344"/>
      <c r="AE24" s="345"/>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row>
    <row r="25" spans="1:61" ht="15" customHeight="1" x14ac:dyDescent="0.25">
      <c r="A25" s="38"/>
      <c r="B25" s="355"/>
      <c r="C25" s="356"/>
      <c r="D25" s="357"/>
      <c r="E25" s="339"/>
      <c r="F25" s="338"/>
      <c r="G25" s="338"/>
      <c r="H25" s="338"/>
      <c r="I25" s="338"/>
      <c r="J25" s="83" t="str">
        <f ca="1">IF(AND('Mapa final'!$AB$64="Muy Alta",'Mapa final'!$AD$64="Leve"),CONCATENATE("R19C",'Mapa final'!$R$64),"")</f>
        <v/>
      </c>
      <c r="K25" s="195" t="str">
        <f>IF(AND('Mapa final'!$AB$65="Muy Alta",'Mapa final'!$AD$65="Leve"),CONCATENATE("R19C",'Mapa final'!$R$65),"")</f>
        <v/>
      </c>
      <c r="L25" s="84" t="str">
        <f>IF(AND('Mapa final'!$AB$66="Muy Alta",'Mapa final'!$AD$66="Leve"),CONCATENATE("R19C",'Mapa final'!$R$66),"")</f>
        <v/>
      </c>
      <c r="M25" s="83" t="str">
        <f ca="1">IF(AND('Mapa final'!$AB$64="Muy Alta",'Mapa final'!$AD$64="Menor"),CONCATENATE("R19C",'Mapa final'!$R$64),"")</f>
        <v/>
      </c>
      <c r="N25" s="195" t="str">
        <f>IF(AND('Mapa final'!$AB$65="Muy Alta",'Mapa final'!$AD$65="Menor"),CONCATENATE("R19C",'Mapa final'!$R$65),"")</f>
        <v/>
      </c>
      <c r="O25" s="84" t="str">
        <f>IF(AND('Mapa final'!$AB$66="Muy Alta",'Mapa final'!$AD$66="Menor"),CONCATENATE("R19C",'Mapa final'!$R$66),"")</f>
        <v/>
      </c>
      <c r="P25" s="83" t="str">
        <f ca="1">IF(AND('Mapa final'!$AB$64="Muy Alta",'Mapa final'!$AD$64="Moderado"),CONCATENATE("R19C",'Mapa final'!$R$64),"")</f>
        <v/>
      </c>
      <c r="Q25" s="195" t="str">
        <f>IF(AND('Mapa final'!$AB$65="Muy Alta",'Mapa final'!$AD$65="Moderado"),CONCATENATE("R19C",'Mapa final'!$R$65),"")</f>
        <v/>
      </c>
      <c r="R25" s="84" t="str">
        <f>IF(AND('Mapa final'!$AB$66="Muy Alta",'Mapa final'!$AD$66="Moderado"),CONCATENATE("R19C",'Mapa final'!$R$66),"")</f>
        <v/>
      </c>
      <c r="S25" s="83" t="str">
        <f ca="1">IF(AND('Mapa final'!$AB$64="Muy Alta",'Mapa final'!$AD$64="Mayor"),CONCATENATE("R19C",'Mapa final'!$R$64),"")</f>
        <v/>
      </c>
      <c r="T25" s="195" t="str">
        <f>IF(AND('Mapa final'!$AB$65="Muy Alta",'Mapa final'!$AD$65="Mayor"),CONCATENATE("R19C",'Mapa final'!$R$65),"")</f>
        <v/>
      </c>
      <c r="U25" s="84" t="str">
        <f>IF(AND('Mapa final'!$AB$66="Muy Alta",'Mapa final'!$AD$66="Mayor"),CONCATENATE("R19C",'Mapa final'!$R$66),"")</f>
        <v/>
      </c>
      <c r="V25" s="159" t="str">
        <f ca="1">IF(AND('Mapa final'!$AB$64="Muy Alta",'Mapa final'!$AD$64="Catastrófico"),CONCATENATE("R19C",'Mapa final'!$R$64),"")</f>
        <v/>
      </c>
      <c r="W25" s="194" t="str">
        <f>IF(AND('Mapa final'!$AB$65="Muy Alta",'Mapa final'!$AD$65="Catastrófico"),CONCATENATE("R19C",'Mapa final'!$R$65),"")</f>
        <v/>
      </c>
      <c r="X25" s="160" t="str">
        <f>IF(AND('Mapa final'!$AB$66="Muy Alta",'Mapa final'!$AD$66="Catastrófico"),CONCATENATE("R19C",'Mapa final'!$R$66),"")</f>
        <v/>
      </c>
      <c r="Y25" s="38"/>
      <c r="Z25" s="343"/>
      <c r="AA25" s="344"/>
      <c r="AB25" s="344"/>
      <c r="AC25" s="344"/>
      <c r="AD25" s="344"/>
      <c r="AE25" s="345"/>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row>
    <row r="26" spans="1:61" ht="15" customHeight="1" x14ac:dyDescent="0.25">
      <c r="A26" s="38"/>
      <c r="B26" s="355"/>
      <c r="C26" s="356"/>
      <c r="D26" s="357"/>
      <c r="E26" s="339"/>
      <c r="F26" s="338"/>
      <c r="G26" s="338"/>
      <c r="H26" s="338"/>
      <c r="I26" s="338"/>
      <c r="J26" s="83" t="str">
        <f ca="1">IF(AND('Mapa final'!$AB$67="Muy Alta",'Mapa final'!$AD$67="Leve"),CONCATENATE("R20C",'Mapa final'!$R$67),"")</f>
        <v/>
      </c>
      <c r="K26" s="195" t="str">
        <f>IF(AND('Mapa final'!$AB$68="Muy Alta",'Mapa final'!$AD$68="Leve"),CONCATENATE("R20C",'Mapa final'!$R$68),"")</f>
        <v/>
      </c>
      <c r="L26" s="84" t="str">
        <f>IF(AND('Mapa final'!$AB$69="Muy Alta",'Mapa final'!$AD$69="Leve"),CONCATENATE("R20C",'Mapa final'!$R$69),"")</f>
        <v/>
      </c>
      <c r="M26" s="83" t="str">
        <f ca="1">IF(AND('Mapa final'!$AB$67="Muy Alta",'Mapa final'!$AD$67="Menor"),CONCATENATE("R20C",'Mapa final'!$R$67),"")</f>
        <v/>
      </c>
      <c r="N26" s="195" t="str">
        <f>IF(AND('Mapa final'!$AB$68="Muy Alta",'Mapa final'!$AD$68="Menor"),CONCATENATE("R20C",'Mapa final'!$R$68),"")</f>
        <v/>
      </c>
      <c r="O26" s="84" t="str">
        <f>IF(AND('Mapa final'!$AB$69="Muy Alta",'Mapa final'!$AD$69="Menor"),CONCATENATE("R20C",'Mapa final'!$R$69),"")</f>
        <v/>
      </c>
      <c r="P26" s="83" t="str">
        <f ca="1">IF(AND('Mapa final'!$AB$67="Muy Alta",'Mapa final'!$AD$67="Moderado"),CONCATENATE("R20C",'Mapa final'!$R$67),"")</f>
        <v/>
      </c>
      <c r="Q26" s="195" t="str">
        <f>IF(AND('Mapa final'!$AB$68="Muy Alta",'Mapa final'!$AD$68="Moderado"),CONCATENATE("R20C",'Mapa final'!$R$68),"")</f>
        <v/>
      </c>
      <c r="R26" s="84" t="str">
        <f>IF(AND('Mapa final'!$AB$69="Muy Alta",'Mapa final'!$AD$69="Moderado"),CONCATENATE("R20C",'Mapa final'!$R$69),"")</f>
        <v/>
      </c>
      <c r="S26" s="83" t="str">
        <f ca="1">IF(AND('Mapa final'!$AB$67="Muy Alta",'Mapa final'!$AD$67="Mayor"),CONCATENATE("R20C",'Mapa final'!$R$67),"")</f>
        <v/>
      </c>
      <c r="T26" s="195" t="str">
        <f>IF(AND('Mapa final'!$AB$68="Muy Alta",'Mapa final'!$AD$68="Mayor"),CONCATENATE("R20C",'Mapa final'!$R$68),"")</f>
        <v/>
      </c>
      <c r="U26" s="84" t="str">
        <f>IF(AND('Mapa final'!$AB$69="Muy Alta",'Mapa final'!$AD$69="Mayor"),CONCATENATE("R20C",'Mapa final'!$R$69),"")</f>
        <v/>
      </c>
      <c r="V26" s="159" t="str">
        <f ca="1">IF(AND('Mapa final'!$AB$67="Muy Alta",'Mapa final'!$AD$67="Catastrófico"),CONCATENATE("R20C",'Mapa final'!$R$67),"")</f>
        <v/>
      </c>
      <c r="W26" s="194" t="str">
        <f>IF(AND('Mapa final'!$AB$68="Muy Alta",'Mapa final'!$AD$68="Catastrófico"),CONCATENATE("R20C",'Mapa final'!$R$68),"")</f>
        <v/>
      </c>
      <c r="X26" s="160" t="str">
        <f>IF(AND('Mapa final'!$AB$69="Muy Alta",'Mapa final'!$AD$69="Catastrófico"),CONCATENATE("R20C",'Mapa final'!$R$69),"")</f>
        <v/>
      </c>
      <c r="Y26" s="38"/>
      <c r="Z26" s="343"/>
      <c r="AA26" s="344"/>
      <c r="AB26" s="344"/>
      <c r="AC26" s="344"/>
      <c r="AD26" s="344"/>
      <c r="AE26" s="345"/>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row>
    <row r="27" spans="1:61" ht="15" customHeight="1" x14ac:dyDescent="0.25">
      <c r="A27" s="38"/>
      <c r="B27" s="355"/>
      <c r="C27" s="356"/>
      <c r="D27" s="357"/>
      <c r="E27" s="339"/>
      <c r="F27" s="338"/>
      <c r="G27" s="338"/>
      <c r="H27" s="338"/>
      <c r="I27" s="338"/>
      <c r="J27" s="83" t="str">
        <f ca="1">IF(AND('Mapa final'!$AB$70="Muy Alta",'Mapa final'!$AD$70="Leve"),CONCATENATE("R21C",'Mapa final'!$R$70),"")</f>
        <v/>
      </c>
      <c r="K27" s="195" t="str">
        <f>IF(AND('Mapa final'!$AB$71="Muy Alta",'Mapa final'!$AD$71="Leve"),CONCATENATE("R21C",'Mapa final'!$R$71),"")</f>
        <v/>
      </c>
      <c r="L27" s="84" t="str">
        <f>IF(AND('Mapa final'!$AB$72="Muy Alta",'Mapa final'!$AD$72="Leve"),CONCATENATE("R21C",'Mapa final'!$R$72),"")</f>
        <v/>
      </c>
      <c r="M27" s="83" t="str">
        <f ca="1">IF(AND('Mapa final'!$AB$70="Muy Alta",'Mapa final'!$AD$70="Menor"),CONCATENATE("R21C",'Mapa final'!$R$70),"")</f>
        <v/>
      </c>
      <c r="N27" s="195" t="str">
        <f>IF(AND('Mapa final'!$AB$71="Muy Alta",'Mapa final'!$AD$71="Menor"),CONCATENATE("R21C",'Mapa final'!$R$71),"")</f>
        <v/>
      </c>
      <c r="O27" s="84" t="str">
        <f>IF(AND('Mapa final'!$AB$72="Muy Alta",'Mapa final'!$AD$72="Menor"),CONCATENATE("R21C",'Mapa final'!$R$72),"")</f>
        <v/>
      </c>
      <c r="P27" s="83" t="str">
        <f ca="1">IF(AND('Mapa final'!$AB$70="Muy Alta",'Mapa final'!$AD$70="Moderado"),CONCATENATE("R21C",'Mapa final'!$R$70),"")</f>
        <v/>
      </c>
      <c r="Q27" s="195" t="str">
        <f>IF(AND('Mapa final'!$AB$71="Muy Alta",'Mapa final'!$AD$71="Moderado"),CONCATENATE("R21C",'Mapa final'!$R$71),"")</f>
        <v/>
      </c>
      <c r="R27" s="84" t="str">
        <f>IF(AND('Mapa final'!$AB$72="Muy Alta",'Mapa final'!$AD$72="Moderado"),CONCATENATE("R21C",'Mapa final'!$R$72),"")</f>
        <v/>
      </c>
      <c r="S27" s="83" t="str">
        <f ca="1">IF(AND('Mapa final'!$AB$70="Muy Alta",'Mapa final'!$AD$70="Mayor"),CONCATENATE("R21C",'Mapa final'!$R$70),"")</f>
        <v/>
      </c>
      <c r="T27" s="195" t="str">
        <f>IF(AND('Mapa final'!$AB$71="Muy Alta",'Mapa final'!$AD$71="Mayor"),CONCATENATE("R21C",'Mapa final'!$R$71),"")</f>
        <v/>
      </c>
      <c r="U27" s="84" t="str">
        <f>IF(AND('Mapa final'!$AB$72="Muy Alta",'Mapa final'!$AD$72="Mayor"),CONCATENATE("R21C",'Mapa final'!$R$72),"")</f>
        <v/>
      </c>
      <c r="V27" s="159" t="str">
        <f ca="1">IF(AND('Mapa final'!$AB$70="Muy Alta",'Mapa final'!$AD$70="Catastrófico"),CONCATENATE("R21C",'Mapa final'!$R$70),"")</f>
        <v/>
      </c>
      <c r="W27" s="194" t="str">
        <f>IF(AND('Mapa final'!$AB$71="Muy Alta",'Mapa final'!$AD$71="Catastrófico"),CONCATENATE("R21C",'Mapa final'!$R$71),"")</f>
        <v/>
      </c>
      <c r="X27" s="160" t="str">
        <f>IF(AND('Mapa final'!$AB$72="Muy Alta",'Mapa final'!$AD$72="Catastrófico"),CONCATENATE("R21C",'Mapa final'!$R$72),"")</f>
        <v/>
      </c>
      <c r="Y27" s="38"/>
      <c r="Z27" s="343"/>
      <c r="AA27" s="344"/>
      <c r="AB27" s="344"/>
      <c r="AC27" s="344"/>
      <c r="AD27" s="344"/>
      <c r="AE27" s="345"/>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row>
    <row r="28" spans="1:61" ht="15" customHeight="1" x14ac:dyDescent="0.25">
      <c r="A28" s="38"/>
      <c r="B28" s="355"/>
      <c r="C28" s="356"/>
      <c r="D28" s="357"/>
      <c r="E28" s="339"/>
      <c r="F28" s="338"/>
      <c r="G28" s="338"/>
      <c r="H28" s="338"/>
      <c r="I28" s="338"/>
      <c r="J28" s="83" t="str">
        <f ca="1">IF(AND('Mapa final'!$AB$73="Muy Alta",'Mapa final'!$AD$73="Leve"),CONCATENATE("R22C",'Mapa final'!$R$73),"")</f>
        <v/>
      </c>
      <c r="K28" s="195" t="str">
        <f>IF(AND('Mapa final'!$AB$74="Muy Alta",'Mapa final'!$AD$74="Leve"),CONCATENATE("R22C",'Mapa final'!$R$74),"")</f>
        <v/>
      </c>
      <c r="L28" s="84" t="str">
        <f>IF(AND('Mapa final'!$AB$75="Muy Alta",'Mapa final'!$AD$75="Leve"),CONCATENATE("R22C",'Mapa final'!$R$75),"")</f>
        <v/>
      </c>
      <c r="M28" s="83" t="str">
        <f ca="1">IF(AND('Mapa final'!$AB$73="Muy Alta",'Mapa final'!$AD$73="Menor"),CONCATENATE("R22C",'Mapa final'!$R$73),"")</f>
        <v/>
      </c>
      <c r="N28" s="195" t="str">
        <f>IF(AND('Mapa final'!$AB$74="Muy Alta",'Mapa final'!$AD$74="Menor"),CONCATENATE("R22C",'Mapa final'!$R$74),"")</f>
        <v/>
      </c>
      <c r="O28" s="84" t="str">
        <f>IF(AND('Mapa final'!$AB$75="Muy Alta",'Mapa final'!$AD$75="Menor"),CONCATENATE("R22C",'Mapa final'!$R$75),"")</f>
        <v/>
      </c>
      <c r="P28" s="83" t="str">
        <f ca="1">IF(AND('Mapa final'!$AB$73="Muy Alta",'Mapa final'!$AD$73="Moderado"),CONCATENATE("R22C",'Mapa final'!$R$73),"")</f>
        <v/>
      </c>
      <c r="Q28" s="195" t="str">
        <f>IF(AND('Mapa final'!$AB$74="Muy Alta",'Mapa final'!$AD$74="Moderado"),CONCATENATE("R22C",'Mapa final'!$R$74),"")</f>
        <v/>
      </c>
      <c r="R28" s="84" t="str">
        <f>IF(AND('Mapa final'!$AB$75="Muy Alta",'Mapa final'!$AD$75="Moderado"),CONCATENATE("R22C",'Mapa final'!$R$75),"")</f>
        <v/>
      </c>
      <c r="S28" s="83" t="str">
        <f ca="1">IF(AND('Mapa final'!$AB$73="Muy Alta",'Mapa final'!$AD$73="Mayor"),CONCATENATE("R22C",'Mapa final'!$R$73),"")</f>
        <v/>
      </c>
      <c r="T28" s="195" t="str">
        <f>IF(AND('Mapa final'!$AB$74="Muy Alta",'Mapa final'!$AD$74="Mayor"),CONCATENATE("R22C",'Mapa final'!$R$74),"")</f>
        <v/>
      </c>
      <c r="U28" s="84" t="str">
        <f>IF(AND('Mapa final'!$AB$75="Muy Alta",'Mapa final'!$AD$75="Mayor"),CONCATENATE("R22C",'Mapa final'!$R$75),"")</f>
        <v/>
      </c>
      <c r="V28" s="159" t="str">
        <f ca="1">IF(AND('Mapa final'!$AB$73="Muy Alta",'Mapa final'!$AD$73="Catastrófico"),CONCATENATE("R22C",'Mapa final'!$R$73),"")</f>
        <v/>
      </c>
      <c r="W28" s="194" t="str">
        <f>IF(AND('Mapa final'!$AB$74="Muy Alta",'Mapa final'!$AD$74="Catastrófico"),CONCATENATE("R22C",'Mapa final'!$R$74),"")</f>
        <v/>
      </c>
      <c r="X28" s="160" t="str">
        <f>IF(AND('Mapa final'!$AB$75="Muy Alta",'Mapa final'!$AD$75="Catastrófico"),CONCATENATE("R22C",'Mapa final'!$R$75),"")</f>
        <v/>
      </c>
      <c r="Y28" s="38"/>
      <c r="Z28" s="343"/>
      <c r="AA28" s="344"/>
      <c r="AB28" s="344"/>
      <c r="AC28" s="344"/>
      <c r="AD28" s="344"/>
      <c r="AE28" s="345"/>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row>
    <row r="29" spans="1:61" ht="15" customHeight="1" x14ac:dyDescent="0.25">
      <c r="A29" s="38"/>
      <c r="B29" s="355"/>
      <c r="C29" s="356"/>
      <c r="D29" s="357"/>
      <c r="E29" s="339"/>
      <c r="F29" s="338"/>
      <c r="G29" s="338"/>
      <c r="H29" s="338"/>
      <c r="I29" s="338"/>
      <c r="J29" s="83" t="str">
        <f ca="1">IF(AND('Mapa final'!$AB$76="Muy Alta",'Mapa final'!$AD$76="Leve"),CONCATENATE("R23C",'Mapa final'!$R$76),"")</f>
        <v/>
      </c>
      <c r="K29" s="195" t="str">
        <f>IF(AND('Mapa final'!$AB$77="Muy Alta",'Mapa final'!$AD$77="Leve"),CONCATENATE("R23C",'Mapa final'!$R$77),"")</f>
        <v/>
      </c>
      <c r="L29" s="84" t="str">
        <f>IF(AND('Mapa final'!$AB$78="Muy Alta",'Mapa final'!$AD$78="Leve"),CONCATENATE("R23C",'Mapa final'!$R$78),"")</f>
        <v/>
      </c>
      <c r="M29" s="83" t="str">
        <f ca="1">IF(AND('Mapa final'!$AB$76="Muy Alta",'Mapa final'!$AD$76="Menor"),CONCATENATE("R23C",'Mapa final'!$R$76),"")</f>
        <v/>
      </c>
      <c r="N29" s="195" t="str">
        <f>IF(AND('Mapa final'!$AB$77="Muy Alta",'Mapa final'!$AD$77="Menor"),CONCATENATE("R23C",'Mapa final'!$R$77),"")</f>
        <v/>
      </c>
      <c r="O29" s="84" t="str">
        <f>IF(AND('Mapa final'!$AB$78="Muy Alta",'Mapa final'!$AD$78="Menor"),CONCATENATE("R23C",'Mapa final'!$R$78),"")</f>
        <v/>
      </c>
      <c r="P29" s="83" t="str">
        <f ca="1">IF(AND('Mapa final'!$AB$76="Muy Alta",'Mapa final'!$AD$76="Moderado"),CONCATENATE("R23C",'Mapa final'!$R$76),"")</f>
        <v/>
      </c>
      <c r="Q29" s="195" t="str">
        <f>IF(AND('Mapa final'!$AB$77="Muy Alta",'Mapa final'!$AD$77="Moderado"),CONCATENATE("R23C",'Mapa final'!$R$77),"")</f>
        <v/>
      </c>
      <c r="R29" s="84" t="str">
        <f>IF(AND('Mapa final'!$AB$78="Muy Alta",'Mapa final'!$AD$78="Moderado"),CONCATENATE("R23C",'Mapa final'!$R$78),"")</f>
        <v/>
      </c>
      <c r="S29" s="83" t="str">
        <f ca="1">IF(AND('Mapa final'!$AB$76="Muy Alta",'Mapa final'!$AD$76="Mayor"),CONCATENATE("R23C",'Mapa final'!$R$76),"")</f>
        <v/>
      </c>
      <c r="T29" s="195" t="str">
        <f>IF(AND('Mapa final'!$AB$77="Muy Alta",'Mapa final'!$AD$77="Mayor"),CONCATENATE("R23C",'Mapa final'!$R$77),"")</f>
        <v/>
      </c>
      <c r="U29" s="84" t="str">
        <f>IF(AND('Mapa final'!$AB$78="Muy Alta",'Mapa final'!$AD$78="Mayor"),CONCATENATE("R23C",'Mapa final'!$R$78),"")</f>
        <v/>
      </c>
      <c r="V29" s="159" t="str">
        <f ca="1">IF(AND('Mapa final'!$AB$76="Muy Alta",'Mapa final'!$AD$76="Catastrófico"),CONCATENATE("R23C",'Mapa final'!$R$76),"")</f>
        <v/>
      </c>
      <c r="W29" s="194" t="str">
        <f>IF(AND('Mapa final'!$AB$77="Muy Alta",'Mapa final'!$AD$77="Catastrófico"),CONCATENATE("R23C",'Mapa final'!$R$77),"")</f>
        <v/>
      </c>
      <c r="X29" s="160" t="str">
        <f>IF(AND('Mapa final'!$AB$78="Muy Alta",'Mapa final'!$AD$78="Catastrófico"),CONCATENATE("R23C",'Mapa final'!$R$78),"")</f>
        <v/>
      </c>
      <c r="Y29" s="38"/>
      <c r="Z29" s="343"/>
      <c r="AA29" s="344"/>
      <c r="AB29" s="344"/>
      <c r="AC29" s="344"/>
      <c r="AD29" s="344"/>
      <c r="AE29" s="345"/>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row>
    <row r="30" spans="1:61" ht="15" customHeight="1" x14ac:dyDescent="0.25">
      <c r="A30" s="38"/>
      <c r="B30" s="355"/>
      <c r="C30" s="356"/>
      <c r="D30" s="357"/>
      <c r="E30" s="339"/>
      <c r="F30" s="338"/>
      <c r="G30" s="338"/>
      <c r="H30" s="338"/>
      <c r="I30" s="338"/>
      <c r="J30" s="83" t="str">
        <f ca="1">IF(AND('Mapa final'!$AB$79="Muy Alta",'Mapa final'!$AD$79="Leve"),CONCATENATE("R24C",'Mapa final'!$R$79),"")</f>
        <v/>
      </c>
      <c r="K30" s="195" t="str">
        <f>IF(AND('Mapa final'!$AB$80="Muy Alta",'Mapa final'!$AD$80="Leve"),CONCATENATE("R24C",'Mapa final'!$R$80),"")</f>
        <v/>
      </c>
      <c r="L30" s="84" t="str">
        <f>IF(AND('Mapa final'!$AB$81="Muy Alta",'Mapa final'!$AD$81="Leve"),CONCATENATE("R24C",'Mapa final'!$R$81),"")</f>
        <v/>
      </c>
      <c r="M30" s="83" t="str">
        <f ca="1">IF(AND('Mapa final'!$AB$79="Muy Alta",'Mapa final'!$AD$79="Menor"),CONCATENATE("R24C",'Mapa final'!$R$79),"")</f>
        <v/>
      </c>
      <c r="N30" s="195" t="str">
        <f>IF(AND('Mapa final'!$AB$80="Muy Alta",'Mapa final'!$AD$80="Menor"),CONCATENATE("R24C",'Mapa final'!$R$80),"")</f>
        <v/>
      </c>
      <c r="O30" s="84" t="str">
        <f>IF(AND('Mapa final'!$AB$81="Muy Alta",'Mapa final'!$AD$81="Menor"),CONCATENATE("R24C",'Mapa final'!$R$81),"")</f>
        <v/>
      </c>
      <c r="P30" s="83" t="str">
        <f ca="1">IF(AND('Mapa final'!$AB$79="Muy Alta",'Mapa final'!$AD$79="Moderado"),CONCATENATE("R24C",'Mapa final'!$R$79),"")</f>
        <v/>
      </c>
      <c r="Q30" s="195" t="str">
        <f>IF(AND('Mapa final'!$AB$80="Muy Alta",'Mapa final'!$AD$80="Moderado"),CONCATENATE("R24C",'Mapa final'!$R$80),"")</f>
        <v/>
      </c>
      <c r="R30" s="84" t="str">
        <f>IF(AND('Mapa final'!$AB$81="Muy Alta",'Mapa final'!$AD$81="Moderado"),CONCATENATE("R24C",'Mapa final'!$R$81),"")</f>
        <v/>
      </c>
      <c r="S30" s="83" t="str">
        <f ca="1">IF(AND('Mapa final'!$AB$79="Muy Alta",'Mapa final'!$AD$79="Mayor"),CONCATENATE("R24C",'Mapa final'!$R$79),"")</f>
        <v/>
      </c>
      <c r="T30" s="195" t="str">
        <f>IF(AND('Mapa final'!$AB$80="Muy Alta",'Mapa final'!$AD$80="Mayor"),CONCATENATE("R24C",'Mapa final'!$R$80),"")</f>
        <v/>
      </c>
      <c r="U30" s="84" t="str">
        <f>IF(AND('Mapa final'!$AB$81="Muy Alta",'Mapa final'!$AD$81="Mayor"),CONCATENATE("R24C",'Mapa final'!$R$81),"")</f>
        <v/>
      </c>
      <c r="V30" s="159" t="str">
        <f ca="1">IF(AND('Mapa final'!$AB$79="Muy Alta",'Mapa final'!$AD$79="Catastrófico"),CONCATENATE("R24C",'Mapa final'!$R$79),"")</f>
        <v/>
      </c>
      <c r="W30" s="194" t="str">
        <f>IF(AND('Mapa final'!$AB$80="Muy Alta",'Mapa final'!$AD$80="Catastrófico"),CONCATENATE("R24C",'Mapa final'!$R$80),"")</f>
        <v/>
      </c>
      <c r="X30" s="160" t="str">
        <f>IF(AND('Mapa final'!$AB$81="Muy Alta",'Mapa final'!$AD$81="Catastrófico"),CONCATENATE("R24C",'Mapa final'!$R$81),"")</f>
        <v/>
      </c>
      <c r="Y30" s="38"/>
      <c r="Z30" s="343"/>
      <c r="AA30" s="344"/>
      <c r="AB30" s="344"/>
      <c r="AC30" s="344"/>
      <c r="AD30" s="344"/>
      <c r="AE30" s="345"/>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row>
    <row r="31" spans="1:61" ht="15" customHeight="1" x14ac:dyDescent="0.25">
      <c r="A31" s="38"/>
      <c r="B31" s="355"/>
      <c r="C31" s="356"/>
      <c r="D31" s="357"/>
      <c r="E31" s="339"/>
      <c r="F31" s="338"/>
      <c r="G31" s="338"/>
      <c r="H31" s="338"/>
      <c r="I31" s="338"/>
      <c r="J31" s="83" t="str">
        <f ca="1">IF(AND('Mapa final'!$AB$82="Muy Alta",'Mapa final'!$AD$82="Leve"),CONCATENATE("R25C",'Mapa final'!$R$82),"")</f>
        <v/>
      </c>
      <c r="K31" s="195" t="str">
        <f>IF(AND('Mapa final'!$AB$83="Muy Alta",'Mapa final'!$AD$83="Leve"),CONCATENATE("R25C",'Mapa final'!$R$83),"")</f>
        <v/>
      </c>
      <c r="L31" s="84" t="str">
        <f>IF(AND('Mapa final'!$AB$84="Muy Alta",'Mapa final'!$AD$84="Leve"),CONCATENATE("R25C",'Mapa final'!$R$84),"")</f>
        <v/>
      </c>
      <c r="M31" s="83" t="str">
        <f ca="1">IF(AND('Mapa final'!$AB$82="Muy Alta",'Mapa final'!$AD$82="Menor"),CONCATENATE("R25C",'Mapa final'!$R$82),"")</f>
        <v/>
      </c>
      <c r="N31" s="195" t="str">
        <f>IF(AND('Mapa final'!$AB$83="Muy Alta",'Mapa final'!$AD$83="Menor"),CONCATENATE("R25C",'Mapa final'!$R$83),"")</f>
        <v/>
      </c>
      <c r="O31" s="84" t="str">
        <f>IF(AND('Mapa final'!$AB$84="Muy Alta",'Mapa final'!$AD$84="Menor"),CONCATENATE("R25C",'Mapa final'!$R$84),"")</f>
        <v/>
      </c>
      <c r="P31" s="83" t="str">
        <f ca="1">IF(AND('Mapa final'!$AB$82="Muy Alta",'Mapa final'!$AD$82="Moderado"),CONCATENATE("R25C",'Mapa final'!$R$82),"")</f>
        <v/>
      </c>
      <c r="Q31" s="195" t="str">
        <f>IF(AND('Mapa final'!$AB$83="Muy Alta",'Mapa final'!$AD$83="Moderado"),CONCATENATE("R25C",'Mapa final'!$R$83),"")</f>
        <v/>
      </c>
      <c r="R31" s="84" t="str">
        <f>IF(AND('Mapa final'!$AB$84="Muy Alta",'Mapa final'!$AD$84="Moderado"),CONCATENATE("R25C",'Mapa final'!$R$84),"")</f>
        <v/>
      </c>
      <c r="S31" s="83" t="str">
        <f ca="1">IF(AND('Mapa final'!$AB$82="Muy Alta",'Mapa final'!$AD$82="Mayor"),CONCATENATE("R25C",'Mapa final'!$R$82),"")</f>
        <v/>
      </c>
      <c r="T31" s="195" t="str">
        <f>IF(AND('Mapa final'!$AB$83="Muy Alta",'Mapa final'!$AD$83="Mayor"),CONCATENATE("R25C",'Mapa final'!$R$83),"")</f>
        <v/>
      </c>
      <c r="U31" s="84" t="str">
        <f>IF(AND('Mapa final'!$AB$84="Muy Alta",'Mapa final'!$AD$84="Mayor"),CONCATENATE("R25C",'Mapa final'!$R$84),"")</f>
        <v/>
      </c>
      <c r="V31" s="159" t="str">
        <f ca="1">IF(AND('Mapa final'!$AB$82="Muy Alta",'Mapa final'!$AD$82="Catastrófico"),CONCATENATE("R25C",'Mapa final'!$R$82),"")</f>
        <v/>
      </c>
      <c r="W31" s="194" t="str">
        <f>IF(AND('Mapa final'!$AB$83="Muy Alta",'Mapa final'!$AD$83="Catastrófico"),CONCATENATE("R25C",'Mapa final'!$R$83),"")</f>
        <v/>
      </c>
      <c r="X31" s="160" t="str">
        <f>IF(AND('Mapa final'!$AB$84="Muy Alta",'Mapa final'!$AD$84="Catastrófico"),CONCATENATE("R25C",'Mapa final'!$R$84),"")</f>
        <v/>
      </c>
      <c r="Y31" s="38"/>
      <c r="Z31" s="343"/>
      <c r="AA31" s="344"/>
      <c r="AB31" s="344"/>
      <c r="AC31" s="344"/>
      <c r="AD31" s="344"/>
      <c r="AE31" s="345"/>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row>
    <row r="32" spans="1:61" ht="15" customHeight="1" x14ac:dyDescent="0.25">
      <c r="A32" s="38"/>
      <c r="B32" s="355"/>
      <c r="C32" s="356"/>
      <c r="D32" s="357"/>
      <c r="E32" s="339"/>
      <c r="F32" s="338"/>
      <c r="G32" s="338"/>
      <c r="H32" s="338"/>
      <c r="I32" s="338"/>
      <c r="J32" s="83" t="str">
        <f ca="1">IF(AND('Mapa final'!$AB$85="Muy Alta",'Mapa final'!$AD$85="Leve"),CONCATENATE("R26C",'Mapa final'!$R$85),"")</f>
        <v/>
      </c>
      <c r="K32" s="195" t="str">
        <f>IF(AND('Mapa final'!$AB$86="Muy Alta",'Mapa final'!$AD$86="Leve"),CONCATENATE("R26C",'Mapa final'!$R$86),"")</f>
        <v/>
      </c>
      <c r="L32" s="84" t="str">
        <f>IF(AND('Mapa final'!$AB$87="Muy Alta",'Mapa final'!$AD$87="Leve"),CONCATENATE("R26C",'Mapa final'!$R$87),"")</f>
        <v/>
      </c>
      <c r="M32" s="83" t="str">
        <f ca="1">IF(AND('Mapa final'!$AB$85="Muy Alta",'Mapa final'!$AD$85="Menor"),CONCATENATE("R26C",'Mapa final'!$R$85),"")</f>
        <v/>
      </c>
      <c r="N32" s="195" t="str">
        <f>IF(AND('Mapa final'!$AB$86="Muy Alta",'Mapa final'!$AD$86="Menor"),CONCATENATE("R26C",'Mapa final'!$R$86),"")</f>
        <v/>
      </c>
      <c r="O32" s="84" t="str">
        <f>IF(AND('Mapa final'!$AB$87="Muy Alta",'Mapa final'!$AD$87="Menor"),CONCATENATE("R26C",'Mapa final'!$R$87),"")</f>
        <v/>
      </c>
      <c r="P32" s="83" t="str">
        <f ca="1">IF(AND('Mapa final'!$AB$85="Muy Alta",'Mapa final'!$AD$85="Moderado"),CONCATENATE("R26C",'Mapa final'!$R$85),"")</f>
        <v/>
      </c>
      <c r="Q32" s="195" t="str">
        <f>IF(AND('Mapa final'!$AB$86="Muy Alta",'Mapa final'!$AD$86="Moderado"),CONCATENATE("R26C",'Mapa final'!$R$86),"")</f>
        <v/>
      </c>
      <c r="R32" s="84" t="str">
        <f>IF(AND('Mapa final'!$AB$87="Muy Alta",'Mapa final'!$AD$87="Moderado"),CONCATENATE("R26C",'Mapa final'!$R$87),"")</f>
        <v/>
      </c>
      <c r="S32" s="83" t="str">
        <f ca="1">IF(AND('Mapa final'!$AB$85="Muy Alta",'Mapa final'!$AD$85="Mayor"),CONCATENATE("R26C",'Mapa final'!$R$85),"")</f>
        <v/>
      </c>
      <c r="T32" s="195" t="str">
        <f>IF(AND('Mapa final'!$AB$86="Muy Alta",'Mapa final'!$AD$86="Mayor"),CONCATENATE("R26C",'Mapa final'!$R$86),"")</f>
        <v/>
      </c>
      <c r="U32" s="84" t="str">
        <f>IF(AND('Mapa final'!$AB$87="Muy Alta",'Mapa final'!$AD$87="Mayor"),CONCATENATE("R26C",'Mapa final'!$R$87),"")</f>
        <v/>
      </c>
      <c r="V32" s="159" t="str">
        <f ca="1">IF(AND('Mapa final'!$AB$85="Muy Alta",'Mapa final'!$AD$85="Catastrófico"),CONCATENATE("R26C",'Mapa final'!$R$85),"")</f>
        <v/>
      </c>
      <c r="W32" s="194" t="str">
        <f>IF(AND('Mapa final'!$AB$86="Muy Alta",'Mapa final'!$AD$86="Catastrófico"),CONCATENATE("R26C",'Mapa final'!$R$86),"")</f>
        <v/>
      </c>
      <c r="X32" s="160" t="str">
        <f>IF(AND('Mapa final'!$AB$87="Muy Alta",'Mapa final'!$AD$87="Catastrófico"),CONCATENATE("R26C",'Mapa final'!$R$87),"")</f>
        <v/>
      </c>
      <c r="Y32" s="38"/>
      <c r="Z32" s="343"/>
      <c r="AA32" s="344"/>
      <c r="AB32" s="344"/>
      <c r="AC32" s="344"/>
      <c r="AD32" s="344"/>
      <c r="AE32" s="345"/>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row>
    <row r="33" spans="1:61" ht="15" customHeight="1" x14ac:dyDescent="0.25">
      <c r="A33" s="38"/>
      <c r="B33" s="355"/>
      <c r="C33" s="356"/>
      <c r="D33" s="357"/>
      <c r="E33" s="339"/>
      <c r="F33" s="338"/>
      <c r="G33" s="338"/>
      <c r="H33" s="338"/>
      <c r="I33" s="338"/>
      <c r="J33" s="83" t="str">
        <f ca="1">IF(AND('Mapa final'!$AB$88="Muy Alta",'Mapa final'!$AD$88="Leve"),CONCATENATE("R27C",'Mapa final'!$R$88),"")</f>
        <v/>
      </c>
      <c r="K33" s="195" t="str">
        <f>IF(AND('Mapa final'!$AB$89="Muy Alta",'Mapa final'!$AD$89="Leve"),CONCATENATE("R27C",'Mapa final'!$R$89),"")</f>
        <v/>
      </c>
      <c r="L33" s="84" t="str">
        <f>IF(AND('Mapa final'!$AB$90="Muy Alta",'Mapa final'!$AD$90="Leve"),CONCATENATE("R27C",'Mapa final'!$R$90),"")</f>
        <v/>
      </c>
      <c r="M33" s="83" t="str">
        <f ca="1">IF(AND('Mapa final'!$AB$88="Muy Alta",'Mapa final'!$AD$88="Menor"),CONCATENATE("R27C",'Mapa final'!$R$88),"")</f>
        <v/>
      </c>
      <c r="N33" s="195" t="str">
        <f>IF(AND('Mapa final'!$AB$89="Muy Alta",'Mapa final'!$AD$89="Menor"),CONCATENATE("R27C",'Mapa final'!$R$89),"")</f>
        <v/>
      </c>
      <c r="O33" s="84" t="str">
        <f>IF(AND('Mapa final'!$AB$90="Muy Alta",'Mapa final'!$AD$90="Menor"),CONCATENATE("R27C",'Mapa final'!$R$90),"")</f>
        <v/>
      </c>
      <c r="P33" s="83" t="str">
        <f ca="1">IF(AND('Mapa final'!$AB$88="Muy Alta",'Mapa final'!$AD$88="Moderado"),CONCATENATE("R27C",'Mapa final'!$R$88),"")</f>
        <v/>
      </c>
      <c r="Q33" s="195" t="str">
        <f>IF(AND('Mapa final'!$AB$89="Muy Alta",'Mapa final'!$AD$89="Moderado"),CONCATENATE("R27C",'Mapa final'!$R$89),"")</f>
        <v/>
      </c>
      <c r="R33" s="84" t="str">
        <f>IF(AND('Mapa final'!$AB$90="Muy Alta",'Mapa final'!$AD$90="Moderado"),CONCATENATE("R27C",'Mapa final'!$R$90),"")</f>
        <v/>
      </c>
      <c r="S33" s="83" t="str">
        <f ca="1">IF(AND('Mapa final'!$AB$88="Muy Alta",'Mapa final'!$AD$88="Mayor"),CONCATENATE("R27C",'Mapa final'!$R$88),"")</f>
        <v/>
      </c>
      <c r="T33" s="195" t="str">
        <f>IF(AND('Mapa final'!$AB$89="Muy Alta",'Mapa final'!$AD$89="Mayor"),CONCATENATE("R27C",'Mapa final'!$R$89),"")</f>
        <v/>
      </c>
      <c r="U33" s="84" t="str">
        <f>IF(AND('Mapa final'!$AB$90="Muy Alta",'Mapa final'!$AD$90="Mayor"),CONCATENATE("R27C",'Mapa final'!$R$90),"")</f>
        <v/>
      </c>
      <c r="V33" s="159" t="str">
        <f ca="1">IF(AND('Mapa final'!$AB$88="Muy Alta",'Mapa final'!$AD$88="Catastrófico"),CONCATENATE("R27C",'Mapa final'!$R$88),"")</f>
        <v/>
      </c>
      <c r="W33" s="194" t="str">
        <f>IF(AND('Mapa final'!$AB$89="Muy Alta",'Mapa final'!$AD$89="Catastrófico"),CONCATENATE("R27C",'Mapa final'!$R$89),"")</f>
        <v/>
      </c>
      <c r="X33" s="160" t="str">
        <f>IF(AND('Mapa final'!$AB$90="Muy Alta",'Mapa final'!$AD$90="Catastrófico"),CONCATENATE("R27C",'Mapa final'!$R$90),"")</f>
        <v/>
      </c>
      <c r="Y33" s="38"/>
      <c r="Z33" s="343"/>
      <c r="AA33" s="344"/>
      <c r="AB33" s="344"/>
      <c r="AC33" s="344"/>
      <c r="AD33" s="344"/>
      <c r="AE33" s="345"/>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row>
    <row r="34" spans="1:61" ht="15" customHeight="1" x14ac:dyDescent="0.25">
      <c r="A34" s="38"/>
      <c r="B34" s="355"/>
      <c r="C34" s="356"/>
      <c r="D34" s="357"/>
      <c r="E34" s="339"/>
      <c r="F34" s="338"/>
      <c r="G34" s="338"/>
      <c r="H34" s="338"/>
      <c r="I34" s="338"/>
      <c r="J34" s="83" t="str">
        <f ca="1">IF(AND('Mapa final'!$AB$91="Muy Alta",'Mapa final'!$AD$91="Leve"),CONCATENATE("R28C",'Mapa final'!$R$91),"")</f>
        <v/>
      </c>
      <c r="K34" s="195" t="str">
        <f>IF(AND('Mapa final'!$AB$92="Muy Alta",'Mapa final'!$AD$92="Leve"),CONCATENATE("R28C",'Mapa final'!$R$92),"")</f>
        <v/>
      </c>
      <c r="L34" s="84" t="str">
        <f>IF(AND('Mapa final'!$AB$93="Muy Alta",'Mapa final'!$AD$93="Leve"),CONCATENATE("R28C",'Mapa final'!$R$93),"")</f>
        <v/>
      </c>
      <c r="M34" s="83" t="str">
        <f ca="1">IF(AND('Mapa final'!$AB$91="Muy Alta",'Mapa final'!$AD$91="Menor"),CONCATENATE("R28C",'Mapa final'!$R$91),"")</f>
        <v/>
      </c>
      <c r="N34" s="195" t="str">
        <f>IF(AND('Mapa final'!$AB$92="Muy Alta",'Mapa final'!$AD$92="Menor"),CONCATENATE("R28C",'Mapa final'!$R$92),"")</f>
        <v/>
      </c>
      <c r="O34" s="84" t="str">
        <f>IF(AND('Mapa final'!$AB$93="Muy Alta",'Mapa final'!$AD$93="Menor"),CONCATENATE("R28C",'Mapa final'!$R$93),"")</f>
        <v/>
      </c>
      <c r="P34" s="83" t="str">
        <f ca="1">IF(AND('Mapa final'!$AB$91="Muy Alta",'Mapa final'!$AD$91="Moderado"),CONCATENATE("R28C",'Mapa final'!$R$91),"")</f>
        <v/>
      </c>
      <c r="Q34" s="195" t="str">
        <f>IF(AND('Mapa final'!$AB$92="Muy Alta",'Mapa final'!$AD$92="Moderado"),CONCATENATE("R28C",'Mapa final'!$R$92),"")</f>
        <v/>
      </c>
      <c r="R34" s="84" t="str">
        <f>IF(AND('Mapa final'!$AB$93="Muy Alta",'Mapa final'!$AD$93="Moderado"),CONCATENATE("R28C",'Mapa final'!$R$93),"")</f>
        <v/>
      </c>
      <c r="S34" s="83" t="str">
        <f ca="1">IF(AND('Mapa final'!$AB$91="Muy Alta",'Mapa final'!$AD$91="Mayor"),CONCATENATE("R28C",'Mapa final'!$R$91),"")</f>
        <v/>
      </c>
      <c r="T34" s="195" t="str">
        <f>IF(AND('Mapa final'!$AB$92="Muy Alta",'Mapa final'!$AD$92="Mayor"),CONCATENATE("R28C",'Mapa final'!$R$92),"")</f>
        <v/>
      </c>
      <c r="U34" s="84" t="str">
        <f>IF(AND('Mapa final'!$AB$93="Muy Alta",'Mapa final'!$AD$93="Mayor"),CONCATENATE("R28C",'Mapa final'!$R$93),"")</f>
        <v/>
      </c>
      <c r="V34" s="159" t="str">
        <f ca="1">IF(AND('Mapa final'!$AB$91="Muy Alta",'Mapa final'!$AD$91="Catastrófico"),CONCATENATE("R28C",'Mapa final'!$R$91),"")</f>
        <v/>
      </c>
      <c r="W34" s="194" t="str">
        <f>IF(AND('Mapa final'!$AB$92="Muy Alta",'Mapa final'!$AD$92="Catastrófico"),CONCATENATE("R28C",'Mapa final'!$R$92),"")</f>
        <v/>
      </c>
      <c r="X34" s="160" t="str">
        <f>IF(AND('Mapa final'!$AB$93="Muy Alta",'Mapa final'!$AD$93="Catastrófico"),CONCATENATE("R28C",'Mapa final'!$R$93),"")</f>
        <v/>
      </c>
      <c r="Y34" s="38"/>
      <c r="Z34" s="343"/>
      <c r="AA34" s="344"/>
      <c r="AB34" s="344"/>
      <c r="AC34" s="344"/>
      <c r="AD34" s="344"/>
      <c r="AE34" s="345"/>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row>
    <row r="35" spans="1:61" ht="15" customHeight="1" x14ac:dyDescent="0.25">
      <c r="A35" s="38"/>
      <c r="B35" s="355"/>
      <c r="C35" s="356"/>
      <c r="D35" s="357"/>
      <c r="E35" s="339"/>
      <c r="F35" s="338"/>
      <c r="G35" s="338"/>
      <c r="H35" s="338"/>
      <c r="I35" s="338"/>
      <c r="J35" s="83" t="str">
        <f ca="1">IF(AND('Mapa final'!$AB$94="Muy Alta",'Mapa final'!$AD$94="Leve"),CONCATENATE("R29C",'Mapa final'!$R$94),"")</f>
        <v/>
      </c>
      <c r="K35" s="195" t="str">
        <f>IF(AND('Mapa final'!$AB$95="Muy Alta",'Mapa final'!$AD$95="Leve"),CONCATENATE("R29C",'Mapa final'!$R$95),"")</f>
        <v/>
      </c>
      <c r="L35" s="84" t="str">
        <f>IF(AND('Mapa final'!$AB$96="Muy Alta",'Mapa final'!$AD$96="Leve"),CONCATENATE("R29C",'Mapa final'!$R$96),"")</f>
        <v/>
      </c>
      <c r="M35" s="83" t="str">
        <f ca="1">IF(AND('Mapa final'!$AB$94="Muy Alta",'Mapa final'!$AD$94="Menor"),CONCATENATE("R29C",'Mapa final'!$R$94),"")</f>
        <v/>
      </c>
      <c r="N35" s="195" t="str">
        <f>IF(AND('Mapa final'!$AB$95="Muy Alta",'Mapa final'!$AD$95="Menor"),CONCATENATE("R29C",'Mapa final'!$R$95),"")</f>
        <v/>
      </c>
      <c r="O35" s="84" t="str">
        <f>IF(AND('Mapa final'!$AB$96="Muy Alta",'Mapa final'!$AD$96="Menor"),CONCATENATE("R29C",'Mapa final'!$R$96),"")</f>
        <v/>
      </c>
      <c r="P35" s="83" t="str">
        <f ca="1">IF(AND('Mapa final'!$AB$94="Muy Alta",'Mapa final'!$AD$94="Moderado"),CONCATENATE("R29C",'Mapa final'!$R$94),"")</f>
        <v/>
      </c>
      <c r="Q35" s="195" t="str">
        <f>IF(AND('Mapa final'!$AB$95="Muy Alta",'Mapa final'!$AD$95="Moderado"),CONCATENATE("R29C",'Mapa final'!$R$95),"")</f>
        <v/>
      </c>
      <c r="R35" s="84" t="str">
        <f>IF(AND('Mapa final'!$AB$96="Muy Alta",'Mapa final'!$AD$96="Moderado"),CONCATENATE("R29C",'Mapa final'!$R$96),"")</f>
        <v/>
      </c>
      <c r="S35" s="83" t="str">
        <f ca="1">IF(AND('Mapa final'!$AB$94="Muy Alta",'Mapa final'!$AD$94="Mayor"),CONCATENATE("R29C",'Mapa final'!$R$94),"")</f>
        <v/>
      </c>
      <c r="T35" s="195" t="str">
        <f>IF(AND('Mapa final'!$AB$95="Muy Alta",'Mapa final'!$AD$95="Mayor"),CONCATENATE("R29C",'Mapa final'!$R$95),"")</f>
        <v/>
      </c>
      <c r="U35" s="84" t="str">
        <f>IF(AND('Mapa final'!$AB$96="Muy Alta",'Mapa final'!$AD$96="Mayor"),CONCATENATE("R29C",'Mapa final'!$R$96),"")</f>
        <v/>
      </c>
      <c r="V35" s="159" t="str">
        <f ca="1">IF(AND('Mapa final'!$AB$94="Muy Alta",'Mapa final'!$AD$94="Catastrófico"),CONCATENATE("R29C",'Mapa final'!$R$94),"")</f>
        <v/>
      </c>
      <c r="W35" s="194" t="str">
        <f>IF(AND('Mapa final'!$AB$95="Muy Alta",'Mapa final'!$AD$95="Catastrófico"),CONCATENATE("R29C",'Mapa final'!$R$95),"")</f>
        <v/>
      </c>
      <c r="X35" s="160" t="str">
        <f>IF(AND('Mapa final'!$AB$96="Muy Alta",'Mapa final'!$AD$96="Catastrófico"),CONCATENATE("R29C",'Mapa final'!$R$96),"")</f>
        <v/>
      </c>
      <c r="Y35" s="38"/>
      <c r="Z35" s="343"/>
      <c r="AA35" s="344"/>
      <c r="AB35" s="344"/>
      <c r="AC35" s="344"/>
      <c r="AD35" s="344"/>
      <c r="AE35" s="345"/>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row>
    <row r="36" spans="1:61" ht="15" customHeight="1" x14ac:dyDescent="0.25">
      <c r="A36" s="38"/>
      <c r="B36" s="355"/>
      <c r="C36" s="356"/>
      <c r="D36" s="357"/>
      <c r="E36" s="339"/>
      <c r="F36" s="338"/>
      <c r="G36" s="338"/>
      <c r="H36" s="338"/>
      <c r="I36" s="338"/>
      <c r="J36" s="83" t="str">
        <f ca="1">IF(AND('Mapa final'!$AB$97="Muy Alta",'Mapa final'!$AD$97="Leve"),CONCATENATE("R30C",'Mapa final'!$R$97),"")</f>
        <v/>
      </c>
      <c r="K36" s="195" t="str">
        <f>IF(AND('Mapa final'!$AB$98="Muy Alta",'Mapa final'!$AD$98="Leve"),CONCATENATE("R30C",'Mapa final'!$R$98),"")</f>
        <v/>
      </c>
      <c r="L36" s="84" t="str">
        <f>IF(AND('Mapa final'!$AB$99="Muy Alta",'Mapa final'!$AD$99="Leve"),CONCATENATE("R30C",'Mapa final'!$R$99),"")</f>
        <v/>
      </c>
      <c r="M36" s="83" t="str">
        <f ca="1">IF(AND('Mapa final'!$AB$97="Muy Alta",'Mapa final'!$AD$97="Menor"),CONCATENATE("R30C",'Mapa final'!$R$97),"")</f>
        <v/>
      </c>
      <c r="N36" s="195" t="str">
        <f>IF(AND('Mapa final'!$AB$98="Muy Alta",'Mapa final'!$AD$98="Menor"),CONCATENATE("R30C",'Mapa final'!$R$98),"")</f>
        <v/>
      </c>
      <c r="O36" s="84" t="str">
        <f>IF(AND('Mapa final'!$AB$99="Muy Alta",'Mapa final'!$AD$99="Menor"),CONCATENATE("R30C",'Mapa final'!$R$99),"")</f>
        <v/>
      </c>
      <c r="P36" s="83" t="str">
        <f ca="1">IF(AND('Mapa final'!$AB$97="Muy Alta",'Mapa final'!$AD$97="Moderado"),CONCATENATE("R30C",'Mapa final'!$R$97),"")</f>
        <v/>
      </c>
      <c r="Q36" s="195" t="str">
        <f>IF(AND('Mapa final'!$AB$98="Muy Alta",'Mapa final'!$AD$98="Moderado"),CONCATENATE("R30C",'Mapa final'!$R$98),"")</f>
        <v/>
      </c>
      <c r="R36" s="84" t="str">
        <f>IF(AND('Mapa final'!$AB$99="Muy Alta",'Mapa final'!$AD$99="Moderado"),CONCATENATE("R30C",'Mapa final'!$R$99),"")</f>
        <v/>
      </c>
      <c r="S36" s="83" t="str">
        <f ca="1">IF(AND('Mapa final'!$AB$97="Muy Alta",'Mapa final'!$AD$97="Mayor"),CONCATENATE("R30C",'Mapa final'!$R$97),"")</f>
        <v/>
      </c>
      <c r="T36" s="195" t="str">
        <f>IF(AND('Mapa final'!$AB$98="Muy Alta",'Mapa final'!$AD$98="Mayor"),CONCATENATE("R30C",'Mapa final'!$R$98),"")</f>
        <v/>
      </c>
      <c r="U36" s="84" t="str">
        <f>IF(AND('Mapa final'!$AB$99="Muy Alta",'Mapa final'!$AD$99="Mayor"),CONCATENATE("R30C",'Mapa final'!$R$99),"")</f>
        <v/>
      </c>
      <c r="V36" s="159" t="str">
        <f ca="1">IF(AND('Mapa final'!$AB$97="Muy Alta",'Mapa final'!$AD$97="Catastrófico"),CONCATENATE("R30C",'Mapa final'!$R$97),"")</f>
        <v/>
      </c>
      <c r="W36" s="194" t="str">
        <f>IF(AND('Mapa final'!$AB$98="Muy Alta",'Mapa final'!$AD$98="Catastrófico"),CONCATENATE("R30C",'Mapa final'!$R$98),"")</f>
        <v/>
      </c>
      <c r="X36" s="160" t="str">
        <f>IF(AND('Mapa final'!$AB$99="Muy Alta",'Mapa final'!$AD$99="Catastrófico"),CONCATENATE("R30C",'Mapa final'!$R$99),"")</f>
        <v/>
      </c>
      <c r="Y36" s="38"/>
      <c r="Z36" s="343"/>
      <c r="AA36" s="344"/>
      <c r="AB36" s="344"/>
      <c r="AC36" s="344"/>
      <c r="AD36" s="344"/>
      <c r="AE36" s="345"/>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row>
    <row r="37" spans="1:61" ht="15" customHeight="1" x14ac:dyDescent="0.25">
      <c r="A37" s="38"/>
      <c r="B37" s="355"/>
      <c r="C37" s="356"/>
      <c r="D37" s="357"/>
      <c r="E37" s="339"/>
      <c r="F37" s="338"/>
      <c r="G37" s="338"/>
      <c r="H37" s="338"/>
      <c r="I37" s="338"/>
      <c r="J37" s="83" t="str">
        <f ca="1">IF(AND('Mapa final'!$AB$100="Muy Alta",'Mapa final'!$AD$100="Leve"),CONCATENATE("R31C",'Mapa final'!$R$100),"")</f>
        <v/>
      </c>
      <c r="K37" s="195" t="str">
        <f>IF(AND('Mapa final'!$AB$101="Muy Alta",'Mapa final'!$AD$101="Leve"),CONCATENATE("R31C",'Mapa final'!$R$101),"")</f>
        <v/>
      </c>
      <c r="L37" s="84" t="str">
        <f>IF(AND('Mapa final'!$AB$102="Muy Alta",'Mapa final'!$AD$102="Leve"),CONCATENATE("R31C",'Mapa final'!$R$102),"")</f>
        <v/>
      </c>
      <c r="M37" s="83" t="str">
        <f ca="1">IF(AND('Mapa final'!$AB$100="Muy Alta",'Mapa final'!$AD$100="Menor"),CONCATENATE("R31C",'Mapa final'!$R$100),"")</f>
        <v/>
      </c>
      <c r="N37" s="195" t="str">
        <f>IF(AND('Mapa final'!$AB$101="Muy Alta",'Mapa final'!$AD$101="Menor"),CONCATENATE("R31C",'Mapa final'!$R$101),"")</f>
        <v/>
      </c>
      <c r="O37" s="84" t="str">
        <f>IF(AND('Mapa final'!$AB$102="Muy Alta",'Mapa final'!$AD$102="Menor"),CONCATENATE("R31C",'Mapa final'!$R$102),"")</f>
        <v/>
      </c>
      <c r="P37" s="83" t="str">
        <f ca="1">IF(AND('Mapa final'!$AB$100="Muy Alta",'Mapa final'!$AD$100="Moderado"),CONCATENATE("R31C",'Mapa final'!$R$100),"")</f>
        <v/>
      </c>
      <c r="Q37" s="195" t="str">
        <f>IF(AND('Mapa final'!$AB$101="Muy Alta",'Mapa final'!$AD$101="Moderado"),CONCATENATE("R31C",'Mapa final'!$R$101),"")</f>
        <v/>
      </c>
      <c r="R37" s="84" t="str">
        <f>IF(AND('Mapa final'!$AB$102="Muy Alta",'Mapa final'!$AD$102="Moderado"),CONCATENATE("R31C",'Mapa final'!$R$102),"")</f>
        <v/>
      </c>
      <c r="S37" s="83" t="str">
        <f ca="1">IF(AND('Mapa final'!$AB$100="Muy Alta",'Mapa final'!$AD$100="Mayor"),CONCATENATE("R31C",'Mapa final'!$R$100),"")</f>
        <v/>
      </c>
      <c r="T37" s="195" t="str">
        <f>IF(AND('Mapa final'!$AB$101="Muy Alta",'Mapa final'!$AD$101="Mayor"),CONCATENATE("R31C",'Mapa final'!$R$101),"")</f>
        <v/>
      </c>
      <c r="U37" s="84" t="str">
        <f>IF(AND('Mapa final'!$AB$102="Muy Alta",'Mapa final'!$AD$102="Mayor"),CONCATENATE("R31C",'Mapa final'!$R$102),"")</f>
        <v/>
      </c>
      <c r="V37" s="159" t="str">
        <f ca="1">IF(AND('Mapa final'!$AB$100="Muy Alta",'Mapa final'!$AD$100="Catastrófico"),CONCATENATE("R31C",'Mapa final'!$R$100),"")</f>
        <v/>
      </c>
      <c r="W37" s="194" t="str">
        <f>IF(AND('Mapa final'!$AB$101="Muy Alta",'Mapa final'!$AD$101="Catastrófico"),CONCATENATE("R31C",'Mapa final'!$R$101),"")</f>
        <v/>
      </c>
      <c r="X37" s="160" t="str">
        <f>IF(AND('Mapa final'!$AB$102="Muy Alta",'Mapa final'!$AD$102="Catastrófico"),CONCATENATE("R31C",'Mapa final'!$R$102),"")</f>
        <v/>
      </c>
      <c r="Y37" s="38"/>
      <c r="Z37" s="343"/>
      <c r="AA37" s="344"/>
      <c r="AB37" s="344"/>
      <c r="AC37" s="344"/>
      <c r="AD37" s="344"/>
      <c r="AE37" s="345"/>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row>
    <row r="38" spans="1:61" ht="15" customHeight="1" x14ac:dyDescent="0.25">
      <c r="A38" s="38"/>
      <c r="B38" s="355"/>
      <c r="C38" s="356"/>
      <c r="D38" s="357"/>
      <c r="E38" s="339"/>
      <c r="F38" s="338"/>
      <c r="G38" s="338"/>
      <c r="H38" s="338"/>
      <c r="I38" s="338"/>
      <c r="J38" s="83" t="str">
        <f ca="1">IF(AND('Mapa final'!$AB$103="Muy Alta",'Mapa final'!$AD$103="Leve"),CONCATENATE("R32C",'Mapa final'!$R$103),"")</f>
        <v/>
      </c>
      <c r="K38" s="195" t="str">
        <f>IF(AND('Mapa final'!$AB$104="Muy Alta",'Mapa final'!$AD$104="Leve"),CONCATENATE("R32C",'Mapa final'!$R$104),"")</f>
        <v/>
      </c>
      <c r="L38" s="84" t="str">
        <f>IF(AND('Mapa final'!$AB$105="Muy Alta",'Mapa final'!$AD$105="Leve"),CONCATENATE("R32C",'Mapa final'!$R$105),"")</f>
        <v/>
      </c>
      <c r="M38" s="83" t="str">
        <f ca="1">IF(AND('Mapa final'!$AB$103="Muy Alta",'Mapa final'!$AD$103="Menor"),CONCATENATE("R32C",'Mapa final'!$R$103),"")</f>
        <v/>
      </c>
      <c r="N38" s="195" t="str">
        <f>IF(AND('Mapa final'!$AB$104="Muy Alta",'Mapa final'!$AD$104="Menor"),CONCATENATE("R32C",'Mapa final'!$R$104),"")</f>
        <v/>
      </c>
      <c r="O38" s="84" t="str">
        <f>IF(AND('Mapa final'!$AB$105="Muy Alta",'Mapa final'!$AD$105="Menor"),CONCATENATE("R32C",'Mapa final'!$R$105),"")</f>
        <v/>
      </c>
      <c r="P38" s="83" t="str">
        <f ca="1">IF(AND('Mapa final'!$AB$103="Muy Alta",'Mapa final'!$AD$103="Moderado"),CONCATENATE("R32C",'Mapa final'!$R$103),"")</f>
        <v/>
      </c>
      <c r="Q38" s="195" t="str">
        <f>IF(AND('Mapa final'!$AB$104="Muy Alta",'Mapa final'!$AD$104="Moderado"),CONCATENATE("R32C",'Mapa final'!$R$104),"")</f>
        <v/>
      </c>
      <c r="R38" s="84" t="str">
        <f>IF(AND('Mapa final'!$AB$105="Muy Alta",'Mapa final'!$AD$105="Moderado"),CONCATENATE("R32C",'Mapa final'!$R$105),"")</f>
        <v/>
      </c>
      <c r="S38" s="83" t="str">
        <f ca="1">IF(AND('Mapa final'!$AB$103="Muy Alta",'Mapa final'!$AD$103="Mayor"),CONCATENATE("R32C",'Mapa final'!$R$103),"")</f>
        <v/>
      </c>
      <c r="T38" s="195" t="str">
        <f>IF(AND('Mapa final'!$AB$104="Muy Alta",'Mapa final'!$AD$104="Mayor"),CONCATENATE("R32C",'Mapa final'!$R$104),"")</f>
        <v/>
      </c>
      <c r="U38" s="84" t="str">
        <f>IF(AND('Mapa final'!$AB$105="Muy Alta",'Mapa final'!$AD$105="Mayor"),CONCATENATE("R32C",'Mapa final'!$R$105),"")</f>
        <v/>
      </c>
      <c r="V38" s="159" t="str">
        <f ca="1">IF(AND('Mapa final'!$AB$103="Muy Alta",'Mapa final'!$AD$103="Catastrófico"),CONCATENATE("R32C",'Mapa final'!$R$103),"")</f>
        <v/>
      </c>
      <c r="W38" s="194" t="str">
        <f>IF(AND('Mapa final'!$AB$104="Muy Alta",'Mapa final'!$AD$104="Catastrófico"),CONCATENATE("R32C",'Mapa final'!$R$104),"")</f>
        <v/>
      </c>
      <c r="X38" s="160" t="str">
        <f>IF(AND('Mapa final'!$AB$105="Muy Alta",'Mapa final'!$AD$105="Catastrófico"),CONCATENATE("R32C",'Mapa final'!$R$105),"")</f>
        <v/>
      </c>
      <c r="Y38" s="38"/>
      <c r="Z38" s="343"/>
      <c r="AA38" s="344"/>
      <c r="AB38" s="344"/>
      <c r="AC38" s="344"/>
      <c r="AD38" s="344"/>
      <c r="AE38" s="345"/>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row>
    <row r="39" spans="1:61" ht="15" customHeight="1" x14ac:dyDescent="0.25">
      <c r="A39" s="38"/>
      <c r="B39" s="355"/>
      <c r="C39" s="356"/>
      <c r="D39" s="357"/>
      <c r="E39" s="339"/>
      <c r="F39" s="338"/>
      <c r="G39" s="338"/>
      <c r="H39" s="338"/>
      <c r="I39" s="338"/>
      <c r="J39" s="83" t="str">
        <f ca="1">IF(AND('Mapa final'!$AB$106="Muy Alta",'Mapa final'!$AD$106="Leve"),CONCATENATE("R33C",'Mapa final'!$R$106),"")</f>
        <v/>
      </c>
      <c r="K39" s="195" t="str">
        <f>IF(AND('Mapa final'!$AB$107="Muy Alta",'Mapa final'!$AD$107="Leve"),CONCATENATE("R33C",'Mapa final'!$R$107),"")</f>
        <v/>
      </c>
      <c r="L39" s="84" t="str">
        <f>IF(AND('Mapa final'!$AB$108="Muy Alta",'Mapa final'!$AD$108="Leve"),CONCATENATE("R33C",'Mapa final'!$R$108),"")</f>
        <v/>
      </c>
      <c r="M39" s="83" t="str">
        <f ca="1">IF(AND('Mapa final'!$AB$106="Muy Alta",'Mapa final'!$AD$106="Menor"),CONCATENATE("R33C",'Mapa final'!$R$106),"")</f>
        <v/>
      </c>
      <c r="N39" s="195" t="str">
        <f>IF(AND('Mapa final'!$AB$107="Muy Alta",'Mapa final'!$AD$107="Menor"),CONCATENATE("R33C",'Mapa final'!$R$107),"")</f>
        <v/>
      </c>
      <c r="O39" s="84" t="str">
        <f>IF(AND('Mapa final'!$AB$108="Muy Alta",'Mapa final'!$AD$108="Menor"),CONCATENATE("R33C",'Mapa final'!$R$108),"")</f>
        <v/>
      </c>
      <c r="P39" s="83" t="str">
        <f ca="1">IF(AND('Mapa final'!$AB$106="Muy Alta",'Mapa final'!$AD$106="Moderado"),CONCATENATE("R33C",'Mapa final'!$R$106),"")</f>
        <v/>
      </c>
      <c r="Q39" s="195" t="str">
        <f>IF(AND('Mapa final'!$AB$107="Muy Alta",'Mapa final'!$AD$107="Moderado"),CONCATENATE("R33C",'Mapa final'!$R$107),"")</f>
        <v/>
      </c>
      <c r="R39" s="84" t="str">
        <f>IF(AND('Mapa final'!$AB$108="Muy Alta",'Mapa final'!$AD$108="Moderado"),CONCATENATE("R33C",'Mapa final'!$R$108),"")</f>
        <v/>
      </c>
      <c r="S39" s="83" t="str">
        <f ca="1">IF(AND('Mapa final'!$AB$106="Muy Alta",'Mapa final'!$AD$106="Mayor"),CONCATENATE("R33C",'Mapa final'!$R$106),"")</f>
        <v/>
      </c>
      <c r="T39" s="195" t="str">
        <f>IF(AND('Mapa final'!$AB$107="Muy Alta",'Mapa final'!$AD$107="Mayor"),CONCATENATE("R33C",'Mapa final'!$R$107),"")</f>
        <v/>
      </c>
      <c r="U39" s="84" t="str">
        <f>IF(AND('Mapa final'!$AB$108="Muy Alta",'Mapa final'!$AD$108="Mayor"),CONCATENATE("R33C",'Mapa final'!$R$108),"")</f>
        <v/>
      </c>
      <c r="V39" s="159" t="str">
        <f ca="1">IF(AND('Mapa final'!$AB$106="Muy Alta",'Mapa final'!$AD$106="Catastrófico"),CONCATENATE("R33C",'Mapa final'!$R$106),"")</f>
        <v/>
      </c>
      <c r="W39" s="194" t="str">
        <f>IF(AND('Mapa final'!$AB$107="Muy Alta",'Mapa final'!$AD$107="Catastrófico"),CONCATENATE("R33C",'Mapa final'!$R$107),"")</f>
        <v/>
      </c>
      <c r="X39" s="160" t="str">
        <f>IF(AND('Mapa final'!$AB$108="Muy Alta",'Mapa final'!$AD$108="Catastrófico"),CONCATENATE("R33C",'Mapa final'!$R$108),"")</f>
        <v/>
      </c>
      <c r="Y39" s="38"/>
      <c r="Z39" s="343"/>
      <c r="AA39" s="344"/>
      <c r="AB39" s="344"/>
      <c r="AC39" s="344"/>
      <c r="AD39" s="344"/>
      <c r="AE39" s="345"/>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row>
    <row r="40" spans="1:61" ht="15" customHeight="1" x14ac:dyDescent="0.25">
      <c r="A40" s="38"/>
      <c r="B40" s="355"/>
      <c r="C40" s="356"/>
      <c r="D40" s="357"/>
      <c r="E40" s="339"/>
      <c r="F40" s="338"/>
      <c r="G40" s="338"/>
      <c r="H40" s="338"/>
      <c r="I40" s="338"/>
      <c r="J40" s="83" t="str">
        <f ca="1">IF(AND('Mapa final'!$AB$109="Muy Alta",'Mapa final'!$AD$109="Leve"),CONCATENATE("R34C",'Mapa final'!$R$109),"")</f>
        <v/>
      </c>
      <c r="K40" s="195" t="str">
        <f>IF(AND('Mapa final'!$AB$110="Muy Alta",'Mapa final'!$AD$110="Leve"),CONCATENATE("R34C",'Mapa final'!$R$110),"")</f>
        <v/>
      </c>
      <c r="L40" s="84" t="str">
        <f>IF(AND('Mapa final'!$AB$111="Muy Alta",'Mapa final'!$AD$111="Leve"),CONCATENATE("R34C",'Mapa final'!$R$111),"")</f>
        <v/>
      </c>
      <c r="M40" s="83" t="str">
        <f ca="1">IF(AND('Mapa final'!$AB$109="Muy Alta",'Mapa final'!$AD$109="Menor"),CONCATENATE("R34C",'Mapa final'!$R$109),"")</f>
        <v/>
      </c>
      <c r="N40" s="195" t="str">
        <f>IF(AND('Mapa final'!$AB$110="Muy Alta",'Mapa final'!$AD$110="Menor"),CONCATENATE("R34C",'Mapa final'!$R$110),"")</f>
        <v/>
      </c>
      <c r="O40" s="84" t="str">
        <f>IF(AND('Mapa final'!$AB$111="Muy Alta",'Mapa final'!$AD$111="Menor"),CONCATENATE("R34C",'Mapa final'!$R$111),"")</f>
        <v/>
      </c>
      <c r="P40" s="83" t="str">
        <f ca="1">IF(AND('Mapa final'!$AB$109="Muy Alta",'Mapa final'!$AD$109="Moderado"),CONCATENATE("R34C",'Mapa final'!$R$109),"")</f>
        <v/>
      </c>
      <c r="Q40" s="195" t="str">
        <f>IF(AND('Mapa final'!$AB$110="Muy Alta",'Mapa final'!$AD$110="Moderado"),CONCATENATE("R34C",'Mapa final'!$R$110),"")</f>
        <v/>
      </c>
      <c r="R40" s="84" t="str">
        <f>IF(AND('Mapa final'!$AB$111="Muy Alta",'Mapa final'!$AD$111="Moderado"),CONCATENATE("R34C",'Mapa final'!$R$111),"")</f>
        <v/>
      </c>
      <c r="S40" s="83" t="str">
        <f ca="1">IF(AND('Mapa final'!$AB$109="Muy Alta",'Mapa final'!$AD$109="Mayor"),CONCATENATE("R34C",'Mapa final'!$R$109),"")</f>
        <v/>
      </c>
      <c r="T40" s="195" t="str">
        <f>IF(AND('Mapa final'!$AB$110="Muy Alta",'Mapa final'!$AD$110="Mayor"),CONCATENATE("R34C",'Mapa final'!$R$110),"")</f>
        <v/>
      </c>
      <c r="U40" s="84" t="str">
        <f>IF(AND('Mapa final'!$AB$111="Muy Alta",'Mapa final'!$AD$111="Mayor"),CONCATENATE("R34C",'Mapa final'!$R$111),"")</f>
        <v/>
      </c>
      <c r="V40" s="159" t="str">
        <f ca="1">IF(AND('Mapa final'!$AB$109="Muy Alta",'Mapa final'!$AD$109="Catastrófico"),CONCATENATE("R34C",'Mapa final'!$R$109),"")</f>
        <v/>
      </c>
      <c r="W40" s="194" t="str">
        <f>IF(AND('Mapa final'!$AB$110="Muy Alta",'Mapa final'!$AD$110="Catastrófico"),CONCATENATE("R34C",'Mapa final'!$R$110),"")</f>
        <v/>
      </c>
      <c r="X40" s="160" t="str">
        <f>IF(AND('Mapa final'!$AB$111="Muy Alta",'Mapa final'!$AD$111="Catastrófico"),CONCATENATE("R34C",'Mapa final'!$R$111),"")</f>
        <v/>
      </c>
      <c r="Y40" s="38"/>
      <c r="Z40" s="343"/>
      <c r="AA40" s="344"/>
      <c r="AB40" s="344"/>
      <c r="AC40" s="344"/>
      <c r="AD40" s="344"/>
      <c r="AE40" s="345"/>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row>
    <row r="41" spans="1:61" ht="15" customHeight="1" x14ac:dyDescent="0.25">
      <c r="A41" s="38"/>
      <c r="B41" s="355"/>
      <c r="C41" s="356"/>
      <c r="D41" s="357"/>
      <c r="E41" s="339"/>
      <c r="F41" s="338"/>
      <c r="G41" s="338"/>
      <c r="H41" s="338"/>
      <c r="I41" s="338"/>
      <c r="J41" s="83" t="str">
        <f ca="1">IF(AND('Mapa final'!$AB$112="Muy Alta",'Mapa final'!$AD$112="Leve"),CONCATENATE("R35C",'Mapa final'!$R$112),"")</f>
        <v/>
      </c>
      <c r="K41" s="195" t="str">
        <f>IF(AND('Mapa final'!$AB$113="Muy Alta",'Mapa final'!$AD$113="Leve"),CONCATENATE("R35C",'Mapa final'!$R$113),"")</f>
        <v/>
      </c>
      <c r="L41" s="84" t="str">
        <f>IF(AND('Mapa final'!$AB$114="Muy Alta",'Mapa final'!$AD$114="Leve"),CONCATENATE("R35C",'Mapa final'!$R$114),"")</f>
        <v/>
      </c>
      <c r="M41" s="83" t="str">
        <f ca="1">IF(AND('Mapa final'!$AB$112="Muy Alta",'Mapa final'!$AD$112="Menor"),CONCATENATE("R35C",'Mapa final'!$R$112),"")</f>
        <v/>
      </c>
      <c r="N41" s="195" t="str">
        <f>IF(AND('Mapa final'!$AB$113="Muy Alta",'Mapa final'!$AD$113="Menor"),CONCATENATE("R35C",'Mapa final'!$R$113),"")</f>
        <v/>
      </c>
      <c r="O41" s="84" t="str">
        <f>IF(AND('Mapa final'!$AB$114="Muy Alta",'Mapa final'!$AD$114="Menor"),CONCATENATE("R35C",'Mapa final'!$R$114),"")</f>
        <v/>
      </c>
      <c r="P41" s="83" t="str">
        <f ca="1">IF(AND('Mapa final'!$AB$112="Muy Alta",'Mapa final'!$AD$112="Moderado"),CONCATENATE("R35C",'Mapa final'!$R$112),"")</f>
        <v/>
      </c>
      <c r="Q41" s="195" t="str">
        <f>IF(AND('Mapa final'!$AB$113="Muy Alta",'Mapa final'!$AD$113="Moderado"),CONCATENATE("R35C",'Mapa final'!$R$113),"")</f>
        <v/>
      </c>
      <c r="R41" s="84" t="str">
        <f>IF(AND('Mapa final'!$AB$114="Muy Alta",'Mapa final'!$AD$114="Moderado"),CONCATENATE("R35C",'Mapa final'!$R$114),"")</f>
        <v/>
      </c>
      <c r="S41" s="83" t="str">
        <f ca="1">IF(AND('Mapa final'!$AB$112="Muy Alta",'Mapa final'!$AD$112="Mayor"),CONCATENATE("R35C",'Mapa final'!$R$112),"")</f>
        <v/>
      </c>
      <c r="T41" s="195" t="str">
        <f>IF(AND('Mapa final'!$AB$113="Muy Alta",'Mapa final'!$AD$113="Mayor"),CONCATENATE("R35C",'Mapa final'!$R$113),"")</f>
        <v/>
      </c>
      <c r="U41" s="84" t="str">
        <f>IF(AND('Mapa final'!$AB$114="Muy Alta",'Mapa final'!$AD$114="Mayor"),CONCATENATE("R35C",'Mapa final'!$R$114),"")</f>
        <v/>
      </c>
      <c r="V41" s="159" t="str">
        <f ca="1">IF(AND('Mapa final'!$AB$112="Muy Alta",'Mapa final'!$AD$112="Catastrófico"),CONCATENATE("R35C",'Mapa final'!$R$112),"")</f>
        <v/>
      </c>
      <c r="W41" s="194" t="str">
        <f>IF(AND('Mapa final'!$AB$113="Muy Alta",'Mapa final'!$AD$113="Catastrófico"),CONCATENATE("R35C",'Mapa final'!$R$113),"")</f>
        <v/>
      </c>
      <c r="X41" s="160" t="str">
        <f>IF(AND('Mapa final'!$AB$114="Muy Alta",'Mapa final'!$AD$114="Catastrófico"),CONCATENATE("R35C",'Mapa final'!$R$114),"")</f>
        <v/>
      </c>
      <c r="Y41" s="38"/>
      <c r="Z41" s="343"/>
      <c r="AA41" s="344"/>
      <c r="AB41" s="344"/>
      <c r="AC41" s="344"/>
      <c r="AD41" s="344"/>
      <c r="AE41" s="345"/>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row>
    <row r="42" spans="1:61" ht="15" customHeight="1" x14ac:dyDescent="0.25">
      <c r="A42" s="38"/>
      <c r="B42" s="355"/>
      <c r="C42" s="356"/>
      <c r="D42" s="357"/>
      <c r="E42" s="339"/>
      <c r="F42" s="338"/>
      <c r="G42" s="338"/>
      <c r="H42" s="338"/>
      <c r="I42" s="338"/>
      <c r="J42" s="83" t="str">
        <f ca="1">IF(AND('Mapa final'!$AB$115="Muy Alta",'Mapa final'!$AD$115="Leve"),CONCATENATE("R36C",'Mapa final'!$R$115),"")</f>
        <v/>
      </c>
      <c r="K42" s="195" t="str">
        <f>IF(AND('Mapa final'!$AB$116="Muy Alta",'Mapa final'!$AD$116="Leve"),CONCATENATE("R36C",'Mapa final'!$R$116),"")</f>
        <v/>
      </c>
      <c r="L42" s="84" t="str">
        <f>IF(AND('Mapa final'!$AB$117="Muy Alta",'Mapa final'!$AD$117="Leve"),CONCATENATE("R36C",'Mapa final'!$R$117),"")</f>
        <v/>
      </c>
      <c r="M42" s="83" t="str">
        <f ca="1">IF(AND('Mapa final'!$AB$115="Muy Alta",'Mapa final'!$AD$115="Menor"),CONCATENATE("R36C",'Mapa final'!$R$115),"")</f>
        <v/>
      </c>
      <c r="N42" s="195" t="str">
        <f>IF(AND('Mapa final'!$AB$116="Muy Alta",'Mapa final'!$AD$116="Menor"),CONCATENATE("R36C",'Mapa final'!$R$116),"")</f>
        <v/>
      </c>
      <c r="O42" s="84" t="str">
        <f>IF(AND('Mapa final'!$AB$117="Muy Alta",'Mapa final'!$AD$117="Menor"),CONCATENATE("R36C",'Mapa final'!$R$117),"")</f>
        <v/>
      </c>
      <c r="P42" s="83" t="str">
        <f ca="1">IF(AND('Mapa final'!$AB$115="Muy Alta",'Mapa final'!$AD$115="Moderado"),CONCATENATE("R36C",'Mapa final'!$R$115),"")</f>
        <v/>
      </c>
      <c r="Q42" s="195" t="str">
        <f>IF(AND('Mapa final'!$AB$116="Muy Alta",'Mapa final'!$AD$116="Moderado"),CONCATENATE("R36C",'Mapa final'!$R$116),"")</f>
        <v/>
      </c>
      <c r="R42" s="84" t="str">
        <f>IF(AND('Mapa final'!$AB$117="Muy Alta",'Mapa final'!$AD$117="Moderado"),CONCATENATE("R36C",'Mapa final'!$R$117),"")</f>
        <v/>
      </c>
      <c r="S42" s="83" t="str">
        <f ca="1">IF(AND('Mapa final'!$AB$115="Muy Alta",'Mapa final'!$AD$115="Mayor"),CONCATENATE("R36C",'Mapa final'!$R$115),"")</f>
        <v/>
      </c>
      <c r="T42" s="195" t="str">
        <f>IF(AND('Mapa final'!$AB$116="Muy Alta",'Mapa final'!$AD$116="Mayor"),CONCATENATE("R36C",'Mapa final'!$R$116),"")</f>
        <v/>
      </c>
      <c r="U42" s="84" t="str">
        <f>IF(AND('Mapa final'!$AB$117="Muy Alta",'Mapa final'!$AD$117="Mayor"),CONCATENATE("R36C",'Mapa final'!$R$117),"")</f>
        <v/>
      </c>
      <c r="V42" s="159" t="str">
        <f ca="1">IF(AND('Mapa final'!$AB$115="Muy Alta",'Mapa final'!$AD$115="Catastrófico"),CONCATENATE("R36C",'Mapa final'!$R$115),"")</f>
        <v/>
      </c>
      <c r="W42" s="194" t="str">
        <f>IF(AND('Mapa final'!$AB$116="Muy Alta",'Mapa final'!$AD$116="Catastrófico"),CONCATENATE("R36C",'Mapa final'!$R$116),"")</f>
        <v/>
      </c>
      <c r="X42" s="160" t="str">
        <f>IF(AND('Mapa final'!$AB$117="Muy Alta",'Mapa final'!$AD$117="Catastrófico"),CONCATENATE("R36C",'Mapa final'!$R$117),"")</f>
        <v/>
      </c>
      <c r="Y42" s="38"/>
      <c r="Z42" s="343"/>
      <c r="AA42" s="344"/>
      <c r="AB42" s="344"/>
      <c r="AC42" s="344"/>
      <c r="AD42" s="344"/>
      <c r="AE42" s="345"/>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row>
    <row r="43" spans="1:61" ht="15" customHeight="1" x14ac:dyDescent="0.25">
      <c r="A43" s="38"/>
      <c r="B43" s="355"/>
      <c r="C43" s="356"/>
      <c r="D43" s="357"/>
      <c r="E43" s="339"/>
      <c r="F43" s="338"/>
      <c r="G43" s="338"/>
      <c r="H43" s="338"/>
      <c r="I43" s="338"/>
      <c r="J43" s="83" t="str">
        <f ca="1">IF(AND('Mapa final'!$AB$118="Muy Alta",'Mapa final'!$AD$118="Leve"),CONCATENATE("R37C",'Mapa final'!$R$118),"")</f>
        <v/>
      </c>
      <c r="K43" s="195" t="str">
        <f>IF(AND('Mapa final'!$AB$119="Muy Alta",'Mapa final'!$AD$119="Leve"),CONCATENATE("R37C",'Mapa final'!$R$119),"")</f>
        <v/>
      </c>
      <c r="L43" s="84" t="str">
        <f>IF(AND('Mapa final'!$AB$120="Muy Alta",'Mapa final'!$AD$120="Leve"),CONCATENATE("R37C",'Mapa final'!$R$120),"")</f>
        <v/>
      </c>
      <c r="M43" s="83" t="str">
        <f ca="1">IF(AND('Mapa final'!$AB$118="Muy Alta",'Mapa final'!$AD$118="Menor"),CONCATENATE("R37C",'Mapa final'!$R$118),"")</f>
        <v/>
      </c>
      <c r="N43" s="195" t="str">
        <f>IF(AND('Mapa final'!$AB$119="Muy Alta",'Mapa final'!$AD$119="Menor"),CONCATENATE("R37C",'Mapa final'!$R$119),"")</f>
        <v/>
      </c>
      <c r="O43" s="84" t="str">
        <f>IF(AND('Mapa final'!$AB$120="Muy Alta",'Mapa final'!$AD$120="Menor"),CONCATENATE("R37C",'Mapa final'!$R$120),"")</f>
        <v/>
      </c>
      <c r="P43" s="83" t="str">
        <f ca="1">IF(AND('Mapa final'!$AB$118="Muy Alta",'Mapa final'!$AD$118="Moderado"),CONCATENATE("R37C",'Mapa final'!$R$118),"")</f>
        <v/>
      </c>
      <c r="Q43" s="195" t="str">
        <f>IF(AND('Mapa final'!$AB$119="Muy Alta",'Mapa final'!$AD$119="Moderado"),CONCATENATE("R37C",'Mapa final'!$R$119),"")</f>
        <v/>
      </c>
      <c r="R43" s="84" t="str">
        <f>IF(AND('Mapa final'!$AB$120="Muy Alta",'Mapa final'!$AD$120="Moderado"),CONCATENATE("R37C",'Mapa final'!$R$120),"")</f>
        <v/>
      </c>
      <c r="S43" s="83" t="str">
        <f ca="1">IF(AND('Mapa final'!$AB$118="Muy Alta",'Mapa final'!$AD$118="Mayor"),CONCATENATE("R37C",'Mapa final'!$R$118),"")</f>
        <v/>
      </c>
      <c r="T43" s="195" t="str">
        <f>IF(AND('Mapa final'!$AB$119="Muy Alta",'Mapa final'!$AD$119="Mayor"),CONCATENATE("R37C",'Mapa final'!$R$119),"")</f>
        <v/>
      </c>
      <c r="U43" s="84" t="str">
        <f>IF(AND('Mapa final'!$AB$120="Muy Alta",'Mapa final'!$AD$120="Mayor"),CONCATENATE("R37C",'Mapa final'!$R$120),"")</f>
        <v/>
      </c>
      <c r="V43" s="159" t="str">
        <f ca="1">IF(AND('Mapa final'!$AB$118="Muy Alta",'Mapa final'!$AD$118="Catastrófico"),CONCATENATE("R37C",'Mapa final'!$R$118),"")</f>
        <v/>
      </c>
      <c r="W43" s="194" t="str">
        <f>IF(AND('Mapa final'!$AB$119="Muy Alta",'Mapa final'!$AD$119="Catastrófico"),CONCATENATE("R37C",'Mapa final'!$R$119),"")</f>
        <v/>
      </c>
      <c r="X43" s="160" t="str">
        <f>IF(AND('Mapa final'!$AB$120="Muy Alta",'Mapa final'!$AD$120="Catastrófico"),CONCATENATE("R37C",'Mapa final'!$R$120),"")</f>
        <v/>
      </c>
      <c r="Y43" s="38"/>
      <c r="Z43" s="343"/>
      <c r="AA43" s="344"/>
      <c r="AB43" s="344"/>
      <c r="AC43" s="344"/>
      <c r="AD43" s="344"/>
      <c r="AE43" s="345"/>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row>
    <row r="44" spans="1:61" ht="15" customHeight="1" x14ac:dyDescent="0.25">
      <c r="A44" s="38"/>
      <c r="B44" s="355"/>
      <c r="C44" s="356"/>
      <c r="D44" s="357"/>
      <c r="E44" s="339"/>
      <c r="F44" s="338"/>
      <c r="G44" s="338"/>
      <c r="H44" s="338"/>
      <c r="I44" s="338"/>
      <c r="J44" s="83" t="str">
        <f ca="1">IF(AND('Mapa final'!$AB$121="Muy Alta",'Mapa final'!$AD$121="Leve"),CONCATENATE("R38C",'Mapa final'!$R$121),"")</f>
        <v/>
      </c>
      <c r="K44" s="195" t="str">
        <f>IF(AND('Mapa final'!$AB$122="Muy Alta",'Mapa final'!$AD$122="Leve"),CONCATENATE("R38C",'Mapa final'!$R$122),"")</f>
        <v/>
      </c>
      <c r="L44" s="84" t="str">
        <f>IF(AND('Mapa final'!$AB$123="Muy Alta",'Mapa final'!$AD$123="Leve"),CONCATENATE("R38C",'Mapa final'!$R$123),"")</f>
        <v/>
      </c>
      <c r="M44" s="83" t="str">
        <f ca="1">IF(AND('Mapa final'!$AB$121="Muy Alta",'Mapa final'!$AD$121="Menor"),CONCATENATE("R38C",'Mapa final'!$R$121),"")</f>
        <v/>
      </c>
      <c r="N44" s="195" t="str">
        <f>IF(AND('Mapa final'!$AB$122="Muy Alta",'Mapa final'!$AD$122="Menor"),CONCATENATE("R38C",'Mapa final'!$R$122),"")</f>
        <v/>
      </c>
      <c r="O44" s="84" t="str">
        <f>IF(AND('Mapa final'!$AB$123="Muy Alta",'Mapa final'!$AD$123="Menor"),CONCATENATE("R38C",'Mapa final'!$R$123),"")</f>
        <v/>
      </c>
      <c r="P44" s="83" t="str">
        <f ca="1">IF(AND('Mapa final'!$AB$121="Muy Alta",'Mapa final'!$AD$121="Moderado"),CONCATENATE("R38C",'Mapa final'!$R$121),"")</f>
        <v/>
      </c>
      <c r="Q44" s="195" t="str">
        <f>IF(AND('Mapa final'!$AB$122="Muy Alta",'Mapa final'!$AD$122="Moderado"),CONCATENATE("R38C",'Mapa final'!$R$122),"")</f>
        <v/>
      </c>
      <c r="R44" s="84" t="str">
        <f>IF(AND('Mapa final'!$AB$123="Muy Alta",'Mapa final'!$AD$123="Moderado"),CONCATENATE("R38C",'Mapa final'!$R$123),"")</f>
        <v/>
      </c>
      <c r="S44" s="83" t="str">
        <f ca="1">IF(AND('Mapa final'!$AB$121="Muy Alta",'Mapa final'!$AD$121="Mayor"),CONCATENATE("R38C",'Mapa final'!$R$121),"")</f>
        <v/>
      </c>
      <c r="T44" s="195" t="str">
        <f>IF(AND('Mapa final'!$AB$122="Muy Alta",'Mapa final'!$AD$122="Mayor"),CONCATENATE("R38C",'Mapa final'!$R$122),"")</f>
        <v/>
      </c>
      <c r="U44" s="84" t="str">
        <f>IF(AND('Mapa final'!$AB$123="Muy Alta",'Mapa final'!$AD$123="Mayor"),CONCATENATE("R38C",'Mapa final'!$R$123),"")</f>
        <v/>
      </c>
      <c r="V44" s="159" t="str">
        <f ca="1">IF(AND('Mapa final'!$AB$121="Muy Alta",'Mapa final'!$AD$121="Catastrófico"),CONCATENATE("R38C",'Mapa final'!$R$121),"")</f>
        <v/>
      </c>
      <c r="W44" s="194" t="str">
        <f>IF(AND('Mapa final'!$AB$122="Muy Alta",'Mapa final'!$AD$122="Catastrófico"),CONCATENATE("R38C",'Mapa final'!$R$122),"")</f>
        <v/>
      </c>
      <c r="X44" s="160" t="str">
        <f>IF(AND('Mapa final'!$AB$123="Muy Alta",'Mapa final'!$AD$123="Catastrófico"),CONCATENATE("R38C",'Mapa final'!$R$123),"")</f>
        <v/>
      </c>
      <c r="Y44" s="38"/>
      <c r="Z44" s="343"/>
      <c r="AA44" s="344"/>
      <c r="AB44" s="344"/>
      <c r="AC44" s="344"/>
      <c r="AD44" s="344"/>
      <c r="AE44" s="345"/>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row>
    <row r="45" spans="1:61" ht="15" customHeight="1" x14ac:dyDescent="0.25">
      <c r="A45" s="38"/>
      <c r="B45" s="355"/>
      <c r="C45" s="356"/>
      <c r="D45" s="357"/>
      <c r="E45" s="339"/>
      <c r="F45" s="338"/>
      <c r="G45" s="338"/>
      <c r="H45" s="338"/>
      <c r="I45" s="338"/>
      <c r="J45" s="83" t="str">
        <f ca="1">IF(AND('Mapa final'!$AB$124="Muy Alta",'Mapa final'!$AD$124="Leve"),CONCATENATE("R39C",'Mapa final'!$R$124),"")</f>
        <v/>
      </c>
      <c r="K45" s="195" t="str">
        <f>IF(AND('Mapa final'!$AB$125="Muy Alta",'Mapa final'!$AD$125="Leve"),CONCATENATE("R39C",'Mapa final'!$R$125),"")</f>
        <v/>
      </c>
      <c r="L45" s="84" t="str">
        <f>IF(AND('Mapa final'!$AB$126="Muy Alta",'Mapa final'!$AD$126="Leve"),CONCATENATE("R39C",'Mapa final'!$R$126),"")</f>
        <v/>
      </c>
      <c r="M45" s="83" t="str">
        <f ca="1">IF(AND('Mapa final'!$AB$124="Muy Alta",'Mapa final'!$AD$124="Menor"),CONCATENATE("R39C",'Mapa final'!$R$124),"")</f>
        <v/>
      </c>
      <c r="N45" s="195" t="str">
        <f>IF(AND('Mapa final'!$AB$125="Muy Alta",'Mapa final'!$AD$125="Menor"),CONCATENATE("R39C",'Mapa final'!$R$125),"")</f>
        <v/>
      </c>
      <c r="O45" s="84" t="str">
        <f>IF(AND('Mapa final'!$AB$126="Muy Alta",'Mapa final'!$AD$126="Menor"),CONCATENATE("R39C",'Mapa final'!$R$126),"")</f>
        <v/>
      </c>
      <c r="P45" s="83" t="str">
        <f ca="1">IF(AND('Mapa final'!$AB$124="Muy Alta",'Mapa final'!$AD$124="Moderado"),CONCATENATE("R39C",'Mapa final'!$R$124),"")</f>
        <v/>
      </c>
      <c r="Q45" s="195" t="str">
        <f>IF(AND('Mapa final'!$AB$125="Muy Alta",'Mapa final'!$AD$125="Moderado"),CONCATENATE("R39C",'Mapa final'!$R$125),"")</f>
        <v/>
      </c>
      <c r="R45" s="84" t="str">
        <f>IF(AND('Mapa final'!$AB$126="Muy Alta",'Mapa final'!$AD$126="Moderado"),CONCATENATE("R39C",'Mapa final'!$R$126),"")</f>
        <v/>
      </c>
      <c r="S45" s="83" t="str">
        <f ca="1">IF(AND('Mapa final'!$AB$124="Muy Alta",'Mapa final'!$AD$124="Mayor"),CONCATENATE("R39C",'Mapa final'!$R$124),"")</f>
        <v/>
      </c>
      <c r="T45" s="195" t="str">
        <f>IF(AND('Mapa final'!$AB$125="Muy Alta",'Mapa final'!$AD$125="Mayor"),CONCATENATE("R39C",'Mapa final'!$R$125),"")</f>
        <v/>
      </c>
      <c r="U45" s="84" t="str">
        <f>IF(AND('Mapa final'!$AB$126="Muy Alta",'Mapa final'!$AD$126="Mayor"),CONCATENATE("R39C",'Mapa final'!$R$126),"")</f>
        <v/>
      </c>
      <c r="V45" s="159" t="str">
        <f ca="1">IF(AND('Mapa final'!$AB$124="Muy Alta",'Mapa final'!$AD$124="Catastrófico"),CONCATENATE("R39C",'Mapa final'!$R$124),"")</f>
        <v/>
      </c>
      <c r="W45" s="194" t="str">
        <f>IF(AND('Mapa final'!$AB$125="Muy Alta",'Mapa final'!$AD$125="Catastrófico"),CONCATENATE("R39C",'Mapa final'!$R$125),"")</f>
        <v/>
      </c>
      <c r="X45" s="160" t="str">
        <f>IF(AND('Mapa final'!$AB$126="Muy Alta",'Mapa final'!$AD$126="Catastrófico"),CONCATENATE("R39C",'Mapa final'!$R$126),"")</f>
        <v/>
      </c>
      <c r="Y45" s="38"/>
      <c r="Z45" s="343"/>
      <c r="AA45" s="344"/>
      <c r="AB45" s="344"/>
      <c r="AC45" s="344"/>
      <c r="AD45" s="344"/>
      <c r="AE45" s="345"/>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row>
    <row r="46" spans="1:61" ht="15" customHeight="1" x14ac:dyDescent="0.25">
      <c r="A46" s="38"/>
      <c r="B46" s="355"/>
      <c r="C46" s="356"/>
      <c r="D46" s="357"/>
      <c r="E46" s="339"/>
      <c r="F46" s="338"/>
      <c r="G46" s="338"/>
      <c r="H46" s="338"/>
      <c r="I46" s="338"/>
      <c r="J46" s="83" t="str">
        <f ca="1">IF(AND('Mapa final'!$AB$127="Muy Alta",'Mapa final'!$AD$127="Leve"),CONCATENATE("R40C",'Mapa final'!$R$127),"")</f>
        <v/>
      </c>
      <c r="K46" s="195" t="str">
        <f>IF(AND('Mapa final'!$AB$128="Muy Alta",'Mapa final'!$AD$128="Leve"),CONCATENATE("R40C",'Mapa final'!$R$128),"")</f>
        <v/>
      </c>
      <c r="L46" s="84" t="str">
        <f>IF(AND('Mapa final'!$AB$129="Muy Alta",'Mapa final'!$AD$129="Leve"),CONCATENATE("R40C",'Mapa final'!$R$129),"")</f>
        <v/>
      </c>
      <c r="M46" s="83" t="str">
        <f ca="1">IF(AND('Mapa final'!$AB$127="Muy Alta",'Mapa final'!$AD$127="Menor"),CONCATENATE("R40C",'Mapa final'!$R$127),"")</f>
        <v/>
      </c>
      <c r="N46" s="195" t="str">
        <f>IF(AND('Mapa final'!$AB$128="Muy Alta",'Mapa final'!$AD$128="Menor"),CONCATENATE("R40C",'Mapa final'!$R$128),"")</f>
        <v/>
      </c>
      <c r="O46" s="84" t="str">
        <f>IF(AND('Mapa final'!$AB$129="Muy Alta",'Mapa final'!$AD$129="Menor"),CONCATENATE("R40C",'Mapa final'!$R$129),"")</f>
        <v/>
      </c>
      <c r="P46" s="83" t="str">
        <f ca="1">IF(AND('Mapa final'!$AB$127="Muy Alta",'Mapa final'!$AD$127="Moderado"),CONCATENATE("R40C",'Mapa final'!$R$127),"")</f>
        <v/>
      </c>
      <c r="Q46" s="195" t="str">
        <f>IF(AND('Mapa final'!$AB$128="Muy Alta",'Mapa final'!$AD$128="Moderado"),CONCATENATE("R40C",'Mapa final'!$R$128),"")</f>
        <v/>
      </c>
      <c r="R46" s="84" t="str">
        <f>IF(AND('Mapa final'!$AB$129="Muy Alta",'Mapa final'!$AD$129="Moderado"),CONCATENATE("R40C",'Mapa final'!$R$129),"")</f>
        <v/>
      </c>
      <c r="S46" s="83" t="str">
        <f ca="1">IF(AND('Mapa final'!$AB$127="Muy Alta",'Mapa final'!$AD$127="Mayor"),CONCATENATE("R40C",'Mapa final'!$R$127),"")</f>
        <v/>
      </c>
      <c r="T46" s="195" t="str">
        <f>IF(AND('Mapa final'!$AB$128="Muy Alta",'Mapa final'!$AD$128="Mayor"),CONCATENATE("R40C",'Mapa final'!$R$128),"")</f>
        <v/>
      </c>
      <c r="U46" s="84" t="str">
        <f>IF(AND('Mapa final'!$AB$129="Muy Alta",'Mapa final'!$AD$129="Mayor"),CONCATENATE("R40C",'Mapa final'!$R$129),"")</f>
        <v/>
      </c>
      <c r="V46" s="159" t="str">
        <f ca="1">IF(AND('Mapa final'!$AB$127="Muy Alta",'Mapa final'!$AD$127="Catastrófico"),CONCATENATE("R40C",'Mapa final'!$R$127),"")</f>
        <v/>
      </c>
      <c r="W46" s="194" t="str">
        <f>IF(AND('Mapa final'!$AB$128="Muy Alta",'Mapa final'!$AD$128="Catastrófico"),CONCATENATE("R40C",'Mapa final'!$R$128),"")</f>
        <v/>
      </c>
      <c r="X46" s="160" t="str">
        <f>IF(AND('Mapa final'!$AB$129="Muy Alta",'Mapa final'!$AD$129="Catastrófico"),CONCATENATE("R40C",'Mapa final'!$R$129),"")</f>
        <v/>
      </c>
      <c r="Y46" s="38"/>
      <c r="Z46" s="343"/>
      <c r="AA46" s="344"/>
      <c r="AB46" s="344"/>
      <c r="AC46" s="344"/>
      <c r="AD46" s="344"/>
      <c r="AE46" s="345"/>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row>
    <row r="47" spans="1:61" ht="15" customHeight="1" x14ac:dyDescent="0.25">
      <c r="A47" s="38"/>
      <c r="B47" s="355"/>
      <c r="C47" s="356"/>
      <c r="D47" s="357"/>
      <c r="E47" s="339"/>
      <c r="F47" s="338"/>
      <c r="G47" s="338"/>
      <c r="H47" s="338"/>
      <c r="I47" s="338"/>
      <c r="J47" s="83" t="str">
        <f ca="1">IF(AND('Mapa final'!$AB$130="Muy Alta",'Mapa final'!$AD$130="Leve"),CONCATENATE("R41C",'Mapa final'!$R$130),"")</f>
        <v/>
      </c>
      <c r="K47" s="195" t="str">
        <f>IF(AND('Mapa final'!$AB$131="Muy Alta",'Mapa final'!$AD$131="Leve"),CONCATENATE("R41C",'Mapa final'!$R$131),"")</f>
        <v/>
      </c>
      <c r="L47" s="84" t="str">
        <f>IF(AND('Mapa final'!$AB$132="Muy Alta",'Mapa final'!$AD$132="Leve"),CONCATENATE("R41C",'Mapa final'!$R$132),"")</f>
        <v/>
      </c>
      <c r="M47" s="83" t="str">
        <f ca="1">IF(AND('Mapa final'!$AB$130="Muy Alta",'Mapa final'!$AD$130="Menor"),CONCATENATE("R41C",'Mapa final'!$R$130),"")</f>
        <v/>
      </c>
      <c r="N47" s="195" t="str">
        <f>IF(AND('Mapa final'!$AB$131="Muy Alta",'Mapa final'!$AD$131="Menor"),CONCATENATE("R41C",'Mapa final'!$R$131),"")</f>
        <v/>
      </c>
      <c r="O47" s="84" t="str">
        <f>IF(AND('Mapa final'!$AB$132="Muy Alta",'Mapa final'!$AD$132="Menor"),CONCATENATE("R41C",'Mapa final'!$R$132),"")</f>
        <v/>
      </c>
      <c r="P47" s="83" t="str">
        <f ca="1">IF(AND('Mapa final'!$AB$130="Muy Alta",'Mapa final'!$AD$130="Moderado"),CONCATENATE("R41C",'Mapa final'!$R$130),"")</f>
        <v/>
      </c>
      <c r="Q47" s="195" t="str">
        <f>IF(AND('Mapa final'!$AB$131="Muy Alta",'Mapa final'!$AD$131="Moderado"),CONCATENATE("R41C",'Mapa final'!$R$131),"")</f>
        <v/>
      </c>
      <c r="R47" s="84" t="str">
        <f>IF(AND('Mapa final'!$AB$132="Muy Alta",'Mapa final'!$AD$132="Moderado"),CONCATENATE("R41C",'Mapa final'!$R$132),"")</f>
        <v/>
      </c>
      <c r="S47" s="83" t="str">
        <f ca="1">IF(AND('Mapa final'!$AB$130="Muy Alta",'Mapa final'!$AD$130="Mayor"),CONCATENATE("R41C",'Mapa final'!$R$130),"")</f>
        <v/>
      </c>
      <c r="T47" s="195" t="str">
        <f>IF(AND('Mapa final'!$AB$131="Muy Alta",'Mapa final'!$AD$131="Mayor"),CONCATENATE("R41C",'Mapa final'!$R$131),"")</f>
        <v/>
      </c>
      <c r="U47" s="84" t="str">
        <f>IF(AND('Mapa final'!$AB$132="Muy Alta",'Mapa final'!$AD$132="Mayor"),CONCATENATE("R41C",'Mapa final'!$R$132),"")</f>
        <v/>
      </c>
      <c r="V47" s="159" t="str">
        <f ca="1">IF(AND('Mapa final'!$AB$130="Muy Alta",'Mapa final'!$AD$130="Catastrófico"),CONCATENATE("R41C",'Mapa final'!$R$130),"")</f>
        <v/>
      </c>
      <c r="W47" s="194" t="str">
        <f>IF(AND('Mapa final'!$AB$131="Muy Alta",'Mapa final'!$AD$131="Catastrófico"),CONCATENATE("R41C",'Mapa final'!$R$131),"")</f>
        <v/>
      </c>
      <c r="X47" s="160" t="str">
        <f>IF(AND('Mapa final'!$AB$132="Muy Alta",'Mapa final'!$AD$132="Catastrófico"),CONCATENATE("R41C",'Mapa final'!$R$132),"")</f>
        <v/>
      </c>
      <c r="Y47" s="38"/>
      <c r="Z47" s="343"/>
      <c r="AA47" s="344"/>
      <c r="AB47" s="344"/>
      <c r="AC47" s="344"/>
      <c r="AD47" s="344"/>
      <c r="AE47" s="345"/>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row>
    <row r="48" spans="1:61" ht="15" customHeight="1" thickBot="1" x14ac:dyDescent="0.3">
      <c r="A48" s="38"/>
      <c r="B48" s="355"/>
      <c r="C48" s="356"/>
      <c r="D48" s="357"/>
      <c r="E48" s="339"/>
      <c r="F48" s="338"/>
      <c r="G48" s="338"/>
      <c r="H48" s="338"/>
      <c r="I48" s="338"/>
      <c r="J48" s="196" t="str">
        <f ca="1">IF(AND('Mapa final'!$AB$133="Muy Alta",'Mapa final'!$AD$133="Leve"),CONCATENATE("R42C",'Mapa final'!$R$133),"")</f>
        <v/>
      </c>
      <c r="K48" s="197" t="str">
        <f>IF(AND('Mapa final'!$AB$134="Muy Alta",'Mapa final'!$AD$134="Leve"),CONCATENATE("R42C",'Mapa final'!$R$134),"")</f>
        <v/>
      </c>
      <c r="L48" s="198" t="str">
        <f>IF(AND('Mapa final'!$AB$135="Muy Alta",'Mapa final'!$AD$135="Leve"),CONCATENATE("R42C",'Mapa final'!$R$135),"")</f>
        <v/>
      </c>
      <c r="M48" s="196" t="str">
        <f ca="1">IF(AND('Mapa final'!$AB$133="Muy Alta",'Mapa final'!$AD$133="Menor"),CONCATENATE("R42C",'Mapa final'!$R$133),"")</f>
        <v/>
      </c>
      <c r="N48" s="197" t="str">
        <f>IF(AND('Mapa final'!$AB$134="Muy Alta",'Mapa final'!$AD$134="Menor"),CONCATENATE("R42C",'Mapa final'!$R$134),"")</f>
        <v/>
      </c>
      <c r="O48" s="198" t="str">
        <f>IF(AND('Mapa final'!$AB$135="Muy Alta",'Mapa final'!$AD$135="Menor"),CONCATENATE("R42C",'Mapa final'!$R$135),"")</f>
        <v/>
      </c>
      <c r="P48" s="196" t="str">
        <f ca="1">IF(AND('Mapa final'!$AB$133="Muy Alta",'Mapa final'!$AD$133="Moderado"),CONCATENATE("R42C",'Mapa final'!$R$133),"")</f>
        <v/>
      </c>
      <c r="Q48" s="197" t="str">
        <f>IF(AND('Mapa final'!$AB$134="Muy Alta",'Mapa final'!$AD$134="Moderado"),CONCATENATE("R42C",'Mapa final'!$R$134),"")</f>
        <v/>
      </c>
      <c r="R48" s="198" t="str">
        <f>IF(AND('Mapa final'!$AB$135="Muy Alta",'Mapa final'!$AD$135="Moderado"),CONCATENATE("R42C",'Mapa final'!$R$135),"")</f>
        <v/>
      </c>
      <c r="S48" s="196" t="str">
        <f ca="1">IF(AND('Mapa final'!$AB$133="Muy Alta",'Mapa final'!$AD$133="Mayor"),CONCATENATE("R42C",'Mapa final'!$R$133),"")</f>
        <v/>
      </c>
      <c r="T48" s="197" t="str">
        <f>IF(AND('Mapa final'!$AB$134="Muy Alta",'Mapa final'!$AD$134="Mayor"),CONCATENATE("R42C",'Mapa final'!$R$134),"")</f>
        <v/>
      </c>
      <c r="U48" s="198" t="str">
        <f>IF(AND('Mapa final'!$AB$135="Muy Alta",'Mapa final'!$AD$135="Mayor"),CONCATENATE("R42C",'Mapa final'!$R$135),"")</f>
        <v/>
      </c>
      <c r="V48" s="177" t="str">
        <f ca="1">IF(AND('Mapa final'!$AB$133="Muy Alta",'Mapa final'!$AD$133="Catastrófico"),CONCATENATE("R42C",'Mapa final'!$R$133),"")</f>
        <v/>
      </c>
      <c r="W48" s="178" t="str">
        <f>IF(AND('Mapa final'!$AB$134="Muy Alta",'Mapa final'!$AD$134="Catastrófico"),CONCATENATE("R42C",'Mapa final'!$R$134),"")</f>
        <v/>
      </c>
      <c r="X48" s="179" t="str">
        <f>IF(AND('Mapa final'!$AB$135="Muy Alta",'Mapa final'!$AD$135="Catastrófico"),CONCATENATE("R42C",'Mapa final'!$R$135),"")</f>
        <v/>
      </c>
      <c r="Y48" s="38"/>
      <c r="Z48" s="346"/>
      <c r="AA48" s="347"/>
      <c r="AB48" s="347"/>
      <c r="AC48" s="347"/>
      <c r="AD48" s="347"/>
      <c r="AE48" s="34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row>
    <row r="49" spans="1:61" ht="15" customHeight="1" x14ac:dyDescent="0.25">
      <c r="A49" s="38"/>
      <c r="B49" s="355"/>
      <c r="C49" s="356"/>
      <c r="D49" s="357"/>
      <c r="E49" s="335" t="s">
        <v>106</v>
      </c>
      <c r="F49" s="336"/>
      <c r="G49" s="336"/>
      <c r="H49" s="336"/>
      <c r="I49" s="336"/>
      <c r="J49" s="164" t="str">
        <f ca="1">IF(AND('Mapa final'!$AB$7="Alta",'Mapa final'!$AD$7="Leve"),CONCATENATE("R1C",'Mapa final'!$R$7),"")</f>
        <v/>
      </c>
      <c r="K49" s="193" t="str">
        <f ca="1">IF(AND('Mapa final'!$AB$8="Alta",'Mapa final'!$AD$8="Leve"),CONCATENATE("R1C",'Mapa final'!$R$8),"")</f>
        <v/>
      </c>
      <c r="L49" s="165" t="str">
        <f>IF(AND('Mapa final'!$AB$9="Alta",'Mapa final'!$AD$9="Leve"),CONCATENATE("R1C",'Mapa final'!$R$9),"")</f>
        <v/>
      </c>
      <c r="M49" s="164" t="str">
        <f ca="1">IF(AND('Mapa final'!$AB$7="Alta",'Mapa final'!$AD$7="Menor"),CONCATENATE("R1C",'Mapa final'!$R$7),"")</f>
        <v/>
      </c>
      <c r="N49" s="193" t="str">
        <f ca="1">IF(AND('Mapa final'!$AB$8="Alta",'Mapa final'!$AD$8="Menor"),CONCATENATE("R1C",'Mapa final'!$R$8),"")</f>
        <v/>
      </c>
      <c r="O49" s="165" t="str">
        <f>IF(AND('Mapa final'!$AB$9="Alta",'Mapa final'!$AD$9="Menor"),CONCATENATE("R1C",'Mapa final'!$R$9),"")</f>
        <v/>
      </c>
      <c r="P49" s="83" t="str">
        <f ca="1">IF(AND('Mapa final'!$AB$7="Alta",'Mapa final'!$AD$7="Moderado"),CONCATENATE("R1C",'Mapa final'!$R$7),"")</f>
        <v/>
      </c>
      <c r="Q49" s="195" t="str">
        <f ca="1">IF(AND('Mapa final'!$AB$8="Alta",'Mapa final'!$AD$8="Moderado"),CONCATENATE("R1C",'Mapa final'!$R$8),"")</f>
        <v/>
      </c>
      <c r="R49" s="84" t="str">
        <f>IF(AND('Mapa final'!$AB$9="Alta",'Mapa final'!$AD$9="Moderado"),CONCATENATE("R1C",'Mapa final'!$R$9),"")</f>
        <v/>
      </c>
      <c r="S49" s="83" t="str">
        <f ca="1">IF(AND('Mapa final'!$AB$7="Alta",'Mapa final'!$AD$7="Mayor"),CONCATENATE("R1C",'Mapa final'!$R$7),"")</f>
        <v/>
      </c>
      <c r="T49" s="195" t="str">
        <f ca="1">IF(AND('Mapa final'!$AB$8="Alta",'Mapa final'!$AD$8="Mayor"),CONCATENATE("R1C",'Mapa final'!$R$8),"")</f>
        <v/>
      </c>
      <c r="U49" s="84" t="str">
        <f>IF(AND('Mapa final'!$AB$9="Alta",'Mapa final'!$AD$9="Mayor"),CONCATENATE("R1C",'Mapa final'!$R$9),"")</f>
        <v/>
      </c>
      <c r="V49" s="159" t="str">
        <f ca="1">IF(AND('Mapa final'!$AB$7="Alta",'Mapa final'!$AD$7="Catastrófico"),CONCATENATE("R1C",'Mapa final'!$R$7),"")</f>
        <v/>
      </c>
      <c r="W49" s="194" t="str">
        <f ca="1">IF(AND('Mapa final'!$AB$8="Alta",'Mapa final'!$AD$8="Catastrófico"),CONCATENATE("R1C",'Mapa final'!$R$8),"")</f>
        <v/>
      </c>
      <c r="X49" s="160" t="str">
        <f>IF(AND('Mapa final'!$AB$9="Alta",'Mapa final'!$AD$9="Catastrófico"),CONCATENATE("R1C",'Mapa final'!$R$9),"")</f>
        <v/>
      </c>
      <c r="Y49" s="38"/>
      <c r="Z49" s="326" t="s">
        <v>74</v>
      </c>
      <c r="AA49" s="327"/>
      <c r="AB49" s="327"/>
      <c r="AC49" s="327"/>
      <c r="AD49" s="327"/>
      <c r="AE49" s="32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row>
    <row r="50" spans="1:61" ht="15" customHeight="1" x14ac:dyDescent="0.25">
      <c r="A50" s="38"/>
      <c r="B50" s="355"/>
      <c r="C50" s="356"/>
      <c r="D50" s="357"/>
      <c r="E50" s="337"/>
      <c r="F50" s="338"/>
      <c r="G50" s="338"/>
      <c r="H50" s="338"/>
      <c r="I50" s="338"/>
      <c r="J50" s="164" t="str">
        <f ca="1">IF(AND('Mapa final'!$AB$10="Alta",'Mapa final'!$AD$10="Leve"),CONCATENATE("R2C",'Mapa final'!$R$10),"")</f>
        <v/>
      </c>
      <c r="K50" s="193" t="str">
        <f>IF(AND('Mapa final'!$AB$11="Alta",'Mapa final'!$AD$11="Leve"),CONCATENATE("R2C",'Mapa final'!$R$11),"")</f>
        <v/>
      </c>
      <c r="L50" s="165" t="str">
        <f>IF(AND('Mapa final'!$AB$12="Alta",'Mapa final'!$AD$12="Leve"),CONCATENATE("R2C",'Mapa final'!$R$12),"")</f>
        <v/>
      </c>
      <c r="M50" s="164" t="str">
        <f ca="1">IF(AND('Mapa final'!$AB$10="Alta",'Mapa final'!$AD$10="Menor"),CONCATENATE("R2C",'Mapa final'!$R$10),"")</f>
        <v/>
      </c>
      <c r="N50" s="193" t="str">
        <f>IF(AND('Mapa final'!$AB$11="Alta",'Mapa final'!$AD$11="Menor"),CONCATENATE("R2C",'Mapa final'!$R$11),"")</f>
        <v/>
      </c>
      <c r="O50" s="165" t="str">
        <f>IF(AND('Mapa final'!$AB$12="Alta",'Mapa final'!$AD$12="Menor"),CONCATENATE("R2C",'Mapa final'!$R$12),"")</f>
        <v/>
      </c>
      <c r="P50" s="83" t="str">
        <f ca="1">IF(AND('Mapa final'!$AB$10="Alta",'Mapa final'!$AD$10="Moderado"),CONCATENATE("R2C",'Mapa final'!$R$10),"")</f>
        <v/>
      </c>
      <c r="Q50" s="195" t="str">
        <f>IF(AND('Mapa final'!$AB$11="Alta",'Mapa final'!$AD$11="Moderado"),CONCATENATE("R2C",'Mapa final'!$R$11),"")</f>
        <v/>
      </c>
      <c r="R50" s="84" t="str">
        <f>IF(AND('Mapa final'!$AB$12="Alta",'Mapa final'!$AD$12="Moderado"),CONCATENATE("R2C",'Mapa final'!$R$12),"")</f>
        <v/>
      </c>
      <c r="S50" s="83" t="str">
        <f ca="1">IF(AND('Mapa final'!$AB$10="Alta",'Mapa final'!$AD$10="Mayor"),CONCATENATE("R2C",'Mapa final'!$R$10),"")</f>
        <v/>
      </c>
      <c r="T50" s="195" t="str">
        <f>IF(AND('Mapa final'!$AB$11="Alta",'Mapa final'!$AD$11="Mayor"),CONCATENATE("R2C",'Mapa final'!$R$11),"")</f>
        <v/>
      </c>
      <c r="U50" s="84" t="str">
        <f>IF(AND('Mapa final'!$AB$12="Alta",'Mapa final'!$AD$12="Mayor"),CONCATENATE("R2C",'Mapa final'!$R$12),"")</f>
        <v/>
      </c>
      <c r="V50" s="159" t="str">
        <f ca="1">IF(AND('Mapa final'!$AB$10="Alta",'Mapa final'!$AD$10="Catastrófico"),CONCATENATE("R2C",'Mapa final'!$R$10),"")</f>
        <v/>
      </c>
      <c r="W50" s="194" t="str">
        <f>IF(AND('Mapa final'!$AB$11="Alta",'Mapa final'!$AD$11="Catastrófico"),CONCATENATE("R2C",'Mapa final'!$R$11),"")</f>
        <v/>
      </c>
      <c r="X50" s="160" t="str">
        <f>IF(AND('Mapa final'!$AB$12="Alta",'Mapa final'!$AD$12="Catastrófico"),CONCATENATE("R2C",'Mapa final'!$R$12),"")</f>
        <v/>
      </c>
      <c r="Y50" s="38"/>
      <c r="Z50" s="329"/>
      <c r="AA50" s="330"/>
      <c r="AB50" s="330"/>
      <c r="AC50" s="330"/>
      <c r="AD50" s="330"/>
      <c r="AE50" s="331"/>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row>
    <row r="51" spans="1:61" ht="15" customHeight="1" x14ac:dyDescent="0.25">
      <c r="A51" s="38"/>
      <c r="B51" s="355"/>
      <c r="C51" s="356"/>
      <c r="D51" s="357"/>
      <c r="E51" s="339"/>
      <c r="F51" s="338"/>
      <c r="G51" s="338"/>
      <c r="H51" s="338"/>
      <c r="I51" s="338"/>
      <c r="J51" s="164" t="str">
        <f ca="1">IF(AND('Mapa final'!$AB$13="Alta",'Mapa final'!$AD$13="Leve"),CONCATENATE("R3C",'Mapa final'!$R$13),"")</f>
        <v/>
      </c>
      <c r="K51" s="193" t="str">
        <f>IF(AND('Mapa final'!$AB$14="Alta",'Mapa final'!$AD$14="Leve"),CONCATENATE("R3C",'Mapa final'!$R$14),"")</f>
        <v/>
      </c>
      <c r="L51" s="165" t="str">
        <f>IF(AND('Mapa final'!$AB$15="Alta",'Mapa final'!$AD$15="Leve"),CONCATENATE("R3C",'Mapa final'!$R$15),"")</f>
        <v/>
      </c>
      <c r="M51" s="164" t="str">
        <f ca="1">IF(AND('Mapa final'!$AB$13="Alta",'Mapa final'!$AD$13="Menor"),CONCATENATE("R3C",'Mapa final'!$R$13),"")</f>
        <v/>
      </c>
      <c r="N51" s="193" t="str">
        <f>IF(AND('Mapa final'!$AB$14="Alta",'Mapa final'!$AD$14="Menor"),CONCATENATE("R3C",'Mapa final'!$R$14),"")</f>
        <v/>
      </c>
      <c r="O51" s="165" t="str">
        <f>IF(AND('Mapa final'!$AB$15="Alta",'Mapa final'!$AD$15="Menor"),CONCATENATE("R3C",'Mapa final'!$R$15),"")</f>
        <v/>
      </c>
      <c r="P51" s="83" t="str">
        <f ca="1">IF(AND('Mapa final'!$AB$13="Alta",'Mapa final'!$AD$13="Moderado"),CONCATENATE("R3C",'Mapa final'!$R$13),"")</f>
        <v/>
      </c>
      <c r="Q51" s="195" t="str">
        <f>IF(AND('Mapa final'!$AB$14="Alta",'Mapa final'!$AD$14="Moderado"),CONCATENATE("R3C",'Mapa final'!$R$14),"")</f>
        <v/>
      </c>
      <c r="R51" s="84" t="str">
        <f>IF(AND('Mapa final'!$AB$15="Alta",'Mapa final'!$AD$15="Moderado"),CONCATENATE("R3C",'Mapa final'!$R$15),"")</f>
        <v/>
      </c>
      <c r="S51" s="83" t="str">
        <f ca="1">IF(AND('Mapa final'!$AB$13="Alta",'Mapa final'!$AD$13="Mayor"),CONCATENATE("R3C",'Mapa final'!$R$13),"")</f>
        <v/>
      </c>
      <c r="T51" s="195" t="str">
        <f>IF(AND('Mapa final'!$AB$14="Alta",'Mapa final'!$AD$14="Mayor"),CONCATENATE("R3C",'Mapa final'!$R$14),"")</f>
        <v/>
      </c>
      <c r="U51" s="84" t="str">
        <f>IF(AND('Mapa final'!$AB$15="Alta",'Mapa final'!$AD$15="Mayor"),CONCATENATE("R3C",'Mapa final'!$R$15),"")</f>
        <v/>
      </c>
      <c r="V51" s="159" t="str">
        <f ca="1">IF(AND('Mapa final'!$AB$13="Alta",'Mapa final'!$AD$13="Catastrófico"),CONCATENATE("R3C",'Mapa final'!$R$13),"")</f>
        <v/>
      </c>
      <c r="W51" s="194" t="str">
        <f>IF(AND('Mapa final'!$AB$14="Alta",'Mapa final'!$AD$14="Catastrófico"),CONCATENATE("R3C",'Mapa final'!$R$14),"")</f>
        <v/>
      </c>
      <c r="X51" s="160" t="str">
        <f>IF(AND('Mapa final'!$AB$15="Alta",'Mapa final'!$AD$15="Catastrófico"),CONCATENATE("R3C",'Mapa final'!$R$15),"")</f>
        <v/>
      </c>
      <c r="Y51" s="38"/>
      <c r="Z51" s="329"/>
      <c r="AA51" s="330"/>
      <c r="AB51" s="330"/>
      <c r="AC51" s="330"/>
      <c r="AD51" s="330"/>
      <c r="AE51" s="331"/>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row>
    <row r="52" spans="1:61" ht="12" customHeight="1" x14ac:dyDescent="0.25">
      <c r="A52" s="38"/>
      <c r="B52" s="355"/>
      <c r="C52" s="356"/>
      <c r="D52" s="357"/>
      <c r="E52" s="339"/>
      <c r="F52" s="338"/>
      <c r="G52" s="338"/>
      <c r="H52" s="338"/>
      <c r="I52" s="338"/>
      <c r="J52" s="164" t="str">
        <f ca="1">IF(AND('Mapa final'!$AB$16="Alta",'Mapa final'!$AD$16="Leve"),CONCATENATE("R4C",'Mapa final'!$R$16),"")</f>
        <v/>
      </c>
      <c r="K52" s="193" t="str">
        <f>IF(AND('Mapa final'!$AB$17="Alta",'Mapa final'!$AD$17="Leve"),CONCATENATE("R4C",'Mapa final'!$R$17),"")</f>
        <v/>
      </c>
      <c r="L52" s="165" t="str">
        <f>IF(AND('Mapa final'!$AB$18="Alta",'Mapa final'!$AD$18="Leve"),CONCATENATE("R4C",'Mapa final'!$R$18),"")</f>
        <v/>
      </c>
      <c r="M52" s="164" t="str">
        <f ca="1">IF(AND('Mapa final'!$AB$16="Alta",'Mapa final'!$AD$16="Menor"),CONCATENATE("R4C",'Mapa final'!$R$16),"")</f>
        <v/>
      </c>
      <c r="N52" s="193" t="str">
        <f>IF(AND('Mapa final'!$AB$17="Alta",'Mapa final'!$AD$17="Menor"),CONCATENATE("R4C",'Mapa final'!$R$17),"")</f>
        <v/>
      </c>
      <c r="O52" s="165" t="str">
        <f>IF(AND('Mapa final'!$AB$18="Alta",'Mapa final'!$AD$18="Menor"),CONCATENATE("R4C",'Mapa final'!$R$18),"")</f>
        <v/>
      </c>
      <c r="P52" s="83" t="str">
        <f ca="1">IF(AND('Mapa final'!$AB$16="Alta",'Mapa final'!$AD$16="Moderado"),CONCATENATE("R4C",'Mapa final'!$R$16),"")</f>
        <v/>
      </c>
      <c r="Q52" s="195" t="str">
        <f>IF(AND('Mapa final'!$AB$17="Alta",'Mapa final'!$AD$17="Moderado"),CONCATENATE("R4C",'Mapa final'!$R$17),"")</f>
        <v/>
      </c>
      <c r="R52" s="84" t="str">
        <f>IF(AND('Mapa final'!$AB$18="Alta",'Mapa final'!$AD$18="Moderado"),CONCATENATE("R4C",'Mapa final'!$R$18),"")</f>
        <v/>
      </c>
      <c r="S52" s="83" t="str">
        <f ca="1">IF(AND('Mapa final'!$AB$16="Alta",'Mapa final'!$AD$16="Mayor"),CONCATENATE("R4C",'Mapa final'!$R$16),"")</f>
        <v/>
      </c>
      <c r="T52" s="195" t="str">
        <f>IF(AND('Mapa final'!$AB$17="Alta",'Mapa final'!$AD$17="Mayor"),CONCATENATE("R4C",'Mapa final'!$R$17),"")</f>
        <v/>
      </c>
      <c r="U52" s="84" t="str">
        <f>IF(AND('Mapa final'!$AB$18="Alta",'Mapa final'!$AD$18="Mayor"),CONCATENATE("R4C",'Mapa final'!$R$18),"")</f>
        <v/>
      </c>
      <c r="V52" s="159" t="str">
        <f ca="1">IF(AND('Mapa final'!$AB$16="Alta",'Mapa final'!$AD$16="Catastrófico"),CONCATENATE("R4C",'Mapa final'!$R$16),"")</f>
        <v/>
      </c>
      <c r="W52" s="194" t="str">
        <f>IF(AND('Mapa final'!$AB$17="Alta",'Mapa final'!$AD$17="Catastrófico"),CONCATENATE("R4C",'Mapa final'!$R$17),"")</f>
        <v/>
      </c>
      <c r="X52" s="160" t="str">
        <f>IF(AND('Mapa final'!$AB$18="Alta",'Mapa final'!$AD$18="Catastrófico"),CONCATENATE("R4C",'Mapa final'!$R$18),"")</f>
        <v/>
      </c>
      <c r="Y52" s="38"/>
      <c r="Z52" s="329"/>
      <c r="AA52" s="330"/>
      <c r="AB52" s="330"/>
      <c r="AC52" s="330"/>
      <c r="AD52" s="330"/>
      <c r="AE52" s="331"/>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row>
    <row r="53" spans="1:61" ht="12" customHeight="1" x14ac:dyDescent="0.25">
      <c r="A53" s="38"/>
      <c r="B53" s="355"/>
      <c r="C53" s="356"/>
      <c r="D53" s="357"/>
      <c r="E53" s="339"/>
      <c r="F53" s="338"/>
      <c r="G53" s="338"/>
      <c r="H53" s="338"/>
      <c r="I53" s="338"/>
      <c r="J53" s="164" t="str">
        <f ca="1">IF(AND('Mapa final'!$AB$19="Alta",'Mapa final'!$AD$19="Leve"),CONCATENATE("R5C",'Mapa final'!$R$19),"")</f>
        <v/>
      </c>
      <c r="K53" s="193" t="str">
        <f>IF(AND('Mapa final'!$AB$20="Alta",'Mapa final'!$AD$20="Leve"),CONCATENATE("R5C",'Mapa final'!$R$20),"")</f>
        <v/>
      </c>
      <c r="L53" s="165" t="str">
        <f>IF(AND('Mapa final'!$AB$21="Alta",'Mapa final'!$AD$21="Leve"),CONCATENATE("R5C",'Mapa final'!$R$21),"")</f>
        <v/>
      </c>
      <c r="M53" s="164" t="str">
        <f ca="1">IF(AND('Mapa final'!$AB$19="Alta",'Mapa final'!$AD$19="Menor"),CONCATENATE("R5C",'Mapa final'!$R$19),"")</f>
        <v/>
      </c>
      <c r="N53" s="193" t="str">
        <f>IF(AND('Mapa final'!$AB$20="Alta",'Mapa final'!$AD$20="Menor"),CONCATENATE("R5C",'Mapa final'!$R$20),"")</f>
        <v/>
      </c>
      <c r="O53" s="165" t="str">
        <f>IF(AND('Mapa final'!$AB$21="Alta",'Mapa final'!$AD$21="Menor"),CONCATENATE("R5C",'Mapa final'!$R$21),"")</f>
        <v/>
      </c>
      <c r="P53" s="83" t="str">
        <f ca="1">IF(AND('Mapa final'!$AB$19="Alta",'Mapa final'!$AD$19="Moderado"),CONCATENATE("R5C",'Mapa final'!$R$19),"")</f>
        <v/>
      </c>
      <c r="Q53" s="195" t="str">
        <f>IF(AND('Mapa final'!$AB$20="Alta",'Mapa final'!$AD$20="Moderado"),CONCATENATE("R5C",'Mapa final'!$R$20),"")</f>
        <v/>
      </c>
      <c r="R53" s="84" t="str">
        <f>IF(AND('Mapa final'!$AB$21="Alta",'Mapa final'!$AD$21="Moderado"),CONCATENATE("R5C",'Mapa final'!$R$21),"")</f>
        <v/>
      </c>
      <c r="S53" s="83" t="str">
        <f ca="1">IF(AND('Mapa final'!$AB$19="Alta",'Mapa final'!$AD$19="Mayor"),CONCATENATE("R5C",'Mapa final'!$R$19),"")</f>
        <v/>
      </c>
      <c r="T53" s="195" t="str">
        <f>IF(AND('Mapa final'!$AB$20="Alta",'Mapa final'!$AD$20="Mayor"),CONCATENATE("R5C",'Mapa final'!$R$20),"")</f>
        <v/>
      </c>
      <c r="U53" s="84" t="str">
        <f>IF(AND('Mapa final'!$AB$21="Alta",'Mapa final'!$AD$21="Mayor"),CONCATENATE("R5C",'Mapa final'!$R$21),"")</f>
        <v/>
      </c>
      <c r="V53" s="159" t="str">
        <f ca="1">IF(AND('Mapa final'!$AB$19="Alta",'Mapa final'!$AD$19="Catastrófico"),CONCATENATE("R5C",'Mapa final'!$R$19),"")</f>
        <v/>
      </c>
      <c r="W53" s="194" t="str">
        <f>IF(AND('Mapa final'!$AB$20="Alta",'Mapa final'!$AD$20="Catastrófico"),CONCATENATE("R5C",'Mapa final'!$R$20),"")</f>
        <v/>
      </c>
      <c r="X53" s="160" t="str">
        <f>IF(AND('Mapa final'!$AB$21="Alta",'Mapa final'!$AD$21="Catastrófico"),CONCATENATE("R5C",'Mapa final'!$R$21),"")</f>
        <v/>
      </c>
      <c r="Y53" s="38"/>
      <c r="Z53" s="329"/>
      <c r="AA53" s="330"/>
      <c r="AB53" s="330"/>
      <c r="AC53" s="330"/>
      <c r="AD53" s="330"/>
      <c r="AE53" s="331"/>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row>
    <row r="54" spans="1:61" ht="12" customHeight="1" x14ac:dyDescent="0.25">
      <c r="A54" s="38"/>
      <c r="B54" s="355"/>
      <c r="C54" s="356"/>
      <c r="D54" s="357"/>
      <c r="E54" s="339"/>
      <c r="F54" s="338"/>
      <c r="G54" s="338"/>
      <c r="H54" s="338"/>
      <c r="I54" s="338"/>
      <c r="J54" s="164" t="str">
        <f ca="1">IF(AND('Mapa final'!$AB$22="Alta",'Mapa final'!$AD$22="Leve"),CONCATENATE("R6C",'Mapa final'!$R$22),"")</f>
        <v/>
      </c>
      <c r="K54" s="193" t="str">
        <f>IF(AND('Mapa final'!$AB$23="Alta",'Mapa final'!$AD$23="Leve"),CONCATENATE("R6C",'Mapa final'!$R$23),"")</f>
        <v/>
      </c>
      <c r="L54" s="165" t="str">
        <f>IF(AND('Mapa final'!$AB$24="Alta",'Mapa final'!$AD$24="Leve"),CONCATENATE("R6C",'Mapa final'!$R$24),"")</f>
        <v/>
      </c>
      <c r="M54" s="164" t="str">
        <f ca="1">IF(AND('Mapa final'!$AB$22="Alta",'Mapa final'!$AD$22="Menor"),CONCATENATE("R6C",'Mapa final'!$R$22),"")</f>
        <v/>
      </c>
      <c r="N54" s="193" t="str">
        <f>IF(AND('Mapa final'!$AB$23="Alta",'Mapa final'!$AD$23="Menor"),CONCATENATE("R6C",'Mapa final'!$R$23),"")</f>
        <v/>
      </c>
      <c r="O54" s="165" t="str">
        <f>IF(AND('Mapa final'!$AB$24="Alta",'Mapa final'!$AD$24="Menor"),CONCATENATE("R6C",'Mapa final'!$R$24),"")</f>
        <v/>
      </c>
      <c r="P54" s="83" t="str">
        <f ca="1">IF(AND('Mapa final'!$AB$22="Alta",'Mapa final'!$AD$22="Moderado"),CONCATENATE("R6C",'Mapa final'!$R$22),"")</f>
        <v/>
      </c>
      <c r="Q54" s="195" t="str">
        <f>IF(AND('Mapa final'!$AB$23="Alta",'Mapa final'!$AD$23="Moderado"),CONCATENATE("R6C",'Mapa final'!$R$23),"")</f>
        <v/>
      </c>
      <c r="R54" s="84" t="str">
        <f>IF(AND('Mapa final'!$AB$24="Alta",'Mapa final'!$AD$24="Moderado"),CONCATENATE("R6C",'Mapa final'!$R$24),"")</f>
        <v/>
      </c>
      <c r="S54" s="83" t="str">
        <f ca="1">IF(AND('Mapa final'!$AB$22="Alta",'Mapa final'!$AD$22="Mayor"),CONCATENATE("R6C",'Mapa final'!$R$22),"")</f>
        <v/>
      </c>
      <c r="T54" s="195" t="str">
        <f>IF(AND('Mapa final'!$AB$23="Alta",'Mapa final'!$AD$23="Mayor"),CONCATENATE("R6C",'Mapa final'!$R$23),"")</f>
        <v/>
      </c>
      <c r="U54" s="84" t="str">
        <f>IF(AND('Mapa final'!$AB$24="Alta",'Mapa final'!$AD$24="Mayor"),CONCATENATE("R6C",'Mapa final'!$R$24),"")</f>
        <v/>
      </c>
      <c r="V54" s="159" t="str">
        <f ca="1">IF(AND('Mapa final'!$AB$22="Alta",'Mapa final'!$AD$22="Catastrófico"),CONCATENATE("R6C",'Mapa final'!$R$22),"")</f>
        <v/>
      </c>
      <c r="W54" s="194" t="str">
        <f>IF(AND('Mapa final'!$AB$23="Alta",'Mapa final'!$AD$23="Catastrófico"),CONCATENATE("R6C",'Mapa final'!$R$23),"")</f>
        <v/>
      </c>
      <c r="X54" s="160" t="str">
        <f>IF(AND('Mapa final'!$AB$24="Alta",'Mapa final'!$AD$24="Catastrófico"),CONCATENATE("R6C",'Mapa final'!$R$24),"")</f>
        <v/>
      </c>
      <c r="Y54" s="38"/>
      <c r="Z54" s="329"/>
      <c r="AA54" s="330"/>
      <c r="AB54" s="330"/>
      <c r="AC54" s="330"/>
      <c r="AD54" s="330"/>
      <c r="AE54" s="331"/>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row>
    <row r="55" spans="1:61" ht="12" customHeight="1" x14ac:dyDescent="0.25">
      <c r="A55" s="38"/>
      <c r="B55" s="355"/>
      <c r="C55" s="356"/>
      <c r="D55" s="357"/>
      <c r="E55" s="339"/>
      <c r="F55" s="338"/>
      <c r="G55" s="338"/>
      <c r="H55" s="338"/>
      <c r="I55" s="338"/>
      <c r="J55" s="164" t="str">
        <f ca="1">IF(AND('Mapa final'!$AB$25="Alta",'Mapa final'!$AD$25="Leve"),CONCATENATE("R7C",'Mapa final'!$R$25),"")</f>
        <v/>
      </c>
      <c r="K55" s="193" t="str">
        <f>IF(AND('Mapa final'!$AB$26="Alta",'Mapa final'!$AD$26="Leve"),CONCATENATE("R7C",'Mapa final'!$R$26),"")</f>
        <v/>
      </c>
      <c r="L55" s="165" t="str">
        <f>IF(AND('Mapa final'!$AB$27="Alta",'Mapa final'!$AD$27="Leve"),CONCATENATE("R7C",'Mapa final'!$R$27),"")</f>
        <v/>
      </c>
      <c r="M55" s="164" t="str">
        <f ca="1">IF(AND('Mapa final'!$AB$25="Alta",'Mapa final'!$AD$25="Menor"),CONCATENATE("R7C",'Mapa final'!$R$25),"")</f>
        <v/>
      </c>
      <c r="N55" s="193" t="str">
        <f>IF(AND('Mapa final'!$AB$26="Alta",'Mapa final'!$AD$26="Menor"),CONCATENATE("R7C",'Mapa final'!$R$26),"")</f>
        <v/>
      </c>
      <c r="O55" s="165" t="str">
        <f>IF(AND('Mapa final'!$AB$27="Alta",'Mapa final'!$AD$27="Menor"),CONCATENATE("R7C",'Mapa final'!$R$27),"")</f>
        <v/>
      </c>
      <c r="P55" s="83" t="str">
        <f ca="1">IF(AND('Mapa final'!$AB$25="Alta",'Mapa final'!$AD$25="Moderado"),CONCATENATE("R7C",'Mapa final'!$R$25),"")</f>
        <v/>
      </c>
      <c r="Q55" s="195" t="str">
        <f>IF(AND('Mapa final'!$AB$26="Alta",'Mapa final'!$AD$26="Moderado"),CONCATENATE("R7C",'Mapa final'!$R$26),"")</f>
        <v/>
      </c>
      <c r="R55" s="84" t="str">
        <f>IF(AND('Mapa final'!$AB$27="Alta",'Mapa final'!$AD$27="Moderado"),CONCATENATE("R7C",'Mapa final'!$R$27),"")</f>
        <v/>
      </c>
      <c r="S55" s="83" t="str">
        <f ca="1">IF(AND('Mapa final'!$AB$25="Alta",'Mapa final'!$AD$25="Mayor"),CONCATENATE("R7C",'Mapa final'!$R$25),"")</f>
        <v/>
      </c>
      <c r="T55" s="195" t="str">
        <f>IF(AND('Mapa final'!$AB$26="Alta",'Mapa final'!$AD$26="Mayor"),CONCATENATE("R7C",'Mapa final'!$R$26),"")</f>
        <v/>
      </c>
      <c r="U55" s="84" t="str">
        <f>IF(AND('Mapa final'!$AB$27="Alta",'Mapa final'!$AD$27="Mayor"),CONCATENATE("R7C",'Mapa final'!$R$27),"")</f>
        <v/>
      </c>
      <c r="V55" s="159" t="str">
        <f ca="1">IF(AND('Mapa final'!$AB$25="Alta",'Mapa final'!$AD$25="Catastrófico"),CONCATENATE("R7C",'Mapa final'!$R$25),"")</f>
        <v/>
      </c>
      <c r="W55" s="194" t="str">
        <f>IF(AND('Mapa final'!$AB$26="Alta",'Mapa final'!$AD$26="Catastrófico"),CONCATENATE("R7C",'Mapa final'!$R$26),"")</f>
        <v/>
      </c>
      <c r="X55" s="160" t="str">
        <f>IF(AND('Mapa final'!$AB$27="Alta",'Mapa final'!$AD$27="Catastrófico"),CONCATENATE("R7C",'Mapa final'!$R$27),"")</f>
        <v/>
      </c>
      <c r="Y55" s="38"/>
      <c r="Z55" s="329"/>
      <c r="AA55" s="330"/>
      <c r="AB55" s="330"/>
      <c r="AC55" s="330"/>
      <c r="AD55" s="330"/>
      <c r="AE55" s="331"/>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row>
    <row r="56" spans="1:61" ht="12" customHeight="1" x14ac:dyDescent="0.25">
      <c r="A56" s="38"/>
      <c r="B56" s="355"/>
      <c r="C56" s="356"/>
      <c r="D56" s="357"/>
      <c r="E56" s="339"/>
      <c r="F56" s="338"/>
      <c r="G56" s="338"/>
      <c r="H56" s="338"/>
      <c r="I56" s="338"/>
      <c r="J56" s="164" t="str">
        <f ca="1">IF(AND('Mapa final'!$AB$28="Alta",'Mapa final'!$AD$28="Leve"),CONCATENATE("R8C",'Mapa final'!$R$28),"")</f>
        <v/>
      </c>
      <c r="K56" s="193" t="str">
        <f>IF(AND('Mapa final'!$AB$29="Alta",'Mapa final'!$AD$29="Leve"),CONCATENATE("R8C",'Mapa final'!$R$29),"")</f>
        <v/>
      </c>
      <c r="L56" s="165" t="str">
        <f>IF(AND('Mapa final'!$AB$30="Alta",'Mapa final'!$AD$30="Leve"),CONCATENATE("R8C",'Mapa final'!$R$30),"")</f>
        <v/>
      </c>
      <c r="M56" s="164" t="str">
        <f ca="1">IF(AND('Mapa final'!$AB$28="Alta",'Mapa final'!$AD$28="Menor"),CONCATENATE("R8C",'Mapa final'!$R$28),"")</f>
        <v/>
      </c>
      <c r="N56" s="193" t="str">
        <f>IF(AND('Mapa final'!$AB$29="Alta",'Mapa final'!$AD$29="Menor"),CONCATENATE("R8C",'Mapa final'!$R$29),"")</f>
        <v/>
      </c>
      <c r="O56" s="165" t="str">
        <f>IF(AND('Mapa final'!$AB$30="Alta",'Mapa final'!$AD$30="Menor"),CONCATENATE("R8C",'Mapa final'!$R$30),"")</f>
        <v/>
      </c>
      <c r="P56" s="83" t="str">
        <f ca="1">IF(AND('Mapa final'!$AB$28="Alta",'Mapa final'!$AD$28="Moderado"),CONCATENATE("R8C",'Mapa final'!$R$28),"")</f>
        <v/>
      </c>
      <c r="Q56" s="195" t="str">
        <f>IF(AND('Mapa final'!$AB$29="Alta",'Mapa final'!$AD$29="Moderado"),CONCATENATE("R8C",'Mapa final'!$R$29),"")</f>
        <v/>
      </c>
      <c r="R56" s="84" t="str">
        <f>IF(AND('Mapa final'!$AB$30="Alta",'Mapa final'!$AD$30="Moderado"),CONCATENATE("R8C",'Mapa final'!$R$30),"")</f>
        <v/>
      </c>
      <c r="S56" s="83" t="str">
        <f ca="1">IF(AND('Mapa final'!$AB$28="Alta",'Mapa final'!$AD$28="Mayor"),CONCATENATE("R8C",'Mapa final'!$R$28),"")</f>
        <v/>
      </c>
      <c r="T56" s="195" t="str">
        <f>IF(AND('Mapa final'!$AB$29="Alta",'Mapa final'!$AD$29="Mayor"),CONCATENATE("R8C",'Mapa final'!$R$29),"")</f>
        <v/>
      </c>
      <c r="U56" s="84" t="str">
        <f>IF(AND('Mapa final'!$AB$30="Alta",'Mapa final'!$AD$30="Mayor"),CONCATENATE("R8C",'Mapa final'!$R$30),"")</f>
        <v/>
      </c>
      <c r="V56" s="159" t="str">
        <f ca="1">IF(AND('Mapa final'!$AB$28="Alta",'Mapa final'!$AD$28="Catastrófico"),CONCATENATE("R8C",'Mapa final'!$R$28),"")</f>
        <v/>
      </c>
      <c r="W56" s="194" t="str">
        <f>IF(AND('Mapa final'!$AB$29="Alta",'Mapa final'!$AD$29="Catastrófico"),CONCATENATE("R8C",'Mapa final'!$R$29),"")</f>
        <v/>
      </c>
      <c r="X56" s="160" t="str">
        <f>IF(AND('Mapa final'!$AB$30="Alta",'Mapa final'!$AD$30="Catastrófico"),CONCATENATE("R8C",'Mapa final'!$R$30),"")</f>
        <v/>
      </c>
      <c r="Y56" s="38"/>
      <c r="Z56" s="329"/>
      <c r="AA56" s="330"/>
      <c r="AB56" s="330"/>
      <c r="AC56" s="330"/>
      <c r="AD56" s="330"/>
      <c r="AE56" s="331"/>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row>
    <row r="57" spans="1:61" ht="12" customHeight="1" x14ac:dyDescent="0.25">
      <c r="A57" s="38"/>
      <c r="B57" s="355"/>
      <c r="C57" s="356"/>
      <c r="D57" s="357"/>
      <c r="E57" s="339"/>
      <c r="F57" s="338"/>
      <c r="G57" s="338"/>
      <c r="H57" s="338"/>
      <c r="I57" s="338"/>
      <c r="J57" s="164" t="str">
        <f ca="1">IF(AND('Mapa final'!$AB$31="Alta",'Mapa final'!$AD$31="Leve"),CONCATENATE("R9C",'Mapa final'!$R$31),"")</f>
        <v/>
      </c>
      <c r="K57" s="193" t="str">
        <f>IF(AND('Mapa final'!$AB$32="Alta",'Mapa final'!$AD$32="Leve"),CONCATENATE("R9C",'Mapa final'!$R$32),"")</f>
        <v/>
      </c>
      <c r="L57" s="165" t="str">
        <f>IF(AND('Mapa final'!$AB$33="Alta",'Mapa final'!$AD$33="Leve"),CONCATENATE("R9C",'Mapa final'!$R$33),"")</f>
        <v/>
      </c>
      <c r="M57" s="164" t="str">
        <f ca="1">IF(AND('Mapa final'!$AB$31="Alta",'Mapa final'!$AD$31="Menor"),CONCATENATE("R9C",'Mapa final'!$R$31),"")</f>
        <v/>
      </c>
      <c r="N57" s="193" t="str">
        <f>IF(AND('Mapa final'!$AB$32="Alta",'Mapa final'!$AD$32="Menor"),CONCATENATE("R9C",'Mapa final'!$R$32),"")</f>
        <v/>
      </c>
      <c r="O57" s="165" t="str">
        <f>IF(AND('Mapa final'!$AB$33="Alta",'Mapa final'!$AD$33="Menor"),CONCATENATE("R9C",'Mapa final'!$R$33),"")</f>
        <v/>
      </c>
      <c r="P57" s="83" t="str">
        <f ca="1">IF(AND('Mapa final'!$AB$31="Alta",'Mapa final'!$AD$31="Moderado"),CONCATENATE("R9C",'Mapa final'!$R$31),"")</f>
        <v/>
      </c>
      <c r="Q57" s="195" t="str">
        <f>IF(AND('Mapa final'!$AB$32="Alta",'Mapa final'!$AD$32="Moderado"),CONCATENATE("R9C",'Mapa final'!$R$32),"")</f>
        <v/>
      </c>
      <c r="R57" s="84" t="str">
        <f>IF(AND('Mapa final'!$AB$33="Alta",'Mapa final'!$AD$33="Moderado"),CONCATENATE("R9C",'Mapa final'!$R$33),"")</f>
        <v/>
      </c>
      <c r="S57" s="83" t="str">
        <f ca="1">IF(AND('Mapa final'!$AB$31="Alta",'Mapa final'!$AD$31="Mayor"),CONCATENATE("R9C",'Mapa final'!$R$31),"")</f>
        <v/>
      </c>
      <c r="T57" s="195" t="str">
        <f>IF(AND('Mapa final'!$AB$32="Alta",'Mapa final'!$AD$32="Mayor"),CONCATENATE("R9C",'Mapa final'!$R$32),"")</f>
        <v/>
      </c>
      <c r="U57" s="84" t="str">
        <f>IF(AND('Mapa final'!$AB$33="Alta",'Mapa final'!$AD$33="Mayor"),CONCATENATE("R9C",'Mapa final'!$R$33),"")</f>
        <v/>
      </c>
      <c r="V57" s="159" t="str">
        <f ca="1">IF(AND('Mapa final'!$AB$31="Alta",'Mapa final'!$AD$31="Catastrófico"),CONCATENATE("R9C",'Mapa final'!$R$31),"")</f>
        <v/>
      </c>
      <c r="W57" s="194" t="str">
        <f>IF(AND('Mapa final'!$AB$32="Alta",'Mapa final'!$AD$32="Catastrófico"),CONCATENATE("R9C",'Mapa final'!$R$32),"")</f>
        <v/>
      </c>
      <c r="X57" s="160" t="str">
        <f>IF(AND('Mapa final'!$AB$33="Alta",'Mapa final'!$AD$33="Catastrófico"),CONCATENATE("R9C",'Mapa final'!$R$33),"")</f>
        <v/>
      </c>
      <c r="Y57" s="38"/>
      <c r="Z57" s="329"/>
      <c r="AA57" s="330"/>
      <c r="AB57" s="330"/>
      <c r="AC57" s="330"/>
      <c r="AD57" s="330"/>
      <c r="AE57" s="331"/>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row>
    <row r="58" spans="1:61" ht="12" customHeight="1" x14ac:dyDescent="0.25">
      <c r="A58" s="38"/>
      <c r="B58" s="355"/>
      <c r="C58" s="356"/>
      <c r="D58" s="357"/>
      <c r="E58" s="339"/>
      <c r="F58" s="338"/>
      <c r="G58" s="338"/>
      <c r="H58" s="338"/>
      <c r="I58" s="338"/>
      <c r="J58" s="164" t="str">
        <f ca="1">IF(AND('Mapa final'!$AB$34="Alta",'Mapa final'!$AD$34="Leve"),CONCATENATE("R10C",'Mapa final'!$R$34),"")</f>
        <v/>
      </c>
      <c r="K58" s="193" t="str">
        <f>IF(AND('Mapa final'!$AB$35="Alta",'Mapa final'!$AD$35="Leve"),CONCATENATE("R10C",'Mapa final'!$R$35),"")</f>
        <v/>
      </c>
      <c r="L58" s="165" t="str">
        <f>IF(AND('Mapa final'!$AB$36="Alta",'Mapa final'!$AD$36="Leve"),CONCATENATE("R10C",'Mapa final'!$R$36),"")</f>
        <v/>
      </c>
      <c r="M58" s="164" t="str">
        <f ca="1">IF(AND('Mapa final'!$AB$34="Alta",'Mapa final'!$AD$34="Menor"),CONCATENATE("R10C",'Mapa final'!$R$34),"")</f>
        <v/>
      </c>
      <c r="N58" s="193" t="str">
        <f>IF(AND('Mapa final'!$AB$35="Alta",'Mapa final'!$AD$35="Menor"),CONCATENATE("R10C",'Mapa final'!$R$35),"")</f>
        <v/>
      </c>
      <c r="O58" s="165" t="str">
        <f>IF(AND('Mapa final'!$AB$36="Alta",'Mapa final'!$AD$36="Menor"),CONCATENATE("R10C",'Mapa final'!$R$36),"")</f>
        <v/>
      </c>
      <c r="P58" s="83" t="str">
        <f ca="1">IF(AND('Mapa final'!$AB$34="Alta",'Mapa final'!$AD$34="Moderado"),CONCATENATE("R10C",'Mapa final'!$R$34),"")</f>
        <v/>
      </c>
      <c r="Q58" s="195" t="str">
        <f>IF(AND('Mapa final'!$AB$35="Alta",'Mapa final'!$AD$35="Moderado"),CONCATENATE("R10C",'Mapa final'!$R$35),"")</f>
        <v/>
      </c>
      <c r="R58" s="84" t="str">
        <f>IF(AND('Mapa final'!$AB$36="Alta",'Mapa final'!$AD$36="Moderado"),CONCATENATE("R10C",'Mapa final'!$R$36),"")</f>
        <v/>
      </c>
      <c r="S58" s="83" t="str">
        <f ca="1">IF(AND('Mapa final'!$AB$34="Alta",'Mapa final'!$AD$34="Mayor"),CONCATENATE("R10C",'Mapa final'!$R$34),"")</f>
        <v/>
      </c>
      <c r="T58" s="195" t="str">
        <f>IF(AND('Mapa final'!$AB$35="Alta",'Mapa final'!$AD$35="Mayor"),CONCATENATE("R10C",'Mapa final'!$R$35),"")</f>
        <v/>
      </c>
      <c r="U58" s="84" t="str">
        <f>IF(AND('Mapa final'!$AB$36="Alta",'Mapa final'!$AD$36="Mayor"),CONCATENATE("R10C",'Mapa final'!$R$36),"")</f>
        <v/>
      </c>
      <c r="V58" s="159" t="str">
        <f ca="1">IF(AND('Mapa final'!$AB$34="Alta",'Mapa final'!$AD$34="Catastrófico"),CONCATENATE("R10C",'Mapa final'!$R$34),"")</f>
        <v/>
      </c>
      <c r="W58" s="194" t="str">
        <f>IF(AND('Mapa final'!$AB$35="Alta",'Mapa final'!$AD$35="Catastrófico"),CONCATENATE("R10C",'Mapa final'!$R$35),"")</f>
        <v/>
      </c>
      <c r="X58" s="160" t="str">
        <f>IF(AND('Mapa final'!$AB$36="Alta",'Mapa final'!$AD$36="Catastrófico"),CONCATENATE("R10C",'Mapa final'!$R$36),"")</f>
        <v/>
      </c>
      <c r="Y58" s="38"/>
      <c r="Z58" s="329"/>
      <c r="AA58" s="330"/>
      <c r="AB58" s="330"/>
      <c r="AC58" s="330"/>
      <c r="AD58" s="330"/>
      <c r="AE58" s="331"/>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row>
    <row r="59" spans="1:61" ht="12" customHeight="1" x14ac:dyDescent="0.25">
      <c r="A59" s="38"/>
      <c r="B59" s="355"/>
      <c r="C59" s="356"/>
      <c r="D59" s="357"/>
      <c r="E59" s="339"/>
      <c r="F59" s="338"/>
      <c r="G59" s="338"/>
      <c r="H59" s="338"/>
      <c r="I59" s="338"/>
      <c r="J59" s="164" t="str">
        <f ca="1">IF(AND('Mapa final'!$AB$37="Alta",'Mapa final'!$AD$37="Leve"),CONCATENATE("R11C",'Mapa final'!$R$37),"")</f>
        <v/>
      </c>
      <c r="K59" s="193" t="str">
        <f>IF(AND('Mapa final'!$AB$38="Alta",'Mapa final'!$AD$38="Leve"),CONCATENATE("R11C",'Mapa final'!$R$38),"")</f>
        <v/>
      </c>
      <c r="L59" s="165" t="str">
        <f>IF(AND('Mapa final'!$AB$39="Alta",'Mapa final'!$AD$39="Leve"),CONCATENATE("R11C",'Mapa final'!$R$39),"")</f>
        <v/>
      </c>
      <c r="M59" s="164" t="str">
        <f ca="1">IF(AND('Mapa final'!$AB$37="Alta",'Mapa final'!$AD$37="Menor"),CONCATENATE("R11C",'Mapa final'!$R$37),"")</f>
        <v/>
      </c>
      <c r="N59" s="193" t="str">
        <f>IF(AND('Mapa final'!$AB$38="Alta",'Mapa final'!$AD$38="Menor"),CONCATENATE("R11C",'Mapa final'!$R$38),"")</f>
        <v/>
      </c>
      <c r="O59" s="165" t="str">
        <f>IF(AND('Mapa final'!$AB$39="Alta",'Mapa final'!$AD$39="Menor"),CONCATENATE("R11C",'Mapa final'!$R$39),"")</f>
        <v/>
      </c>
      <c r="P59" s="83" t="str">
        <f ca="1">IF(AND('Mapa final'!$AB$37="Alta",'Mapa final'!$AD$37="Moderado"),CONCATENATE("R11C",'Mapa final'!$R$37),"")</f>
        <v/>
      </c>
      <c r="Q59" s="195" t="str">
        <f>IF(AND('Mapa final'!$AB$38="Alta",'Mapa final'!$AD$38="Moderado"),CONCATENATE("R11C",'Mapa final'!$R$38),"")</f>
        <v/>
      </c>
      <c r="R59" s="84" t="str">
        <f>IF(AND('Mapa final'!$AB$39="Alta",'Mapa final'!$AD$39="Moderado"),CONCATENATE("R11C",'Mapa final'!$R$39),"")</f>
        <v/>
      </c>
      <c r="S59" s="83" t="str">
        <f ca="1">IF(AND('Mapa final'!$AB$37="Alta",'Mapa final'!$AD$37="Mayor"),CONCATENATE("R11C",'Mapa final'!$R$37),"")</f>
        <v/>
      </c>
      <c r="T59" s="195" t="str">
        <f>IF(AND('Mapa final'!$AB$38="Alta",'Mapa final'!$AD$38="Mayor"),CONCATENATE("R11C",'Mapa final'!$R$38),"")</f>
        <v/>
      </c>
      <c r="U59" s="84" t="str">
        <f>IF(AND('Mapa final'!$AB$39="Alta",'Mapa final'!$AD$39="Mayor"),CONCATENATE("R11C",'Mapa final'!$R$39),"")</f>
        <v/>
      </c>
      <c r="V59" s="159" t="str">
        <f ca="1">IF(AND('Mapa final'!$AB$37="Alta",'Mapa final'!$AD$37="Catastrófico"),CONCATENATE("R11C",'Mapa final'!$R$37),"")</f>
        <v/>
      </c>
      <c r="W59" s="194" t="str">
        <f>IF(AND('Mapa final'!$AB$38="Alta",'Mapa final'!$AD$38="Catastrófico"),CONCATENATE("R11C",'Mapa final'!$R$38),"")</f>
        <v/>
      </c>
      <c r="X59" s="160" t="str">
        <f>IF(AND('Mapa final'!$AB$39="Alta",'Mapa final'!$AD$39="Catastrófico"),CONCATENATE("R11C",'Mapa final'!$R$39),"")</f>
        <v/>
      </c>
      <c r="Y59" s="38"/>
      <c r="Z59" s="329"/>
      <c r="AA59" s="330"/>
      <c r="AB59" s="330"/>
      <c r="AC59" s="330"/>
      <c r="AD59" s="330"/>
      <c r="AE59" s="331"/>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row>
    <row r="60" spans="1:61" ht="12" customHeight="1" x14ac:dyDescent="0.25">
      <c r="A60" s="38"/>
      <c r="B60" s="355"/>
      <c r="C60" s="356"/>
      <c r="D60" s="357"/>
      <c r="E60" s="339"/>
      <c r="F60" s="338"/>
      <c r="G60" s="338"/>
      <c r="H60" s="338"/>
      <c r="I60" s="338"/>
      <c r="J60" s="164" t="str">
        <f>IF(AND('Mapa final'!$AB$40="Alta",'Mapa final'!$AD$40="Leve"),CONCATENATE("R11C",'Mapa final'!$R$40),"")</f>
        <v/>
      </c>
      <c r="K60" s="193" t="str">
        <f ca="1">IF(AND('Mapa final'!$AB$41="Alta",'Mapa final'!$AD$41="Leve"),CONCATENATE("R12C",'Mapa final'!$R$41),"")</f>
        <v/>
      </c>
      <c r="L60" s="165" t="str">
        <f>IF(AND('Mapa final'!$AB$42="Alta",'Mapa final'!$AD$42="Leve"),CONCATENATE("R12C",'Mapa final'!$R$42),"")</f>
        <v/>
      </c>
      <c r="M60" s="164" t="str">
        <f>IF(AND('Mapa final'!$AB$40="Alta",'Mapa final'!$AD$40="Menor"),CONCATENATE("R11C",'Mapa final'!$R$40),"")</f>
        <v/>
      </c>
      <c r="N60" s="193" t="str">
        <f ca="1">IF(AND('Mapa final'!$AB$41="Alta",'Mapa final'!$AD$41="Menor"),CONCATENATE("R12C",'Mapa final'!$R$41),"")</f>
        <v/>
      </c>
      <c r="O60" s="165" t="str">
        <f>IF(AND('Mapa final'!$AB$42="Alta",'Mapa final'!$AD$42="Menor"),CONCATENATE("R12C",'Mapa final'!$R$42),"")</f>
        <v/>
      </c>
      <c r="P60" s="83" t="str">
        <f>IF(AND('Mapa final'!$AB$40="Alta",'Mapa final'!$AD$40="Moderado"),CONCATENATE("R11C",'Mapa final'!$R$40),"")</f>
        <v/>
      </c>
      <c r="Q60" s="195" t="str">
        <f ca="1">IF(AND('Mapa final'!$AB$41="Alta",'Mapa final'!$AD$41="Moderado"),CONCATENATE("R12C",'Mapa final'!$R$41),"")</f>
        <v/>
      </c>
      <c r="R60" s="84" t="str">
        <f>IF(AND('Mapa final'!$AB$42="Alta",'Mapa final'!$AD$42="Moderado"),CONCATENATE("R12C",'Mapa final'!$R$42),"")</f>
        <v/>
      </c>
      <c r="S60" s="83" t="str">
        <f>IF(AND('Mapa final'!$AB$40="Alta",'Mapa final'!$AD$40="Mayor"),CONCATENATE("R11C",'Mapa final'!$R$40),"")</f>
        <v/>
      </c>
      <c r="T60" s="195" t="str">
        <f ca="1">IF(AND('Mapa final'!$AB$41="Alta",'Mapa final'!$AD$41="Mayor"),CONCATENATE("R12C",'Mapa final'!$R$41),"")</f>
        <v/>
      </c>
      <c r="U60" s="84" t="str">
        <f>IF(AND('Mapa final'!$AB$42="Alta",'Mapa final'!$AD$42="Mayor"),CONCATENATE("R12C",'Mapa final'!$R$42),"")</f>
        <v/>
      </c>
      <c r="V60" s="159" t="str">
        <f>IF(AND('Mapa final'!$AB$40="Alta",'Mapa final'!$AD$40="Catastrófico"),CONCATENATE("R11C",'Mapa final'!$R$40),"")</f>
        <v/>
      </c>
      <c r="W60" s="194" t="str">
        <f ca="1">IF(AND('Mapa final'!$AB$41="Alta",'Mapa final'!$AD$41="Catastrófico"),CONCATENATE("R12C",'Mapa final'!$R$41),"")</f>
        <v/>
      </c>
      <c r="X60" s="160" t="str">
        <f>IF(AND('Mapa final'!$AB$42="Alta",'Mapa final'!$AD$42="Catastrófico"),CONCATENATE("R12C",'Mapa final'!$R$42),"")</f>
        <v/>
      </c>
      <c r="Y60" s="38"/>
      <c r="Z60" s="329"/>
      <c r="AA60" s="330"/>
      <c r="AB60" s="330"/>
      <c r="AC60" s="330"/>
      <c r="AD60" s="330"/>
      <c r="AE60" s="331"/>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row>
    <row r="61" spans="1:61" ht="12" customHeight="1" x14ac:dyDescent="0.25">
      <c r="A61" s="38"/>
      <c r="B61" s="355"/>
      <c r="C61" s="356"/>
      <c r="D61" s="357"/>
      <c r="E61" s="339"/>
      <c r="F61" s="338"/>
      <c r="G61" s="338"/>
      <c r="H61" s="338"/>
      <c r="I61" s="338"/>
      <c r="J61" s="164" t="str">
        <f>IF(AND('Mapa final'!$AB$43="Alta",'Mapa final'!$AD$43="Leve"),CONCATENATE("R12C",'Mapa final'!$R$43),"")</f>
        <v/>
      </c>
      <c r="K61" s="193" t="str">
        <f ca="1">IF(AND('Mapa final'!$AB$44="Alta",'Mapa final'!$AD$44="Leve"),CONCATENATE("R13C",'Mapa final'!$R$44),"")</f>
        <v/>
      </c>
      <c r="L61" s="165" t="str">
        <f>IF(AND('Mapa final'!$AB$45="Alta",'Mapa final'!$AD$45="Leve"),CONCATENATE("R13C",'Mapa final'!$R$45),"")</f>
        <v/>
      </c>
      <c r="M61" s="164" t="str">
        <f>IF(AND('Mapa final'!$AB$43="Alta",'Mapa final'!$AD$43="Menor"),CONCATENATE("R12C",'Mapa final'!$R$43),"")</f>
        <v/>
      </c>
      <c r="N61" s="193" t="str">
        <f ca="1">IF(AND('Mapa final'!$AB$44="Alta",'Mapa final'!$AD$44="Menor"),CONCATENATE("R13C",'Mapa final'!$R$44),"")</f>
        <v/>
      </c>
      <c r="O61" s="165" t="str">
        <f>IF(AND('Mapa final'!$AB$45="Alta",'Mapa final'!$AD$45="Menor"),CONCATENATE("R13C",'Mapa final'!$R$45),"")</f>
        <v/>
      </c>
      <c r="P61" s="83" t="str">
        <f>IF(AND('Mapa final'!$AB$43="Alta",'Mapa final'!$AD$43="Moderado"),CONCATENATE("R12C",'Mapa final'!$R$43),"")</f>
        <v/>
      </c>
      <c r="Q61" s="195" t="str">
        <f ca="1">IF(AND('Mapa final'!$AB$44="Alta",'Mapa final'!$AD$44="Moderado"),CONCATENATE("R13C",'Mapa final'!$R$44),"")</f>
        <v/>
      </c>
      <c r="R61" s="84" t="str">
        <f>IF(AND('Mapa final'!$AB$45="Alta",'Mapa final'!$AD$45="Moderado"),CONCATENATE("R13C",'Mapa final'!$R$45),"")</f>
        <v/>
      </c>
      <c r="S61" s="83" t="str">
        <f>IF(AND('Mapa final'!$AB$43="Alta",'Mapa final'!$AD$43="Mayor"),CONCATENATE("R12C",'Mapa final'!$R$43),"")</f>
        <v/>
      </c>
      <c r="T61" s="195" t="str">
        <f ca="1">IF(AND('Mapa final'!$AB$44="Alta",'Mapa final'!$AD$44="Mayor"),CONCATENATE("R13C",'Mapa final'!$R$44),"")</f>
        <v/>
      </c>
      <c r="U61" s="84" t="str">
        <f>IF(AND('Mapa final'!$AB$45="Alta",'Mapa final'!$AD$45="Mayor"),CONCATENATE("R13C",'Mapa final'!$R$45),"")</f>
        <v/>
      </c>
      <c r="V61" s="159" t="str">
        <f>IF(AND('Mapa final'!$AB$43="Alta",'Mapa final'!$AD$43="Catastrófico"),CONCATENATE("R12C",'Mapa final'!$R$43),"")</f>
        <v/>
      </c>
      <c r="W61" s="194" t="str">
        <f ca="1">IF(AND('Mapa final'!$AB$44="Alta",'Mapa final'!$AD$44="Catastrófico"),CONCATENATE("R13C",'Mapa final'!$R$44),"")</f>
        <v/>
      </c>
      <c r="X61" s="160" t="str">
        <f>IF(AND('Mapa final'!$AB$45="Alta",'Mapa final'!$AD$45="Catastrófico"),CONCATENATE("R13C",'Mapa final'!$R$45),"")</f>
        <v/>
      </c>
      <c r="Y61" s="38"/>
      <c r="Z61" s="329"/>
      <c r="AA61" s="330"/>
      <c r="AB61" s="330"/>
      <c r="AC61" s="330"/>
      <c r="AD61" s="330"/>
      <c r="AE61" s="331"/>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row>
    <row r="62" spans="1:61" ht="15" customHeight="1" x14ac:dyDescent="0.25">
      <c r="A62" s="38"/>
      <c r="B62" s="355"/>
      <c r="C62" s="356"/>
      <c r="D62" s="357"/>
      <c r="E62" s="339"/>
      <c r="F62" s="338"/>
      <c r="G62" s="338"/>
      <c r="H62" s="338"/>
      <c r="I62" s="338"/>
      <c r="J62" s="164" t="str">
        <f>IF(AND('Mapa final'!$AB$46="Alta",'Mapa final'!$AD$46="Leve"),CONCATENATE("R13C",'Mapa final'!$R$46),"")</f>
        <v/>
      </c>
      <c r="K62" s="193" t="str">
        <f>IF(AND('Mapa final'!$AB$47="Alta",'Mapa final'!$AD$47="Leve"),CONCATENATE("R13C",'Mapa final'!$R$47),"")</f>
        <v/>
      </c>
      <c r="L62" s="165" t="str">
        <f>IF(AND('Mapa final'!$AB$48="Alta",'Mapa final'!$AD$48="Leve"),CONCATENATE("R13C",'Mapa final'!$R$48),"")</f>
        <v/>
      </c>
      <c r="M62" s="164" t="str">
        <f>IF(AND('Mapa final'!$AB$46="Alta",'Mapa final'!$AD$46="Menor"),CONCATENATE("R13C",'Mapa final'!$R$46),"")</f>
        <v/>
      </c>
      <c r="N62" s="193" t="str">
        <f>IF(AND('Mapa final'!$AB$47="Alta",'Mapa final'!$AD$47="Menor"),CONCATENATE("R13C",'Mapa final'!$R$47),"")</f>
        <v/>
      </c>
      <c r="O62" s="165" t="str">
        <f>IF(AND('Mapa final'!$AB$48="Alta",'Mapa final'!$AD$48="Menor"),CONCATENATE("R13C",'Mapa final'!$R$48),"")</f>
        <v/>
      </c>
      <c r="P62" s="83" t="str">
        <f>IF(AND('Mapa final'!$AB$46="Alta",'Mapa final'!$AD$46="Moderado"),CONCATENATE("R13C",'Mapa final'!$R$46),"")</f>
        <v/>
      </c>
      <c r="Q62" s="195" t="str">
        <f>IF(AND('Mapa final'!$AB$47="Alta",'Mapa final'!$AD$47="Moderado"),CONCATENATE("R13C",'Mapa final'!$R$47),"")</f>
        <v/>
      </c>
      <c r="R62" s="84" t="str">
        <f>IF(AND('Mapa final'!$AB$48="Alta",'Mapa final'!$AD$48="Moderado"),CONCATENATE("R13C",'Mapa final'!$R$48),"")</f>
        <v/>
      </c>
      <c r="S62" s="83" t="str">
        <f>IF(AND('Mapa final'!$AB$46="Alta",'Mapa final'!$AD$46="Mayor"),CONCATENATE("R13C",'Mapa final'!$R$46),"")</f>
        <v/>
      </c>
      <c r="T62" s="195" t="str">
        <f>IF(AND('Mapa final'!$AB$47="Alta",'Mapa final'!$AD$47="Mayor"),CONCATENATE("R13C",'Mapa final'!$R$47),"")</f>
        <v/>
      </c>
      <c r="U62" s="84" t="str">
        <f>IF(AND('Mapa final'!$AB$48="Alta",'Mapa final'!$AD$48="Mayor"),CONCATENATE("R13C",'Mapa final'!$R$48),"")</f>
        <v/>
      </c>
      <c r="V62" s="159" t="str">
        <f>IF(AND('Mapa final'!$AB$46="Alta",'Mapa final'!$AD$46="Catastrófico"),CONCATENATE("R13C",'Mapa final'!$R$46),"")</f>
        <v/>
      </c>
      <c r="W62" s="194" t="str">
        <f>IF(AND('Mapa final'!$AB$47="Alta",'Mapa final'!$AD$47="Catastrófico"),CONCATENATE("R13C",'Mapa final'!$R$47),"")</f>
        <v/>
      </c>
      <c r="X62" s="160" t="str">
        <f>IF(AND('Mapa final'!$AB$48="Alta",'Mapa final'!$AD$48="Catastrófico"),CONCATENATE("R13C",'Mapa final'!$R$48),"")</f>
        <v/>
      </c>
      <c r="Y62" s="38"/>
      <c r="Z62" s="329"/>
      <c r="AA62" s="330"/>
      <c r="AB62" s="330"/>
      <c r="AC62" s="330"/>
      <c r="AD62" s="330"/>
      <c r="AE62" s="331"/>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row>
    <row r="63" spans="1:61" ht="15" customHeight="1" x14ac:dyDescent="0.25">
      <c r="A63" s="38"/>
      <c r="B63" s="355"/>
      <c r="C63" s="356"/>
      <c r="D63" s="357"/>
      <c r="E63" s="339"/>
      <c r="F63" s="338"/>
      <c r="G63" s="338"/>
      <c r="H63" s="338"/>
      <c r="I63" s="338"/>
      <c r="J63" s="164" t="str">
        <f ca="1">IF(AND('Mapa final'!$AB$49="Alta",'Mapa final'!$AD$49="Leve"),CONCATENATE("R14C",'Mapa final'!$R$49),"")</f>
        <v/>
      </c>
      <c r="K63" s="193" t="str">
        <f>IF(AND('Mapa final'!$AB$50="Alta",'Mapa final'!$AD$50="Leve"),CONCATENATE("R14C",'Mapa final'!$R$50),"")</f>
        <v/>
      </c>
      <c r="L63" s="165" t="str">
        <f>IF(AND('Mapa final'!$AB$51="Alta",'Mapa final'!$AD$51="Leve"),CONCATENATE("R14C",'Mapa final'!$R$51),"")</f>
        <v/>
      </c>
      <c r="M63" s="164" t="str">
        <f ca="1">IF(AND('Mapa final'!$AB$49="Alta",'Mapa final'!$AD$49="Menor"),CONCATENATE("R14C",'Mapa final'!$R$49),"")</f>
        <v/>
      </c>
      <c r="N63" s="193" t="str">
        <f>IF(AND('Mapa final'!$AB$50="Alta",'Mapa final'!$AD$50="Menor"),CONCATENATE("R14C",'Mapa final'!$R$50),"")</f>
        <v/>
      </c>
      <c r="O63" s="165" t="str">
        <f>IF(AND('Mapa final'!$AB$51="Alta",'Mapa final'!$AD$51="Menor"),CONCATENATE("R14C",'Mapa final'!$R$51),"")</f>
        <v/>
      </c>
      <c r="P63" s="83" t="str">
        <f ca="1">IF(AND('Mapa final'!$AB$49="Alta",'Mapa final'!$AD$49="Moderado"),CONCATENATE("R14C",'Mapa final'!$R$49),"")</f>
        <v/>
      </c>
      <c r="Q63" s="195" t="str">
        <f>IF(AND('Mapa final'!$AB$50="Alta",'Mapa final'!$AD$50="Moderado"),CONCATENATE("R14C",'Mapa final'!$R$50),"")</f>
        <v/>
      </c>
      <c r="R63" s="84" t="str">
        <f>IF(AND('Mapa final'!$AB$51="Alta",'Mapa final'!$AD$51="Moderado"),CONCATENATE("R14C",'Mapa final'!$R$51),"")</f>
        <v/>
      </c>
      <c r="S63" s="83" t="str">
        <f ca="1">IF(AND('Mapa final'!$AB$49="Alta",'Mapa final'!$AD$49="Mayor"),CONCATENATE("R14C",'Mapa final'!$R$49),"")</f>
        <v/>
      </c>
      <c r="T63" s="195" t="str">
        <f>IF(AND('Mapa final'!$AB$50="Alta",'Mapa final'!$AD$50="Mayor"),CONCATENATE("R14C",'Mapa final'!$R$50),"")</f>
        <v/>
      </c>
      <c r="U63" s="84" t="str">
        <f>IF(AND('Mapa final'!$AB$51="Alta",'Mapa final'!$AD$51="Mayor"),CONCATENATE("R14C",'Mapa final'!$R$51),"")</f>
        <v/>
      </c>
      <c r="V63" s="159" t="str">
        <f ca="1">IF(AND('Mapa final'!$AB$49="Alta",'Mapa final'!$AD$49="Catastrófico"),CONCATENATE("R14C",'Mapa final'!$R$49),"")</f>
        <v/>
      </c>
      <c r="W63" s="194" t="str">
        <f>IF(AND('Mapa final'!$AB$50="Alta",'Mapa final'!$AD$50="Catastrófico"),CONCATENATE("R14C",'Mapa final'!$R$50),"")</f>
        <v/>
      </c>
      <c r="X63" s="160" t="str">
        <f>IF(AND('Mapa final'!$AB$51="Alta",'Mapa final'!$AD$51="Catastrófico"),CONCATENATE("R14C",'Mapa final'!$R$51),"")</f>
        <v/>
      </c>
      <c r="Y63" s="38"/>
      <c r="Z63" s="329"/>
      <c r="AA63" s="330"/>
      <c r="AB63" s="330"/>
      <c r="AC63" s="330"/>
      <c r="AD63" s="330"/>
      <c r="AE63" s="331"/>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row>
    <row r="64" spans="1:61" ht="15" customHeight="1" x14ac:dyDescent="0.25">
      <c r="A64" s="38"/>
      <c r="B64" s="355"/>
      <c r="C64" s="356"/>
      <c r="D64" s="357"/>
      <c r="E64" s="339"/>
      <c r="F64" s="338"/>
      <c r="G64" s="338"/>
      <c r="H64" s="338"/>
      <c r="I64" s="338"/>
      <c r="J64" s="164" t="str">
        <f ca="1">IF(AND('Mapa final'!$AB$52="Alta",'Mapa final'!$AD$52="Leve"),CONCATENATE("R15C",'Mapa final'!$R$52),"")</f>
        <v/>
      </c>
      <c r="K64" s="193" t="str">
        <f>IF(AND('Mapa final'!$AB$53="Alta",'Mapa final'!$AD$53="Leve"),CONCATENATE("R15C",'Mapa final'!$R$53),"")</f>
        <v/>
      </c>
      <c r="L64" s="165" t="str">
        <f>IF(AND('Mapa final'!$AB$54="Alta",'Mapa final'!$AD$54="Leve"),CONCATENATE("R15C",'Mapa final'!$R$54),"")</f>
        <v/>
      </c>
      <c r="M64" s="164" t="str">
        <f ca="1">IF(AND('Mapa final'!$AB$52="Alta",'Mapa final'!$AD$52="Menor"),CONCATENATE("R15C",'Mapa final'!$R$52),"")</f>
        <v/>
      </c>
      <c r="N64" s="193" t="str">
        <f>IF(AND('Mapa final'!$AB$53="Alta",'Mapa final'!$AD$53="Menor"),CONCATENATE("R15C",'Mapa final'!$R$53),"")</f>
        <v/>
      </c>
      <c r="O64" s="165" t="str">
        <f>IF(AND('Mapa final'!$AB$54="Alta",'Mapa final'!$AD$54="Menor"),CONCATENATE("R15C",'Mapa final'!$R$54),"")</f>
        <v/>
      </c>
      <c r="P64" s="83" t="str">
        <f ca="1">IF(AND('Mapa final'!$AB$52="Alta",'Mapa final'!$AD$52="Moderado"),CONCATENATE("R15C",'Mapa final'!$R$52),"")</f>
        <v/>
      </c>
      <c r="Q64" s="195" t="str">
        <f>IF(AND('Mapa final'!$AB$53="Alta",'Mapa final'!$AD$53="Moderado"),CONCATENATE("R15C",'Mapa final'!$R$53),"")</f>
        <v/>
      </c>
      <c r="R64" s="84" t="str">
        <f>IF(AND('Mapa final'!$AB$54="Alta",'Mapa final'!$AD$54="Moderado"),CONCATENATE("R15C",'Mapa final'!$R$54),"")</f>
        <v/>
      </c>
      <c r="S64" s="83" t="str">
        <f ca="1">IF(AND('Mapa final'!$AB$52="Alta",'Mapa final'!$AD$52="Mayor"),CONCATENATE("R15C",'Mapa final'!$R$52),"")</f>
        <v/>
      </c>
      <c r="T64" s="195" t="str">
        <f>IF(AND('Mapa final'!$AB$53="Alta",'Mapa final'!$AD$53="Mayor"),CONCATENATE("R15C",'Mapa final'!$R$53),"")</f>
        <v/>
      </c>
      <c r="U64" s="84" t="str">
        <f>IF(AND('Mapa final'!$AB$54="Alta",'Mapa final'!$AD$54="Mayor"),CONCATENATE("R15C",'Mapa final'!$R$54),"")</f>
        <v/>
      </c>
      <c r="V64" s="159" t="str">
        <f ca="1">IF(AND('Mapa final'!$AB$52="Alta",'Mapa final'!$AD$52="Catastrófico"),CONCATENATE("R15C",'Mapa final'!$R$52),"")</f>
        <v/>
      </c>
      <c r="W64" s="194" t="str">
        <f>IF(AND('Mapa final'!$AB$53="Alta",'Mapa final'!$AD$53="Catastrófico"),CONCATENATE("R15C",'Mapa final'!$R$53),"")</f>
        <v/>
      </c>
      <c r="X64" s="160" t="str">
        <f>IF(AND('Mapa final'!$AB$54="Alta",'Mapa final'!$AD$54="Catastrófico"),CONCATENATE("R15C",'Mapa final'!$R$54),"")</f>
        <v/>
      </c>
      <c r="Y64" s="38"/>
      <c r="Z64" s="329"/>
      <c r="AA64" s="330"/>
      <c r="AB64" s="330"/>
      <c r="AC64" s="330"/>
      <c r="AD64" s="330"/>
      <c r="AE64" s="331"/>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row>
    <row r="65" spans="1:61" ht="15" customHeight="1" x14ac:dyDescent="0.25">
      <c r="A65" s="38"/>
      <c r="B65" s="355"/>
      <c r="C65" s="356"/>
      <c r="D65" s="357"/>
      <c r="E65" s="339"/>
      <c r="F65" s="338"/>
      <c r="G65" s="338"/>
      <c r="H65" s="338"/>
      <c r="I65" s="338"/>
      <c r="J65" s="164" t="str">
        <f ca="1">IF(AND('Mapa final'!$AB$55="Alta",'Mapa final'!$AD$55="Leve"),CONCATENATE("R16C",'Mapa final'!$R$55),"")</f>
        <v/>
      </c>
      <c r="K65" s="193" t="str">
        <f>IF(AND('Mapa final'!$AB$56="Alta",'Mapa final'!$AD$56="Leve"),CONCATENATE("R16C",'Mapa final'!$R$56),"")</f>
        <v/>
      </c>
      <c r="L65" s="165" t="str">
        <f>IF(AND('Mapa final'!$AB$57="Alta",'Mapa final'!$AD$57="Leve"),CONCATENATE("R16C",'Mapa final'!$R$57),"")</f>
        <v/>
      </c>
      <c r="M65" s="164" t="str">
        <f ca="1">IF(AND('Mapa final'!$AB$55="Alta",'Mapa final'!$AD$55="Menor"),CONCATENATE("R16C",'Mapa final'!$R$55),"")</f>
        <v/>
      </c>
      <c r="N65" s="193" t="str">
        <f>IF(AND('Mapa final'!$AB$56="Alta",'Mapa final'!$AD$56="Menor"),CONCATENATE("R16C",'Mapa final'!$R$56),"")</f>
        <v/>
      </c>
      <c r="O65" s="165" t="str">
        <f>IF(AND('Mapa final'!$AB$57="Alta",'Mapa final'!$AD$57="Menor"),CONCATENATE("R16C",'Mapa final'!$R$57),"")</f>
        <v/>
      </c>
      <c r="P65" s="83" t="str">
        <f ca="1">IF(AND('Mapa final'!$AB$55="Alta",'Mapa final'!$AD$55="Moderado"),CONCATENATE("R16C",'Mapa final'!$R$55),"")</f>
        <v/>
      </c>
      <c r="Q65" s="195" t="str">
        <f>IF(AND('Mapa final'!$AB$56="Alta",'Mapa final'!$AD$56="Moderado"),CONCATENATE("R16C",'Mapa final'!$R$56),"")</f>
        <v/>
      </c>
      <c r="R65" s="84" t="str">
        <f>IF(AND('Mapa final'!$AB$57="Alta",'Mapa final'!$AD$57="Moderado"),CONCATENATE("R16C",'Mapa final'!$R$57),"")</f>
        <v/>
      </c>
      <c r="S65" s="83" t="str">
        <f ca="1">IF(AND('Mapa final'!$AB$55="Alta",'Mapa final'!$AD$55="Mayor"),CONCATENATE("R16C",'Mapa final'!$R$55),"")</f>
        <v/>
      </c>
      <c r="T65" s="195" t="str">
        <f>IF(AND('Mapa final'!$AB$56="Alta",'Mapa final'!$AD$56="Mayor"),CONCATENATE("R16C",'Mapa final'!$R$56),"")</f>
        <v/>
      </c>
      <c r="U65" s="84" t="str">
        <f>IF(AND('Mapa final'!$AB$57="Alta",'Mapa final'!$AD$57="Mayor"),CONCATENATE("R16C",'Mapa final'!$R$57),"")</f>
        <v/>
      </c>
      <c r="V65" s="159" t="str">
        <f ca="1">IF(AND('Mapa final'!$AB$55="Alta",'Mapa final'!$AD$55="Catastrófico"),CONCATENATE("R16C",'Mapa final'!$R$55),"")</f>
        <v/>
      </c>
      <c r="W65" s="194" t="str">
        <f>IF(AND('Mapa final'!$AB$56="Alta",'Mapa final'!$AD$56="Catastrófico"),CONCATENATE("R16C",'Mapa final'!$R$56),"")</f>
        <v/>
      </c>
      <c r="X65" s="160" t="str">
        <f>IF(AND('Mapa final'!$AB$57="Alta",'Mapa final'!$AD$57="Catastrófico"),CONCATENATE("R16C",'Mapa final'!$R$57),"")</f>
        <v/>
      </c>
      <c r="Y65" s="38"/>
      <c r="Z65" s="329"/>
      <c r="AA65" s="330"/>
      <c r="AB65" s="330"/>
      <c r="AC65" s="330"/>
      <c r="AD65" s="330"/>
      <c r="AE65" s="331"/>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row>
    <row r="66" spans="1:61" ht="15" customHeight="1" x14ac:dyDescent="0.25">
      <c r="A66" s="38"/>
      <c r="B66" s="355"/>
      <c r="C66" s="356"/>
      <c r="D66" s="357"/>
      <c r="E66" s="339"/>
      <c r="F66" s="338"/>
      <c r="G66" s="338"/>
      <c r="H66" s="338"/>
      <c r="I66" s="338"/>
      <c r="J66" s="164" t="str">
        <f ca="1">IF(AND('Mapa final'!$AB$58="Alta",'Mapa final'!$AD$58="Leve"),CONCATENATE("R17C",'Mapa final'!$R$58),"")</f>
        <v/>
      </c>
      <c r="K66" s="193" t="str">
        <f>IF(AND('Mapa final'!$AB$59="Alta",'Mapa final'!$AD$59="Leve"),CONCATENATE("R17C",'Mapa final'!$R$59),"")</f>
        <v/>
      </c>
      <c r="L66" s="165" t="str">
        <f>IF(AND('Mapa final'!$AB$60="Alta",'Mapa final'!$AD$60="Leve"),CONCATENATE("R17C",'Mapa final'!$R$60),"")</f>
        <v/>
      </c>
      <c r="M66" s="164" t="str">
        <f ca="1">IF(AND('Mapa final'!$AB$58="Alta",'Mapa final'!$AD$58="Menor"),CONCATENATE("R17C",'Mapa final'!$R$58),"")</f>
        <v/>
      </c>
      <c r="N66" s="193" t="str">
        <f>IF(AND('Mapa final'!$AB$59="Alta",'Mapa final'!$AD$59="Menor"),CONCATENATE("R17C",'Mapa final'!$R$59),"")</f>
        <v/>
      </c>
      <c r="O66" s="165" t="str">
        <f>IF(AND('Mapa final'!$AB$60="Alta",'Mapa final'!$AD$60="Menor"),CONCATENATE("R17C",'Mapa final'!$R$60),"")</f>
        <v/>
      </c>
      <c r="P66" s="83" t="str">
        <f ca="1">IF(AND('Mapa final'!$AB$58="Alta",'Mapa final'!$AD$58="Moderado"),CONCATENATE("R17C",'Mapa final'!$R$58),"")</f>
        <v/>
      </c>
      <c r="Q66" s="195" t="str">
        <f>IF(AND('Mapa final'!$AB$59="Alta",'Mapa final'!$AD$59="Moderado"),CONCATENATE("R17C",'Mapa final'!$R$59),"")</f>
        <v/>
      </c>
      <c r="R66" s="84" t="str">
        <f>IF(AND('Mapa final'!$AB$60="Alta",'Mapa final'!$AD$60="Moderado"),CONCATENATE("R17C",'Mapa final'!$R$60),"")</f>
        <v/>
      </c>
      <c r="S66" s="83" t="str">
        <f ca="1">IF(AND('Mapa final'!$AB$58="Alta",'Mapa final'!$AD$58="Mayor"),CONCATENATE("R17C",'Mapa final'!$R$58),"")</f>
        <v/>
      </c>
      <c r="T66" s="195" t="str">
        <f>IF(AND('Mapa final'!$AB$59="Alta",'Mapa final'!$AD$59="Mayor"),CONCATENATE("R17C",'Mapa final'!$R$59),"")</f>
        <v/>
      </c>
      <c r="U66" s="84" t="str">
        <f>IF(AND('Mapa final'!$AB$60="Alta",'Mapa final'!$AD$60="Mayor"),CONCATENATE("R17C",'Mapa final'!$R$60),"")</f>
        <v/>
      </c>
      <c r="V66" s="159" t="str">
        <f ca="1">IF(AND('Mapa final'!$AB$58="Alta",'Mapa final'!$AD$58="Catastrófico"),CONCATENATE("R17C",'Mapa final'!$R$58),"")</f>
        <v/>
      </c>
      <c r="W66" s="194" t="str">
        <f>IF(AND('Mapa final'!$AB$59="Alta",'Mapa final'!$AD$59="Catastrófico"),CONCATENATE("R17C",'Mapa final'!$R$59),"")</f>
        <v/>
      </c>
      <c r="X66" s="160" t="str">
        <f>IF(AND('Mapa final'!$AB$60="Alta",'Mapa final'!$AD$60="Catastrófico"),CONCATENATE("R17C",'Mapa final'!$R$60),"")</f>
        <v/>
      </c>
      <c r="Y66" s="38"/>
      <c r="Z66" s="329"/>
      <c r="AA66" s="330"/>
      <c r="AB66" s="330"/>
      <c r="AC66" s="330"/>
      <c r="AD66" s="330"/>
      <c r="AE66" s="331"/>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row>
    <row r="67" spans="1:61" ht="15" customHeight="1" x14ac:dyDescent="0.25">
      <c r="A67" s="38"/>
      <c r="B67" s="355"/>
      <c r="C67" s="356"/>
      <c r="D67" s="357"/>
      <c r="E67" s="339"/>
      <c r="F67" s="338"/>
      <c r="G67" s="338"/>
      <c r="H67" s="338"/>
      <c r="I67" s="338"/>
      <c r="J67" s="164" t="str">
        <f ca="1">IF(AND('Mapa final'!$AB$61="Alta",'Mapa final'!$AD$61="Leve"),CONCATENATE("R18C",'Mapa final'!$R$61),"")</f>
        <v/>
      </c>
      <c r="K67" s="193" t="str">
        <f>IF(AND('Mapa final'!$AB$62="Alta",'Mapa final'!$AD$62="Leve"),CONCATENATE("R18C",'Mapa final'!$R$62),"")</f>
        <v/>
      </c>
      <c r="L67" s="165" t="str">
        <f>IF(AND('Mapa final'!$AB$63="Alta",'Mapa final'!$AD$63="Leve"),CONCATENATE("R18C",'Mapa final'!$R$63),"")</f>
        <v/>
      </c>
      <c r="M67" s="164" t="str">
        <f ca="1">IF(AND('Mapa final'!$AB$61="Alta",'Mapa final'!$AD$61="Menor"),CONCATENATE("R18C",'Mapa final'!$R$61),"")</f>
        <v/>
      </c>
      <c r="N67" s="193" t="str">
        <f>IF(AND('Mapa final'!$AB$62="Alta",'Mapa final'!$AD$62="Menor"),CONCATENATE("R18C",'Mapa final'!$R$62),"")</f>
        <v/>
      </c>
      <c r="O67" s="165" t="str">
        <f>IF(AND('Mapa final'!$AB$63="Alta",'Mapa final'!$AD$63="Menor"),CONCATENATE("R18C",'Mapa final'!$R$63),"")</f>
        <v/>
      </c>
      <c r="P67" s="83" t="str">
        <f ca="1">IF(AND('Mapa final'!$AB$61="Alta",'Mapa final'!$AD$61="Moderado"),CONCATENATE("R18C",'Mapa final'!$R$61),"")</f>
        <v/>
      </c>
      <c r="Q67" s="195" t="str">
        <f>IF(AND('Mapa final'!$AB$62="Alta",'Mapa final'!$AD$62="Moderado"),CONCATENATE("R18C",'Mapa final'!$R$62),"")</f>
        <v/>
      </c>
      <c r="R67" s="84" t="str">
        <f>IF(AND('Mapa final'!$AB$63="Alta",'Mapa final'!$AD$63="Moderado"),CONCATENATE("R18C",'Mapa final'!$R$63),"")</f>
        <v/>
      </c>
      <c r="S67" s="83" t="str">
        <f ca="1">IF(AND('Mapa final'!$AB$61="Alta",'Mapa final'!$AD$61="Mayor"),CONCATENATE("R18C",'Mapa final'!$R$61),"")</f>
        <v/>
      </c>
      <c r="T67" s="195" t="str">
        <f>IF(AND('Mapa final'!$AB$62="Alta",'Mapa final'!$AD$62="Mayor"),CONCATENATE("R18C",'Mapa final'!$R$62),"")</f>
        <v/>
      </c>
      <c r="U67" s="84" t="str">
        <f>IF(AND('Mapa final'!$AB$63="Alta",'Mapa final'!$AD$63="Mayor"),CONCATENATE("R18C",'Mapa final'!$R$63),"")</f>
        <v/>
      </c>
      <c r="V67" s="159" t="str">
        <f ca="1">IF(AND('Mapa final'!$AB$61="Alta",'Mapa final'!$AD$61="Catastrófico"),CONCATENATE("R18C",'Mapa final'!$R$61),"")</f>
        <v/>
      </c>
      <c r="W67" s="194" t="str">
        <f>IF(AND('Mapa final'!$AB$62="Alta",'Mapa final'!$AD$62="Catastrófico"),CONCATENATE("R18C",'Mapa final'!$R$62),"")</f>
        <v/>
      </c>
      <c r="X67" s="160" t="str">
        <f>IF(AND('Mapa final'!$AB$63="Alta",'Mapa final'!$AD$63="Catastrófico"),CONCATENATE("R18C",'Mapa final'!$R$63),"")</f>
        <v/>
      </c>
      <c r="Y67" s="38"/>
      <c r="Z67" s="329"/>
      <c r="AA67" s="330"/>
      <c r="AB67" s="330"/>
      <c r="AC67" s="330"/>
      <c r="AD67" s="330"/>
      <c r="AE67" s="331"/>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row>
    <row r="68" spans="1:61" ht="15" customHeight="1" x14ac:dyDescent="0.25">
      <c r="A68" s="38"/>
      <c r="B68" s="355"/>
      <c r="C68" s="356"/>
      <c r="D68" s="357"/>
      <c r="E68" s="339"/>
      <c r="F68" s="338"/>
      <c r="G68" s="338"/>
      <c r="H68" s="338"/>
      <c r="I68" s="338"/>
      <c r="J68" s="164" t="str">
        <f ca="1">IF(AND('Mapa final'!$AB$64="Alta",'Mapa final'!$AD$64="Leve"),CONCATENATE("R19C",'Mapa final'!$R$64),"")</f>
        <v/>
      </c>
      <c r="K68" s="193" t="str">
        <f>IF(AND('Mapa final'!$AB$65="Alta",'Mapa final'!$AD$65="Leve"),CONCATENATE("R19C",'Mapa final'!$R$65),"")</f>
        <v/>
      </c>
      <c r="L68" s="165" t="str">
        <f>IF(AND('Mapa final'!$AB$66="Alta",'Mapa final'!$AD$66="Leve"),CONCATENATE("R19C",'Mapa final'!$R$66),"")</f>
        <v/>
      </c>
      <c r="M68" s="164" t="str">
        <f ca="1">IF(AND('Mapa final'!$AB$64="Alta",'Mapa final'!$AD$64="Menor"),CONCATENATE("R19C",'Mapa final'!$R$64),"")</f>
        <v/>
      </c>
      <c r="N68" s="193" t="str">
        <f>IF(AND('Mapa final'!$AB$65="Alta",'Mapa final'!$AD$65="Menor"),CONCATENATE("R19C",'Mapa final'!$R$65),"")</f>
        <v/>
      </c>
      <c r="O68" s="165" t="str">
        <f>IF(AND('Mapa final'!$AB$66="Alta",'Mapa final'!$AD$66="Menor"),CONCATENATE("R19C",'Mapa final'!$R$66),"")</f>
        <v/>
      </c>
      <c r="P68" s="83" t="str">
        <f ca="1">IF(AND('Mapa final'!$AB$64="Alta",'Mapa final'!$AD$64="Moderado"),CONCATENATE("R19C",'Mapa final'!$R$64),"")</f>
        <v/>
      </c>
      <c r="Q68" s="195" t="str">
        <f>IF(AND('Mapa final'!$AB$65="Alta",'Mapa final'!$AD$65="Moderado"),CONCATENATE("R19C",'Mapa final'!$R$65),"")</f>
        <v/>
      </c>
      <c r="R68" s="84" t="str">
        <f>IF(AND('Mapa final'!$AB$66="Alta",'Mapa final'!$AD$66="Moderado"),CONCATENATE("R19C",'Mapa final'!$R$66),"")</f>
        <v/>
      </c>
      <c r="S68" s="83" t="str">
        <f ca="1">IF(AND('Mapa final'!$AB$64="Alta",'Mapa final'!$AD$64="Mayor"),CONCATENATE("R19C",'Mapa final'!$R$64),"")</f>
        <v/>
      </c>
      <c r="T68" s="195" t="str">
        <f>IF(AND('Mapa final'!$AB$65="Alta",'Mapa final'!$AD$65="Mayor"),CONCATENATE("R19C",'Mapa final'!$R$65),"")</f>
        <v/>
      </c>
      <c r="U68" s="84" t="str">
        <f>IF(AND('Mapa final'!$AB$66="Alta",'Mapa final'!$AD$66="Mayor"),CONCATENATE("R19C",'Mapa final'!$R$66),"")</f>
        <v/>
      </c>
      <c r="V68" s="159" t="str">
        <f ca="1">IF(AND('Mapa final'!$AB$64="Alta",'Mapa final'!$AD$64="Catastrófico"),CONCATENATE("R19C",'Mapa final'!$R$64),"")</f>
        <v/>
      </c>
      <c r="W68" s="194" t="str">
        <f>IF(AND('Mapa final'!$AB$65="Alta",'Mapa final'!$AD$65="Catastrófico"),CONCATENATE("R19C",'Mapa final'!$R$65),"")</f>
        <v/>
      </c>
      <c r="X68" s="160" t="str">
        <f>IF(AND('Mapa final'!$AB$66="Alta",'Mapa final'!$AD$66="Catastrófico"),CONCATENATE("R19C",'Mapa final'!$R$66),"")</f>
        <v/>
      </c>
      <c r="Y68" s="38"/>
      <c r="Z68" s="329"/>
      <c r="AA68" s="330"/>
      <c r="AB68" s="330"/>
      <c r="AC68" s="330"/>
      <c r="AD68" s="330"/>
      <c r="AE68" s="331"/>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row>
    <row r="69" spans="1:61" ht="15" customHeight="1" x14ac:dyDescent="0.25">
      <c r="A69" s="38"/>
      <c r="B69" s="355"/>
      <c r="C69" s="356"/>
      <c r="D69" s="357"/>
      <c r="E69" s="339"/>
      <c r="F69" s="338"/>
      <c r="G69" s="338"/>
      <c r="H69" s="338"/>
      <c r="I69" s="338"/>
      <c r="J69" s="164" t="str">
        <f ca="1">IF(AND('Mapa final'!$AB$67="Alta",'Mapa final'!$AD$67="Leve"),CONCATENATE("R20C",'Mapa final'!$R$67),"")</f>
        <v/>
      </c>
      <c r="K69" s="193" t="str">
        <f>IF(AND('Mapa final'!$AB$68="Alta",'Mapa final'!$AD$68="Leve"),CONCATENATE("R20C",'Mapa final'!$R$68),"")</f>
        <v/>
      </c>
      <c r="L69" s="165" t="str">
        <f>IF(AND('Mapa final'!$AB$69="Alta",'Mapa final'!$AD$69="Leve"),CONCATENATE("R20C",'Mapa final'!$R$69),"")</f>
        <v/>
      </c>
      <c r="M69" s="164" t="str">
        <f ca="1">IF(AND('Mapa final'!$AB$67="Alta",'Mapa final'!$AD$67="Menor"),CONCATENATE("R20C",'Mapa final'!$R$67),"")</f>
        <v/>
      </c>
      <c r="N69" s="193" t="str">
        <f>IF(AND('Mapa final'!$AB$68="Alta",'Mapa final'!$AD$68="Menor"),CONCATENATE("R20C",'Mapa final'!$R$68),"")</f>
        <v/>
      </c>
      <c r="O69" s="165" t="str">
        <f>IF(AND('Mapa final'!$AB$69="Alta",'Mapa final'!$AD$69="Menor"),CONCATENATE("R20C",'Mapa final'!$R$69),"")</f>
        <v/>
      </c>
      <c r="P69" s="83" t="str">
        <f ca="1">IF(AND('Mapa final'!$AB$67="Alta",'Mapa final'!$AD$67="Moderado"),CONCATENATE("R20C",'Mapa final'!$R$67),"")</f>
        <v/>
      </c>
      <c r="Q69" s="195" t="str">
        <f>IF(AND('Mapa final'!$AB$68="Alta",'Mapa final'!$AD$68="Moderado"),CONCATENATE("R20C",'Mapa final'!$R$68),"")</f>
        <v/>
      </c>
      <c r="R69" s="84" t="str">
        <f>IF(AND('Mapa final'!$AB$69="Alta",'Mapa final'!$AD$69="Moderado"),CONCATENATE("R20C",'Mapa final'!$R$69),"")</f>
        <v/>
      </c>
      <c r="S69" s="83" t="str">
        <f ca="1">IF(AND('Mapa final'!$AB$67="Alta",'Mapa final'!$AD$67="Mayor"),CONCATENATE("R20C",'Mapa final'!$R$67),"")</f>
        <v/>
      </c>
      <c r="T69" s="195" t="str">
        <f>IF(AND('Mapa final'!$AB$68="Alta",'Mapa final'!$AD$68="Mayor"),CONCATENATE("R20C",'Mapa final'!$R$68),"")</f>
        <v/>
      </c>
      <c r="U69" s="84" t="str">
        <f>IF(AND('Mapa final'!$AB$69="Alta",'Mapa final'!$AD$69="Mayor"),CONCATENATE("R20C",'Mapa final'!$R$69),"")</f>
        <v/>
      </c>
      <c r="V69" s="159" t="str">
        <f ca="1">IF(AND('Mapa final'!$AB$67="Alta",'Mapa final'!$AD$67="Catastrófico"),CONCATENATE("R20C",'Mapa final'!$R$67),"")</f>
        <v/>
      </c>
      <c r="W69" s="194" t="str">
        <f>IF(AND('Mapa final'!$AB$68="Alta",'Mapa final'!$AD$68="Catastrófico"),CONCATENATE("R20C",'Mapa final'!$R$68),"")</f>
        <v/>
      </c>
      <c r="X69" s="160" t="str">
        <f>IF(AND('Mapa final'!$AB$69="Alta",'Mapa final'!$AD$69="Catastrófico"),CONCATENATE("R20C",'Mapa final'!$R$69),"")</f>
        <v/>
      </c>
      <c r="Y69" s="38"/>
      <c r="Z69" s="329"/>
      <c r="AA69" s="330"/>
      <c r="AB69" s="330"/>
      <c r="AC69" s="330"/>
      <c r="AD69" s="330"/>
      <c r="AE69" s="331"/>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row>
    <row r="70" spans="1:61" ht="15" customHeight="1" x14ac:dyDescent="0.25">
      <c r="A70" s="38"/>
      <c r="B70" s="355"/>
      <c r="C70" s="356"/>
      <c r="D70" s="357"/>
      <c r="E70" s="339"/>
      <c r="F70" s="338"/>
      <c r="G70" s="338"/>
      <c r="H70" s="338"/>
      <c r="I70" s="338"/>
      <c r="J70" s="164" t="str">
        <f ca="1">IF(AND('Mapa final'!$AB$70="Alta",'Mapa final'!$AD$70="Leve"),CONCATENATE("R21C",'Mapa final'!$R$70),"")</f>
        <v/>
      </c>
      <c r="K70" s="193" t="str">
        <f>IF(AND('Mapa final'!$AB$71="Alta",'Mapa final'!$AD$71="Leve"),CONCATENATE("R21C",'Mapa final'!$R$71),"")</f>
        <v/>
      </c>
      <c r="L70" s="165" t="str">
        <f>IF(AND('Mapa final'!$AB$72="Alta",'Mapa final'!$AD$72="Leve"),CONCATENATE("R21C",'Mapa final'!$R$72),"")</f>
        <v/>
      </c>
      <c r="M70" s="164" t="str">
        <f ca="1">IF(AND('Mapa final'!$AB$70="Alta",'Mapa final'!$AD$70="Menor"),CONCATENATE("R21C",'Mapa final'!$R$70),"")</f>
        <v/>
      </c>
      <c r="N70" s="193" t="str">
        <f>IF(AND('Mapa final'!$AB$71="Alta",'Mapa final'!$AD$71="Menor"),CONCATENATE("R21C",'Mapa final'!$R$71),"")</f>
        <v/>
      </c>
      <c r="O70" s="165" t="str">
        <f>IF(AND('Mapa final'!$AB$72="Alta",'Mapa final'!$AD$72="Menor"),CONCATENATE("R21C",'Mapa final'!$R$72),"")</f>
        <v/>
      </c>
      <c r="P70" s="83" t="str">
        <f ca="1">IF(AND('Mapa final'!$AB$70="Alta",'Mapa final'!$AD$70="Moderado"),CONCATENATE("R21C",'Mapa final'!$R$70),"")</f>
        <v/>
      </c>
      <c r="Q70" s="195" t="str">
        <f>IF(AND('Mapa final'!$AB$71="Alta",'Mapa final'!$AD$71="Moderado"),CONCATENATE("R21C",'Mapa final'!$R$71),"")</f>
        <v/>
      </c>
      <c r="R70" s="84" t="str">
        <f>IF(AND('Mapa final'!$AB$72="Alta",'Mapa final'!$AD$72="Moderado"),CONCATENATE("R21C",'Mapa final'!$R$72),"")</f>
        <v/>
      </c>
      <c r="S70" s="83" t="str">
        <f ca="1">IF(AND('Mapa final'!$AB$70="Alta",'Mapa final'!$AD$70="Mayor"),CONCATENATE("R21C",'Mapa final'!$R$70),"")</f>
        <v/>
      </c>
      <c r="T70" s="195" t="str">
        <f>IF(AND('Mapa final'!$AB$71="Alta",'Mapa final'!$AD$71="Mayor"),CONCATENATE("R21C",'Mapa final'!$R$71),"")</f>
        <v/>
      </c>
      <c r="U70" s="84" t="str">
        <f>IF(AND('Mapa final'!$AB$72="Alta",'Mapa final'!$AD$72="Mayor"),CONCATENATE("R21C",'Mapa final'!$R$72),"")</f>
        <v/>
      </c>
      <c r="V70" s="159" t="str">
        <f ca="1">IF(AND('Mapa final'!$AB$70="Alta",'Mapa final'!$AD$70="Catastrófico"),CONCATENATE("R21C",'Mapa final'!$R$70),"")</f>
        <v/>
      </c>
      <c r="W70" s="194" t="str">
        <f>IF(AND('Mapa final'!$AB$71="Alta",'Mapa final'!$AD$71="Catastrófico"),CONCATENATE("R21C",'Mapa final'!$R$71),"")</f>
        <v/>
      </c>
      <c r="X70" s="160" t="str">
        <f>IF(AND('Mapa final'!$AB$72="Alta",'Mapa final'!$AD$72="Catastrófico"),CONCATENATE("R21C",'Mapa final'!$R$72),"")</f>
        <v/>
      </c>
      <c r="Y70" s="38"/>
      <c r="Z70" s="329"/>
      <c r="AA70" s="330"/>
      <c r="AB70" s="330"/>
      <c r="AC70" s="330"/>
      <c r="AD70" s="330"/>
      <c r="AE70" s="331"/>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row>
    <row r="71" spans="1:61" ht="15" customHeight="1" x14ac:dyDescent="0.25">
      <c r="A71" s="38"/>
      <c r="B71" s="355"/>
      <c r="C71" s="356"/>
      <c r="D71" s="357"/>
      <c r="E71" s="339"/>
      <c r="F71" s="338"/>
      <c r="G71" s="338"/>
      <c r="H71" s="338"/>
      <c r="I71" s="338"/>
      <c r="J71" s="164" t="str">
        <f ca="1">IF(AND('Mapa final'!$AB$73="Alta",'Mapa final'!$AD$73="Leve"),CONCATENATE("R22C",'Mapa final'!$R$73),"")</f>
        <v/>
      </c>
      <c r="K71" s="193" t="str">
        <f>IF(AND('Mapa final'!$AB$74="Alta",'Mapa final'!$AD$74="Leve"),CONCATENATE("R22C",'Mapa final'!$R$74),"")</f>
        <v/>
      </c>
      <c r="L71" s="165" t="str">
        <f>IF(AND('Mapa final'!$AB$75="Alta",'Mapa final'!$AD$75="Leve"),CONCATENATE("R22C",'Mapa final'!$R$75),"")</f>
        <v/>
      </c>
      <c r="M71" s="164" t="str">
        <f ca="1">IF(AND('Mapa final'!$AB$73="Alta",'Mapa final'!$AD$73="Menor"),CONCATENATE("R22C",'Mapa final'!$R$73),"")</f>
        <v/>
      </c>
      <c r="N71" s="193" t="str">
        <f>IF(AND('Mapa final'!$AB$74="Alta",'Mapa final'!$AD$74="Menor"),CONCATENATE("R22C",'Mapa final'!$R$74),"")</f>
        <v/>
      </c>
      <c r="O71" s="165" t="str">
        <f>IF(AND('Mapa final'!$AB$75="Alta",'Mapa final'!$AD$75="Menor"),CONCATENATE("R22C",'Mapa final'!$R$75),"")</f>
        <v/>
      </c>
      <c r="P71" s="83" t="str">
        <f ca="1">IF(AND('Mapa final'!$AB$73="Alta",'Mapa final'!$AD$73="Moderado"),CONCATENATE("R22C",'Mapa final'!$R$73),"")</f>
        <v/>
      </c>
      <c r="Q71" s="195" t="str">
        <f>IF(AND('Mapa final'!$AB$74="Alta",'Mapa final'!$AD$74="Moderado"),CONCATENATE("R22C",'Mapa final'!$R$74),"")</f>
        <v/>
      </c>
      <c r="R71" s="84" t="str">
        <f>IF(AND('Mapa final'!$AB$75="Alta",'Mapa final'!$AD$75="Moderado"),CONCATENATE("R22C",'Mapa final'!$R$75),"")</f>
        <v/>
      </c>
      <c r="S71" s="83" t="str">
        <f ca="1">IF(AND('Mapa final'!$AB$73="Alta",'Mapa final'!$AD$73="Mayor"),CONCATENATE("R22C",'Mapa final'!$R$73),"")</f>
        <v/>
      </c>
      <c r="T71" s="195" t="str">
        <f>IF(AND('Mapa final'!$AB$74="Alta",'Mapa final'!$AD$74="Mayor"),CONCATENATE("R22C",'Mapa final'!$R$74),"")</f>
        <v/>
      </c>
      <c r="U71" s="84" t="str">
        <f>IF(AND('Mapa final'!$AB$75="Alta",'Mapa final'!$AD$75="Mayor"),CONCATENATE("R22C",'Mapa final'!$R$75),"")</f>
        <v/>
      </c>
      <c r="V71" s="159" t="str">
        <f ca="1">IF(AND('Mapa final'!$AB$73="Alta",'Mapa final'!$AD$73="Catastrófico"),CONCATENATE("R22C",'Mapa final'!$R$73),"")</f>
        <v/>
      </c>
      <c r="W71" s="194" t="str">
        <f>IF(AND('Mapa final'!$AB$74="Alta",'Mapa final'!$AD$74="Catastrófico"),CONCATENATE("R22C",'Mapa final'!$R$74),"")</f>
        <v/>
      </c>
      <c r="X71" s="160" t="str">
        <f>IF(AND('Mapa final'!$AB$75="Alta",'Mapa final'!$AD$75="Catastrófico"),CONCATENATE("R22C",'Mapa final'!$R$75),"")</f>
        <v/>
      </c>
      <c r="Y71" s="38"/>
      <c r="Z71" s="329"/>
      <c r="AA71" s="330"/>
      <c r="AB71" s="330"/>
      <c r="AC71" s="330"/>
      <c r="AD71" s="330"/>
      <c r="AE71" s="331"/>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row>
    <row r="72" spans="1:61" ht="15" customHeight="1" x14ac:dyDescent="0.25">
      <c r="A72" s="38"/>
      <c r="B72" s="355"/>
      <c r="C72" s="356"/>
      <c r="D72" s="357"/>
      <c r="E72" s="339"/>
      <c r="F72" s="338"/>
      <c r="G72" s="338"/>
      <c r="H72" s="338"/>
      <c r="I72" s="338"/>
      <c r="J72" s="164" t="str">
        <f ca="1">IF(AND('Mapa final'!$AB$76="Alta",'Mapa final'!$AD$76="Leve"),CONCATENATE("R23C",'Mapa final'!$R$76),"")</f>
        <v/>
      </c>
      <c r="K72" s="193" t="str">
        <f>IF(AND('Mapa final'!$AB$77="Alta",'Mapa final'!$AD$77="Leve"),CONCATENATE("R23C",'Mapa final'!$R$77),"")</f>
        <v/>
      </c>
      <c r="L72" s="165" t="str">
        <f>IF(AND('Mapa final'!$AB$78="Alta",'Mapa final'!$AD$78="Leve"),CONCATENATE("R23C",'Mapa final'!$R$78),"")</f>
        <v/>
      </c>
      <c r="M72" s="164" t="str">
        <f ca="1">IF(AND('Mapa final'!$AB$76="Alta",'Mapa final'!$AD$76="Menor"),CONCATENATE("R23C",'Mapa final'!$R$76),"")</f>
        <v/>
      </c>
      <c r="N72" s="193" t="str">
        <f>IF(AND('Mapa final'!$AB$77="Alta",'Mapa final'!$AD$77="Menor"),CONCATENATE("R23C",'Mapa final'!$R$77),"")</f>
        <v/>
      </c>
      <c r="O72" s="165" t="str">
        <f>IF(AND('Mapa final'!$AB$78="Alta",'Mapa final'!$AD$78="Menor"),CONCATENATE("R23C",'Mapa final'!$R$78),"")</f>
        <v/>
      </c>
      <c r="P72" s="83" t="str">
        <f ca="1">IF(AND('Mapa final'!$AB$76="Alta",'Mapa final'!$AD$76="Moderado"),CONCATENATE("R23C",'Mapa final'!$R$76),"")</f>
        <v/>
      </c>
      <c r="Q72" s="195" t="str">
        <f>IF(AND('Mapa final'!$AB$77="Alta",'Mapa final'!$AD$77="Moderado"),CONCATENATE("R23C",'Mapa final'!$R$77),"")</f>
        <v/>
      </c>
      <c r="R72" s="84" t="str">
        <f>IF(AND('Mapa final'!$AB$78="Alta",'Mapa final'!$AD$78="Moderado"),CONCATENATE("R23C",'Mapa final'!$R$78),"")</f>
        <v/>
      </c>
      <c r="S72" s="83" t="str">
        <f ca="1">IF(AND('Mapa final'!$AB$76="Alta",'Mapa final'!$AD$76="Mayor"),CONCATENATE("R23C",'Mapa final'!$R$76),"")</f>
        <v/>
      </c>
      <c r="T72" s="195" t="str">
        <f>IF(AND('Mapa final'!$AB$77="Alta",'Mapa final'!$AD$77="Mayor"),CONCATENATE("R23C",'Mapa final'!$R$77),"")</f>
        <v/>
      </c>
      <c r="U72" s="84" t="str">
        <f>IF(AND('Mapa final'!$AB$78="Alta",'Mapa final'!$AD$78="Mayor"),CONCATENATE("R23C",'Mapa final'!$R$78),"")</f>
        <v/>
      </c>
      <c r="V72" s="159" t="str">
        <f ca="1">IF(AND('Mapa final'!$AB$76="Alta",'Mapa final'!$AD$76="Catastrófico"),CONCATENATE("R23C",'Mapa final'!$R$76),"")</f>
        <v/>
      </c>
      <c r="W72" s="194" t="str">
        <f>IF(AND('Mapa final'!$AB$77="Alta",'Mapa final'!$AD$77="Catastrófico"),CONCATENATE("R23C",'Mapa final'!$R$77),"")</f>
        <v/>
      </c>
      <c r="X72" s="160" t="str">
        <f>IF(AND('Mapa final'!$AB$78="Alta",'Mapa final'!$AD$78="Catastrófico"),CONCATENATE("R23C",'Mapa final'!$R$78),"")</f>
        <v/>
      </c>
      <c r="Y72" s="38"/>
      <c r="Z72" s="329"/>
      <c r="AA72" s="330"/>
      <c r="AB72" s="330"/>
      <c r="AC72" s="330"/>
      <c r="AD72" s="330"/>
      <c r="AE72" s="331"/>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row>
    <row r="73" spans="1:61" ht="15" customHeight="1" x14ac:dyDescent="0.25">
      <c r="A73" s="38"/>
      <c r="B73" s="355"/>
      <c r="C73" s="356"/>
      <c r="D73" s="357"/>
      <c r="E73" s="339"/>
      <c r="F73" s="338"/>
      <c r="G73" s="338"/>
      <c r="H73" s="338"/>
      <c r="I73" s="338"/>
      <c r="J73" s="164" t="str">
        <f ca="1">IF(AND('Mapa final'!$AB$79="Alta",'Mapa final'!$AD$79="Leve"),CONCATENATE("R24C",'Mapa final'!$R$79),"")</f>
        <v/>
      </c>
      <c r="K73" s="193" t="str">
        <f>IF(AND('Mapa final'!$AB$80="Alta",'Mapa final'!$AD$80="Leve"),CONCATENATE("R24C",'Mapa final'!$R$80),"")</f>
        <v/>
      </c>
      <c r="L73" s="165" t="str">
        <f>IF(AND('Mapa final'!$AB$81="Alta",'Mapa final'!$AD$81="Leve"),CONCATENATE("R24C",'Mapa final'!$R$81),"")</f>
        <v/>
      </c>
      <c r="M73" s="164" t="str">
        <f ca="1">IF(AND('Mapa final'!$AB$79="Alta",'Mapa final'!$AD$79="Menor"),CONCATENATE("R24C",'Mapa final'!$R$79),"")</f>
        <v/>
      </c>
      <c r="N73" s="193" t="str">
        <f>IF(AND('Mapa final'!$AB$80="Alta",'Mapa final'!$AD$80="Menor"),CONCATENATE("R24C",'Mapa final'!$R$80),"")</f>
        <v/>
      </c>
      <c r="O73" s="165" t="str">
        <f>IF(AND('Mapa final'!$AB$81="Alta",'Mapa final'!$AD$81="Menor"),CONCATENATE("R24C",'Mapa final'!$R$81),"")</f>
        <v/>
      </c>
      <c r="P73" s="83" t="str">
        <f ca="1">IF(AND('Mapa final'!$AB$79="Alta",'Mapa final'!$AD$79="Moderado"),CONCATENATE("R24C",'Mapa final'!$R$79),"")</f>
        <v/>
      </c>
      <c r="Q73" s="195" t="str">
        <f>IF(AND('Mapa final'!$AB$80="Alta",'Mapa final'!$AD$80="Moderado"),CONCATENATE("R24C",'Mapa final'!$R$80),"")</f>
        <v/>
      </c>
      <c r="R73" s="84" t="str">
        <f>IF(AND('Mapa final'!$AB$81="Alta",'Mapa final'!$AD$81="Moderado"),CONCATENATE("R24C",'Mapa final'!$R$81),"")</f>
        <v/>
      </c>
      <c r="S73" s="83" t="str">
        <f ca="1">IF(AND('Mapa final'!$AB$79="Alta",'Mapa final'!$AD$79="Mayor"),CONCATENATE("R24C",'Mapa final'!$R$79),"")</f>
        <v/>
      </c>
      <c r="T73" s="195" t="str">
        <f>IF(AND('Mapa final'!$AB$80="Alta",'Mapa final'!$AD$80="Mayor"),CONCATENATE("R24C",'Mapa final'!$R$80),"")</f>
        <v/>
      </c>
      <c r="U73" s="84" t="str">
        <f>IF(AND('Mapa final'!$AB$81="Alta",'Mapa final'!$AD$81="Mayor"),CONCATENATE("R24C",'Mapa final'!$R$81),"")</f>
        <v/>
      </c>
      <c r="V73" s="159" t="str">
        <f ca="1">IF(AND('Mapa final'!$AB$79="Alta",'Mapa final'!$AD$79="Catastrófico"),CONCATENATE("R24C",'Mapa final'!$R$79),"")</f>
        <v/>
      </c>
      <c r="W73" s="194" t="str">
        <f>IF(AND('Mapa final'!$AB$80="Alta",'Mapa final'!$AD$80="Catastrófico"),CONCATENATE("R24C",'Mapa final'!$R$80),"")</f>
        <v/>
      </c>
      <c r="X73" s="160" t="str">
        <f>IF(AND('Mapa final'!$AB$81="Alta",'Mapa final'!$AD$81="Catastrófico"),CONCATENATE("R24C",'Mapa final'!$R$81),"")</f>
        <v/>
      </c>
      <c r="Y73" s="38"/>
      <c r="Z73" s="329"/>
      <c r="AA73" s="330"/>
      <c r="AB73" s="330"/>
      <c r="AC73" s="330"/>
      <c r="AD73" s="330"/>
      <c r="AE73" s="331"/>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row>
    <row r="74" spans="1:61" ht="15" customHeight="1" x14ac:dyDescent="0.25">
      <c r="A74" s="38"/>
      <c r="B74" s="355"/>
      <c r="C74" s="356"/>
      <c r="D74" s="357"/>
      <c r="E74" s="339"/>
      <c r="F74" s="338"/>
      <c r="G74" s="338"/>
      <c r="H74" s="338"/>
      <c r="I74" s="338"/>
      <c r="J74" s="164" t="str">
        <f ca="1">IF(AND('Mapa final'!$AB$82="Alta",'Mapa final'!$AD$82="Leve"),CONCATENATE("R25C",'Mapa final'!$R$82),"")</f>
        <v/>
      </c>
      <c r="K74" s="193" t="str">
        <f>IF(AND('Mapa final'!$AB$83="Alta",'Mapa final'!$AD$83="Leve"),CONCATENATE("R25C",'Mapa final'!$R$83),"")</f>
        <v/>
      </c>
      <c r="L74" s="165" t="str">
        <f>IF(AND('Mapa final'!$AB$84="Alta",'Mapa final'!$AD$84="Leve"),CONCATENATE("R25C",'Mapa final'!$R$84),"")</f>
        <v/>
      </c>
      <c r="M74" s="164" t="str">
        <f ca="1">IF(AND('Mapa final'!$AB$82="Alta",'Mapa final'!$AD$82="Menor"),CONCATENATE("R25C",'Mapa final'!$R$82),"")</f>
        <v/>
      </c>
      <c r="N74" s="193" t="str">
        <f>IF(AND('Mapa final'!$AB$83="Alta",'Mapa final'!$AD$83="Menor"),CONCATENATE("R25C",'Mapa final'!$R$83),"")</f>
        <v/>
      </c>
      <c r="O74" s="165" t="str">
        <f>IF(AND('Mapa final'!$AB$84="Alta",'Mapa final'!$AD$84="Menor"),CONCATENATE("R25C",'Mapa final'!$R$84),"")</f>
        <v/>
      </c>
      <c r="P74" s="83" t="str">
        <f ca="1">IF(AND('Mapa final'!$AB$82="Alta",'Mapa final'!$AD$82="Moderado"),CONCATENATE("R25C",'Mapa final'!$R$82),"")</f>
        <v/>
      </c>
      <c r="Q74" s="195" t="str">
        <f>IF(AND('Mapa final'!$AB$83="Alta",'Mapa final'!$AD$83="Moderado"),CONCATENATE("R25C",'Mapa final'!$R$83),"")</f>
        <v/>
      </c>
      <c r="R74" s="84" t="str">
        <f>IF(AND('Mapa final'!$AB$84="Alta",'Mapa final'!$AD$84="Moderado"),CONCATENATE("R25C",'Mapa final'!$R$84),"")</f>
        <v/>
      </c>
      <c r="S74" s="83" t="str">
        <f ca="1">IF(AND('Mapa final'!$AB$82="Alta",'Mapa final'!$AD$82="Mayor"),CONCATENATE("R25C",'Mapa final'!$R$82),"")</f>
        <v/>
      </c>
      <c r="T74" s="195" t="str">
        <f>IF(AND('Mapa final'!$AB$83="Alta",'Mapa final'!$AD$83="Mayor"),CONCATENATE("R25C",'Mapa final'!$R$83),"")</f>
        <v/>
      </c>
      <c r="U74" s="84" t="str">
        <f>IF(AND('Mapa final'!$AB$84="Alta",'Mapa final'!$AD$84="Mayor"),CONCATENATE("R25C",'Mapa final'!$R$84),"")</f>
        <v/>
      </c>
      <c r="V74" s="159" t="str">
        <f ca="1">IF(AND('Mapa final'!$AB$82="Alta",'Mapa final'!$AD$82="Catastrófico"),CONCATENATE("R25C",'Mapa final'!$R$82),"")</f>
        <v/>
      </c>
      <c r="W74" s="194" t="str">
        <f>IF(AND('Mapa final'!$AB$83="Alta",'Mapa final'!$AD$83="Catastrófico"),CONCATENATE("R25C",'Mapa final'!$R$83),"")</f>
        <v/>
      </c>
      <c r="X74" s="160" t="str">
        <f>IF(AND('Mapa final'!$AB$84="Alta",'Mapa final'!$AD$84="Catastrófico"),CONCATENATE("R25C",'Mapa final'!$R$84),"")</f>
        <v/>
      </c>
      <c r="Y74" s="38"/>
      <c r="Z74" s="329"/>
      <c r="AA74" s="330"/>
      <c r="AB74" s="330"/>
      <c r="AC74" s="330"/>
      <c r="AD74" s="330"/>
      <c r="AE74" s="331"/>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row>
    <row r="75" spans="1:61" ht="15" customHeight="1" x14ac:dyDescent="0.25">
      <c r="A75" s="38"/>
      <c r="B75" s="355"/>
      <c r="C75" s="356"/>
      <c r="D75" s="357"/>
      <c r="E75" s="339"/>
      <c r="F75" s="338"/>
      <c r="G75" s="338"/>
      <c r="H75" s="338"/>
      <c r="I75" s="338"/>
      <c r="J75" s="164" t="str">
        <f ca="1">IF(AND('Mapa final'!$AB$85="Alta",'Mapa final'!$AD$85="Leve"),CONCATENATE("R26C",'Mapa final'!$R$85),"")</f>
        <v/>
      </c>
      <c r="K75" s="193" t="str">
        <f>IF(AND('Mapa final'!$AB$86="Alta",'Mapa final'!$AD$86="Leve"),CONCATENATE("R26C",'Mapa final'!$R$86),"")</f>
        <v/>
      </c>
      <c r="L75" s="165" t="str">
        <f>IF(AND('Mapa final'!$AB$87="Alta",'Mapa final'!$AD$87="Leve"),CONCATENATE("R26C",'Mapa final'!$R$87),"")</f>
        <v/>
      </c>
      <c r="M75" s="164" t="str">
        <f ca="1">IF(AND('Mapa final'!$AB$85="Alta",'Mapa final'!$AD$85="Menor"),CONCATENATE("R26C",'Mapa final'!$R$85),"")</f>
        <v/>
      </c>
      <c r="N75" s="193" t="str">
        <f>IF(AND('Mapa final'!$AB$86="Alta",'Mapa final'!$AD$86="Menor"),CONCATENATE("R26C",'Mapa final'!$R$86),"")</f>
        <v/>
      </c>
      <c r="O75" s="165" t="str">
        <f>IF(AND('Mapa final'!$AB$87="Alta",'Mapa final'!$AD$87="Menor"),CONCATENATE("R26C",'Mapa final'!$R$87),"")</f>
        <v/>
      </c>
      <c r="P75" s="83" t="str">
        <f ca="1">IF(AND('Mapa final'!$AB$85="Alta",'Mapa final'!$AD$85="Moderado"),CONCATENATE("R26C",'Mapa final'!$R$85),"")</f>
        <v/>
      </c>
      <c r="Q75" s="195" t="str">
        <f>IF(AND('Mapa final'!$AB$86="Alta",'Mapa final'!$AD$86="Moderado"),CONCATENATE("R26C",'Mapa final'!$R$86),"")</f>
        <v/>
      </c>
      <c r="R75" s="84" t="str">
        <f>IF(AND('Mapa final'!$AB$87="Alta",'Mapa final'!$AD$87="Moderado"),CONCATENATE("R26C",'Mapa final'!$R$87),"")</f>
        <v/>
      </c>
      <c r="S75" s="83" t="str">
        <f ca="1">IF(AND('Mapa final'!$AB$85="Alta",'Mapa final'!$AD$85="Mayor"),CONCATENATE("R26C",'Mapa final'!$R$85),"")</f>
        <v/>
      </c>
      <c r="T75" s="195" t="str">
        <f>IF(AND('Mapa final'!$AB$86="Alta",'Mapa final'!$AD$86="Mayor"),CONCATENATE("R26C",'Mapa final'!$R$86),"")</f>
        <v/>
      </c>
      <c r="U75" s="84" t="str">
        <f>IF(AND('Mapa final'!$AB$87="Alta",'Mapa final'!$AD$87="Mayor"),CONCATENATE("R26C",'Mapa final'!$R$87),"")</f>
        <v/>
      </c>
      <c r="V75" s="159" t="str">
        <f ca="1">IF(AND('Mapa final'!$AB$85="Alta",'Mapa final'!$AD$85="Catastrófico"),CONCATENATE("R26C",'Mapa final'!$R$85),"")</f>
        <v/>
      </c>
      <c r="W75" s="194" t="str">
        <f>IF(AND('Mapa final'!$AB$86="Alta",'Mapa final'!$AD$86="Catastrófico"),CONCATENATE("R26C",'Mapa final'!$R$86),"")</f>
        <v/>
      </c>
      <c r="X75" s="160" t="str">
        <f>IF(AND('Mapa final'!$AB$87="Alta",'Mapa final'!$AD$87="Catastrófico"),CONCATENATE("R26C",'Mapa final'!$R$87),"")</f>
        <v/>
      </c>
      <c r="Y75" s="38"/>
      <c r="Z75" s="329"/>
      <c r="AA75" s="330"/>
      <c r="AB75" s="330"/>
      <c r="AC75" s="330"/>
      <c r="AD75" s="330"/>
      <c r="AE75" s="331"/>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row>
    <row r="76" spans="1:61" ht="15" customHeight="1" x14ac:dyDescent="0.25">
      <c r="A76" s="38"/>
      <c r="B76" s="355"/>
      <c r="C76" s="356"/>
      <c r="D76" s="357"/>
      <c r="E76" s="339"/>
      <c r="F76" s="338"/>
      <c r="G76" s="338"/>
      <c r="H76" s="338"/>
      <c r="I76" s="338"/>
      <c r="J76" s="164" t="str">
        <f ca="1">IF(AND('Mapa final'!$AB$88="Alta",'Mapa final'!$AD$88="Leve"),CONCATENATE("R27C",'Mapa final'!$R$88),"")</f>
        <v/>
      </c>
      <c r="K76" s="193" t="str">
        <f>IF(AND('Mapa final'!$AB$89="Alta",'Mapa final'!$AD$89="Leve"),CONCATENATE("R27C",'Mapa final'!$R$89),"")</f>
        <v/>
      </c>
      <c r="L76" s="165" t="str">
        <f>IF(AND('Mapa final'!$AB$90="Alta",'Mapa final'!$AD$90="Leve"),CONCATENATE("R27C",'Mapa final'!$R$90),"")</f>
        <v/>
      </c>
      <c r="M76" s="164" t="str">
        <f ca="1">IF(AND('Mapa final'!$AB$88="Alta",'Mapa final'!$AD$88="Menor"),CONCATENATE("R27C",'Mapa final'!$R$88),"")</f>
        <v/>
      </c>
      <c r="N76" s="193" t="str">
        <f>IF(AND('Mapa final'!$AB$89="Alta",'Mapa final'!$AD$89="Menor"),CONCATENATE("R27C",'Mapa final'!$R$89),"")</f>
        <v/>
      </c>
      <c r="O76" s="165" t="str">
        <f>IF(AND('Mapa final'!$AB$90="Alta",'Mapa final'!$AD$90="Menor"),CONCATENATE("R27C",'Mapa final'!$R$90),"")</f>
        <v/>
      </c>
      <c r="P76" s="83" t="str">
        <f ca="1">IF(AND('Mapa final'!$AB$88="Alta",'Mapa final'!$AD$88="Moderado"),CONCATENATE("R27C",'Mapa final'!$R$88),"")</f>
        <v/>
      </c>
      <c r="Q76" s="195" t="str">
        <f>IF(AND('Mapa final'!$AB$89="Alta",'Mapa final'!$AD$89="Moderado"),CONCATENATE("R27C",'Mapa final'!$R$89),"")</f>
        <v/>
      </c>
      <c r="R76" s="84" t="str">
        <f>IF(AND('Mapa final'!$AB$90="Alta",'Mapa final'!$AD$90="Moderado"),CONCATENATE("R27C",'Mapa final'!$R$90),"")</f>
        <v/>
      </c>
      <c r="S76" s="83" t="str">
        <f ca="1">IF(AND('Mapa final'!$AB$88="Alta",'Mapa final'!$AD$88="Mayor"),CONCATENATE("R27C",'Mapa final'!$R$88),"")</f>
        <v/>
      </c>
      <c r="T76" s="195" t="str">
        <f>IF(AND('Mapa final'!$AB$89="Alta",'Mapa final'!$AD$89="Mayor"),CONCATENATE("R27C",'Mapa final'!$R$89),"")</f>
        <v/>
      </c>
      <c r="U76" s="84" t="str">
        <f>IF(AND('Mapa final'!$AB$90="Alta",'Mapa final'!$AD$90="Mayor"),CONCATENATE("R27C",'Mapa final'!$R$90),"")</f>
        <v/>
      </c>
      <c r="V76" s="159" t="str">
        <f ca="1">IF(AND('Mapa final'!$AB$88="Alta",'Mapa final'!$AD$88="Catastrófico"),CONCATENATE("R27C",'Mapa final'!$R$88),"")</f>
        <v/>
      </c>
      <c r="W76" s="194" t="str">
        <f>IF(AND('Mapa final'!$AB$89="Alta",'Mapa final'!$AD$89="Catastrófico"),CONCATENATE("R27C",'Mapa final'!$R$89),"")</f>
        <v/>
      </c>
      <c r="X76" s="160" t="str">
        <f>IF(AND('Mapa final'!$AB$90="Alta",'Mapa final'!$AD$90="Catastrófico"),CONCATENATE("R27C",'Mapa final'!$R$90),"")</f>
        <v/>
      </c>
      <c r="Y76" s="38"/>
      <c r="Z76" s="329"/>
      <c r="AA76" s="330"/>
      <c r="AB76" s="330"/>
      <c r="AC76" s="330"/>
      <c r="AD76" s="330"/>
      <c r="AE76" s="331"/>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row>
    <row r="77" spans="1:61" ht="15" customHeight="1" x14ac:dyDescent="0.25">
      <c r="A77" s="38"/>
      <c r="B77" s="355"/>
      <c r="C77" s="356"/>
      <c r="D77" s="357"/>
      <c r="E77" s="339"/>
      <c r="F77" s="338"/>
      <c r="G77" s="338"/>
      <c r="H77" s="338"/>
      <c r="I77" s="338"/>
      <c r="J77" s="164" t="str">
        <f ca="1">IF(AND('Mapa final'!$AB$91="Alta",'Mapa final'!$AD$91="Leve"),CONCATENATE("R28C",'Mapa final'!$R$91),"")</f>
        <v/>
      </c>
      <c r="K77" s="193" t="str">
        <f>IF(AND('Mapa final'!$AB$92="Alta",'Mapa final'!$AD$92="Leve"),CONCATENATE("R28C",'Mapa final'!$R$92),"")</f>
        <v/>
      </c>
      <c r="L77" s="165" t="str">
        <f>IF(AND('Mapa final'!$AB$93="Alta",'Mapa final'!$AD$93="Leve"),CONCATENATE("R28C",'Mapa final'!$R$93),"")</f>
        <v/>
      </c>
      <c r="M77" s="164" t="str">
        <f ca="1">IF(AND('Mapa final'!$AB$91="Alta",'Mapa final'!$AD$91="Menor"),CONCATENATE("R28C",'Mapa final'!$R$91),"")</f>
        <v/>
      </c>
      <c r="N77" s="193" t="str">
        <f>IF(AND('Mapa final'!$AB$92="Alta",'Mapa final'!$AD$92="Menor"),CONCATENATE("R28C",'Mapa final'!$R$92),"")</f>
        <v/>
      </c>
      <c r="O77" s="165" t="str">
        <f>IF(AND('Mapa final'!$AB$93="Alta",'Mapa final'!$AD$93="Menor"),CONCATENATE("R28C",'Mapa final'!$R$93),"")</f>
        <v/>
      </c>
      <c r="P77" s="83" t="str">
        <f ca="1">IF(AND('Mapa final'!$AB$91="Alta",'Mapa final'!$AD$91="Moderado"),CONCATENATE("R28C",'Mapa final'!$R$91),"")</f>
        <v/>
      </c>
      <c r="Q77" s="195" t="str">
        <f>IF(AND('Mapa final'!$AB$92="Alta",'Mapa final'!$AD$92="Moderado"),CONCATENATE("R28C",'Mapa final'!$R$92),"")</f>
        <v/>
      </c>
      <c r="R77" s="84" t="str">
        <f>IF(AND('Mapa final'!$AB$93="Alta",'Mapa final'!$AD$93="Moderado"),CONCATENATE("R28C",'Mapa final'!$R$93),"")</f>
        <v/>
      </c>
      <c r="S77" s="83" t="str">
        <f ca="1">IF(AND('Mapa final'!$AB$91="Alta",'Mapa final'!$AD$91="Mayor"),CONCATENATE("R28C",'Mapa final'!$R$91),"")</f>
        <v/>
      </c>
      <c r="T77" s="195" t="str">
        <f>IF(AND('Mapa final'!$AB$92="Alta",'Mapa final'!$AD$92="Mayor"),CONCATENATE("R28C",'Mapa final'!$R$92),"")</f>
        <v/>
      </c>
      <c r="U77" s="84" t="str">
        <f>IF(AND('Mapa final'!$AB$93="Alta",'Mapa final'!$AD$93="Mayor"),CONCATENATE("R28C",'Mapa final'!$R$93),"")</f>
        <v/>
      </c>
      <c r="V77" s="159" t="str">
        <f ca="1">IF(AND('Mapa final'!$AB$91="Alta",'Mapa final'!$AD$91="Catastrófico"),CONCATENATE("R28C",'Mapa final'!$R$91),"")</f>
        <v/>
      </c>
      <c r="W77" s="194" t="str">
        <f>IF(AND('Mapa final'!$AB$92="Alta",'Mapa final'!$AD$92="Catastrófico"),CONCATENATE("R28C",'Mapa final'!$R$92),"")</f>
        <v/>
      </c>
      <c r="X77" s="160" t="str">
        <f>IF(AND('Mapa final'!$AB$93="Alta",'Mapa final'!$AD$93="Catastrófico"),CONCATENATE("R28C",'Mapa final'!$R$93),"")</f>
        <v/>
      </c>
      <c r="Y77" s="38"/>
      <c r="Z77" s="329"/>
      <c r="AA77" s="330"/>
      <c r="AB77" s="330"/>
      <c r="AC77" s="330"/>
      <c r="AD77" s="330"/>
      <c r="AE77" s="331"/>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row>
    <row r="78" spans="1:61" ht="15" customHeight="1" x14ac:dyDescent="0.25">
      <c r="A78" s="38"/>
      <c r="B78" s="355"/>
      <c r="C78" s="356"/>
      <c r="D78" s="357"/>
      <c r="E78" s="339"/>
      <c r="F78" s="338"/>
      <c r="G78" s="338"/>
      <c r="H78" s="338"/>
      <c r="I78" s="338"/>
      <c r="J78" s="164" t="str">
        <f ca="1">IF(AND('Mapa final'!$AB$94="Alta",'Mapa final'!$AD$94="Leve"),CONCATENATE("R29C",'Mapa final'!$R$94),"")</f>
        <v/>
      </c>
      <c r="K78" s="193" t="str">
        <f>IF(AND('Mapa final'!$AB$95="Alta",'Mapa final'!$AD$95="Leve"),CONCATENATE("R29C",'Mapa final'!$R$95),"")</f>
        <v/>
      </c>
      <c r="L78" s="165" t="str">
        <f>IF(AND('Mapa final'!$AB$96="Alta",'Mapa final'!$AD$96="Leve"),CONCATENATE("R29C",'Mapa final'!$R$96),"")</f>
        <v/>
      </c>
      <c r="M78" s="164" t="str">
        <f ca="1">IF(AND('Mapa final'!$AB$94="Alta",'Mapa final'!$AD$94="Menor"),CONCATENATE("R29C",'Mapa final'!$R$94),"")</f>
        <v/>
      </c>
      <c r="N78" s="193" t="str">
        <f>IF(AND('Mapa final'!$AB$95="Alta",'Mapa final'!$AD$95="Menor"),CONCATENATE("R29C",'Mapa final'!$R$95),"")</f>
        <v/>
      </c>
      <c r="O78" s="165" t="str">
        <f>IF(AND('Mapa final'!$AB$96="Alta",'Mapa final'!$AD$96="Menor"),CONCATENATE("R29C",'Mapa final'!$R$96),"")</f>
        <v/>
      </c>
      <c r="P78" s="83" t="str">
        <f ca="1">IF(AND('Mapa final'!$AB$94="Alta",'Mapa final'!$AD$94="Moderado"),CONCATENATE("R29C",'Mapa final'!$R$94),"")</f>
        <v/>
      </c>
      <c r="Q78" s="195" t="str">
        <f>IF(AND('Mapa final'!$AB$95="Alta",'Mapa final'!$AD$95="Moderado"),CONCATENATE("R29C",'Mapa final'!$R$95),"")</f>
        <v/>
      </c>
      <c r="R78" s="84" t="str">
        <f>IF(AND('Mapa final'!$AB$96="Alta",'Mapa final'!$AD$96="Moderado"),CONCATENATE("R29C",'Mapa final'!$R$96),"")</f>
        <v/>
      </c>
      <c r="S78" s="83" t="str">
        <f ca="1">IF(AND('Mapa final'!$AB$94="Alta",'Mapa final'!$AD$94="Mayor"),CONCATENATE("R29C",'Mapa final'!$R$94),"")</f>
        <v/>
      </c>
      <c r="T78" s="195" t="str">
        <f>IF(AND('Mapa final'!$AB$95="Alta",'Mapa final'!$AD$95="Mayor"),CONCATENATE("R29C",'Mapa final'!$R$95),"")</f>
        <v/>
      </c>
      <c r="U78" s="84" t="str">
        <f>IF(AND('Mapa final'!$AB$96="Alta",'Mapa final'!$AD$96="Mayor"),CONCATENATE("R29C",'Mapa final'!$R$96),"")</f>
        <v/>
      </c>
      <c r="V78" s="159" t="str">
        <f ca="1">IF(AND('Mapa final'!$AB$94="Alta",'Mapa final'!$AD$94="Catastrófico"),CONCATENATE("R29C",'Mapa final'!$R$94),"")</f>
        <v/>
      </c>
      <c r="W78" s="194" t="str">
        <f>IF(AND('Mapa final'!$AB$95="Alta",'Mapa final'!$AD$95="Catastrófico"),CONCATENATE("R29C",'Mapa final'!$R$95),"")</f>
        <v/>
      </c>
      <c r="X78" s="160" t="str">
        <f>IF(AND('Mapa final'!$AB$96="Alta",'Mapa final'!$AD$96="Catastrófico"),CONCATENATE("R29C",'Mapa final'!$R$96),"")</f>
        <v/>
      </c>
      <c r="Y78" s="38"/>
      <c r="Z78" s="329"/>
      <c r="AA78" s="330"/>
      <c r="AB78" s="330"/>
      <c r="AC78" s="330"/>
      <c r="AD78" s="330"/>
      <c r="AE78" s="331"/>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row>
    <row r="79" spans="1:61" ht="15" customHeight="1" x14ac:dyDescent="0.25">
      <c r="A79" s="38"/>
      <c r="B79" s="355"/>
      <c r="C79" s="356"/>
      <c r="D79" s="357"/>
      <c r="E79" s="339"/>
      <c r="F79" s="338"/>
      <c r="G79" s="338"/>
      <c r="H79" s="338"/>
      <c r="I79" s="338"/>
      <c r="J79" s="164" t="str">
        <f ca="1">IF(AND('Mapa final'!$AB$97="Alta",'Mapa final'!$AD$97="Leve"),CONCATENATE("R30C",'Mapa final'!$R$97),"")</f>
        <v/>
      </c>
      <c r="K79" s="193" t="str">
        <f>IF(AND('Mapa final'!$AB$98="Alta",'Mapa final'!$AD$98="Leve"),CONCATENATE("R30C",'Mapa final'!$R$98),"")</f>
        <v/>
      </c>
      <c r="L79" s="165" t="str">
        <f>IF(AND('Mapa final'!$AB$99="Alta",'Mapa final'!$AD$99="Leve"),CONCATENATE("R30C",'Mapa final'!$R$99),"")</f>
        <v/>
      </c>
      <c r="M79" s="164" t="str">
        <f ca="1">IF(AND('Mapa final'!$AB$97="Alta",'Mapa final'!$AD$97="Menor"),CONCATENATE("R30C",'Mapa final'!$R$97),"")</f>
        <v/>
      </c>
      <c r="N79" s="193" t="str">
        <f>IF(AND('Mapa final'!$AB$98="Alta",'Mapa final'!$AD$98="Menor"),CONCATENATE("R30C",'Mapa final'!$R$98),"")</f>
        <v/>
      </c>
      <c r="O79" s="165" t="str">
        <f>IF(AND('Mapa final'!$AB$99="Alta",'Mapa final'!$AD$99="Menor"),CONCATENATE("R30C",'Mapa final'!$R$99),"")</f>
        <v/>
      </c>
      <c r="P79" s="83" t="str">
        <f ca="1">IF(AND('Mapa final'!$AB$97="Alta",'Mapa final'!$AD$97="Moderado"),CONCATENATE("R30C",'Mapa final'!$R$97),"")</f>
        <v/>
      </c>
      <c r="Q79" s="195" t="str">
        <f>IF(AND('Mapa final'!$AB$98="Alta",'Mapa final'!$AD$98="Moderado"),CONCATENATE("R30C",'Mapa final'!$R$98),"")</f>
        <v/>
      </c>
      <c r="R79" s="84" t="str">
        <f>IF(AND('Mapa final'!$AB$99="Alta",'Mapa final'!$AD$99="Moderado"),CONCATENATE("R30C",'Mapa final'!$R$99),"")</f>
        <v/>
      </c>
      <c r="S79" s="83" t="str">
        <f ca="1">IF(AND('Mapa final'!$AB$97="Alta",'Mapa final'!$AD$97="Mayor"),CONCATENATE("R30C",'Mapa final'!$R$97),"")</f>
        <v/>
      </c>
      <c r="T79" s="195" t="str">
        <f>IF(AND('Mapa final'!$AB$98="Alta",'Mapa final'!$AD$98="Mayor"),CONCATENATE("R30C",'Mapa final'!$R$98),"")</f>
        <v/>
      </c>
      <c r="U79" s="84" t="str">
        <f>IF(AND('Mapa final'!$AB$99="Alta",'Mapa final'!$AD$99="Mayor"),CONCATENATE("R30C",'Mapa final'!$R$99),"")</f>
        <v/>
      </c>
      <c r="V79" s="159" t="str">
        <f ca="1">IF(AND('Mapa final'!$AB$97="Alta",'Mapa final'!$AD$97="Catastrófico"),CONCATENATE("R30C",'Mapa final'!$R$97),"")</f>
        <v/>
      </c>
      <c r="W79" s="194" t="str">
        <f>IF(AND('Mapa final'!$AB$98="Alta",'Mapa final'!$AD$98="Catastrófico"),CONCATENATE("R30C",'Mapa final'!$R$98),"")</f>
        <v/>
      </c>
      <c r="X79" s="160" t="str">
        <f>IF(AND('Mapa final'!$AB$99="Alta",'Mapa final'!$AD$99="Catastrófico"),CONCATENATE("R30C",'Mapa final'!$R$99),"")</f>
        <v/>
      </c>
      <c r="Y79" s="38"/>
      <c r="Z79" s="329"/>
      <c r="AA79" s="330"/>
      <c r="AB79" s="330"/>
      <c r="AC79" s="330"/>
      <c r="AD79" s="330"/>
      <c r="AE79" s="331"/>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row>
    <row r="80" spans="1:61" ht="15" customHeight="1" x14ac:dyDescent="0.25">
      <c r="A80" s="38"/>
      <c r="B80" s="355"/>
      <c r="C80" s="356"/>
      <c r="D80" s="357"/>
      <c r="E80" s="339"/>
      <c r="F80" s="338"/>
      <c r="G80" s="338"/>
      <c r="H80" s="338"/>
      <c r="I80" s="338"/>
      <c r="J80" s="164" t="str">
        <f ca="1">IF(AND('Mapa final'!$AB$100="Alta",'Mapa final'!$AD$100="Leve"),CONCATENATE("R31C",'Mapa final'!$R$100),"")</f>
        <v/>
      </c>
      <c r="K80" s="193" t="str">
        <f>IF(AND('Mapa final'!$AB$101="Alta",'Mapa final'!$AD$101="Leve"),CONCATENATE("R31C",'Mapa final'!$R$101),"")</f>
        <v/>
      </c>
      <c r="L80" s="165" t="str">
        <f>IF(AND('Mapa final'!$AB$102="Alta",'Mapa final'!$AD$102="Leve"),CONCATENATE("R31C",'Mapa final'!$R$102),"")</f>
        <v/>
      </c>
      <c r="M80" s="164" t="str">
        <f ca="1">IF(AND('Mapa final'!$AB$100="Alta",'Mapa final'!$AD$100="Menor"),CONCATENATE("R31C",'Mapa final'!$R$100),"")</f>
        <v/>
      </c>
      <c r="N80" s="193" t="str">
        <f>IF(AND('Mapa final'!$AB$101="Alta",'Mapa final'!$AD$101="Menor"),CONCATENATE("R31C",'Mapa final'!$R$101),"")</f>
        <v/>
      </c>
      <c r="O80" s="165" t="str">
        <f>IF(AND('Mapa final'!$AB$102="Alta",'Mapa final'!$AD$102="Menor"),CONCATENATE("R31C",'Mapa final'!$R$102),"")</f>
        <v/>
      </c>
      <c r="P80" s="83" t="str">
        <f ca="1">IF(AND('Mapa final'!$AB$100="Alta",'Mapa final'!$AD$100="Moderado"),CONCATENATE("R31C",'Mapa final'!$R$100),"")</f>
        <v/>
      </c>
      <c r="Q80" s="195" t="str">
        <f>IF(AND('Mapa final'!$AB$101="Alta",'Mapa final'!$AD$101="Moderado"),CONCATENATE("R31C",'Mapa final'!$R$101),"")</f>
        <v/>
      </c>
      <c r="R80" s="84" t="str">
        <f>IF(AND('Mapa final'!$AB$102="Alta",'Mapa final'!$AD$102="Moderado"),CONCATENATE("R31C",'Mapa final'!$R$102),"")</f>
        <v/>
      </c>
      <c r="S80" s="83" t="str">
        <f ca="1">IF(AND('Mapa final'!$AB$100="Alta",'Mapa final'!$AD$100="Mayor"),CONCATENATE("R31C",'Mapa final'!$R$100),"")</f>
        <v/>
      </c>
      <c r="T80" s="195" t="str">
        <f>IF(AND('Mapa final'!$AB$101="Alta",'Mapa final'!$AD$101="Mayor"),CONCATENATE("R31C",'Mapa final'!$R$101),"")</f>
        <v/>
      </c>
      <c r="U80" s="84" t="str">
        <f>IF(AND('Mapa final'!$AB$102="Alta",'Mapa final'!$AD$102="Mayor"),CONCATENATE("R31C",'Mapa final'!$R$102),"")</f>
        <v/>
      </c>
      <c r="V80" s="159" t="str">
        <f ca="1">IF(AND('Mapa final'!$AB$100="Alta",'Mapa final'!$AD$100="Catastrófico"),CONCATENATE("R31C",'Mapa final'!$R$100),"")</f>
        <v/>
      </c>
      <c r="W80" s="194" t="str">
        <f>IF(AND('Mapa final'!$AB$101="Alta",'Mapa final'!$AD$101="Catastrófico"),CONCATENATE("R31C",'Mapa final'!$R$101),"")</f>
        <v/>
      </c>
      <c r="X80" s="160" t="str">
        <f>IF(AND('Mapa final'!$AB$102="Alta",'Mapa final'!$AD$102="Catastrófico"),CONCATENATE("R31C",'Mapa final'!$R$102),"")</f>
        <v/>
      </c>
      <c r="Y80" s="38"/>
      <c r="Z80" s="329"/>
      <c r="AA80" s="330"/>
      <c r="AB80" s="330"/>
      <c r="AC80" s="330"/>
      <c r="AD80" s="330"/>
      <c r="AE80" s="331"/>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row>
    <row r="81" spans="1:61" ht="15" customHeight="1" x14ac:dyDescent="0.25">
      <c r="A81" s="38"/>
      <c r="B81" s="355"/>
      <c r="C81" s="356"/>
      <c r="D81" s="357"/>
      <c r="E81" s="339"/>
      <c r="F81" s="338"/>
      <c r="G81" s="338"/>
      <c r="H81" s="338"/>
      <c r="I81" s="338"/>
      <c r="J81" s="164" t="str">
        <f ca="1">IF(AND('Mapa final'!$AB$103="Alta",'Mapa final'!$AD$103="Leve"),CONCATENATE("R32C",'Mapa final'!$R$103),"")</f>
        <v/>
      </c>
      <c r="K81" s="193" t="str">
        <f>IF(AND('Mapa final'!$AB$104="Alta",'Mapa final'!$AD$104="Leve"),CONCATENATE("R32C",'Mapa final'!$R$104),"")</f>
        <v/>
      </c>
      <c r="L81" s="165" t="str">
        <f>IF(AND('Mapa final'!$AB$105="Alta",'Mapa final'!$AD$105="Leve"),CONCATENATE("R32C",'Mapa final'!$R$105),"")</f>
        <v/>
      </c>
      <c r="M81" s="164" t="str">
        <f ca="1">IF(AND('Mapa final'!$AB$103="Alta",'Mapa final'!$AD$103="Menor"),CONCATENATE("R32C",'Mapa final'!$R$103),"")</f>
        <v/>
      </c>
      <c r="N81" s="193" t="str">
        <f>IF(AND('Mapa final'!$AB$104="Alta",'Mapa final'!$AD$104="Menor"),CONCATENATE("R32C",'Mapa final'!$R$104),"")</f>
        <v/>
      </c>
      <c r="O81" s="165" t="str">
        <f>IF(AND('Mapa final'!$AB$105="Alta",'Mapa final'!$AD$105="Menor"),CONCATENATE("R32C",'Mapa final'!$R$105),"")</f>
        <v/>
      </c>
      <c r="P81" s="83" t="str">
        <f ca="1">IF(AND('Mapa final'!$AB$103="Alta",'Mapa final'!$AD$103="Moderado"),CONCATENATE("R32C",'Mapa final'!$R$103),"")</f>
        <v/>
      </c>
      <c r="Q81" s="195" t="str">
        <f>IF(AND('Mapa final'!$AB$104="Alta",'Mapa final'!$AD$104="Moderado"),CONCATENATE("R32C",'Mapa final'!$R$104),"")</f>
        <v/>
      </c>
      <c r="R81" s="84" t="str">
        <f>IF(AND('Mapa final'!$AB$105="Alta",'Mapa final'!$AD$105="Moderado"),CONCATENATE("R32C",'Mapa final'!$R$105),"")</f>
        <v/>
      </c>
      <c r="S81" s="83" t="str">
        <f ca="1">IF(AND('Mapa final'!$AB$103="Alta",'Mapa final'!$AD$103="Mayor"),CONCATENATE("R32C",'Mapa final'!$R$103),"")</f>
        <v/>
      </c>
      <c r="T81" s="195" t="str">
        <f>IF(AND('Mapa final'!$AB$104="Alta",'Mapa final'!$AD$104="Mayor"),CONCATENATE("R32C",'Mapa final'!$R$104),"")</f>
        <v/>
      </c>
      <c r="U81" s="84" t="str">
        <f>IF(AND('Mapa final'!$AB$105="Alta",'Mapa final'!$AD$105="Mayor"),CONCATENATE("R32C",'Mapa final'!$R$105),"")</f>
        <v/>
      </c>
      <c r="V81" s="159" t="str">
        <f ca="1">IF(AND('Mapa final'!$AB$103="Alta",'Mapa final'!$AD$103="Catastrófico"),CONCATENATE("R32C",'Mapa final'!$R$103),"")</f>
        <v/>
      </c>
      <c r="W81" s="194" t="str">
        <f>IF(AND('Mapa final'!$AB$104="Alta",'Mapa final'!$AD$104="Catastrófico"),CONCATENATE("R32C",'Mapa final'!$R$104),"")</f>
        <v/>
      </c>
      <c r="X81" s="160" t="str">
        <f>IF(AND('Mapa final'!$AB$105="Alta",'Mapa final'!$AD$105="Catastrófico"),CONCATENATE("R32C",'Mapa final'!$R$105),"")</f>
        <v/>
      </c>
      <c r="Y81" s="38"/>
      <c r="Z81" s="329"/>
      <c r="AA81" s="330"/>
      <c r="AB81" s="330"/>
      <c r="AC81" s="330"/>
      <c r="AD81" s="330"/>
      <c r="AE81" s="331"/>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row>
    <row r="82" spans="1:61" ht="15" customHeight="1" x14ac:dyDescent="0.25">
      <c r="A82" s="38"/>
      <c r="B82" s="355"/>
      <c r="C82" s="356"/>
      <c r="D82" s="357"/>
      <c r="E82" s="339"/>
      <c r="F82" s="338"/>
      <c r="G82" s="338"/>
      <c r="H82" s="338"/>
      <c r="I82" s="338"/>
      <c r="J82" s="164" t="str">
        <f ca="1">IF(AND('Mapa final'!$AB$106="Alta",'Mapa final'!$AD$106="Leve"),CONCATENATE("R33C",'Mapa final'!$R$106),"")</f>
        <v/>
      </c>
      <c r="K82" s="193" t="str">
        <f>IF(AND('Mapa final'!$AB$107="Alta",'Mapa final'!$AD$107="Leve"),CONCATENATE("R33C",'Mapa final'!$R$107),"")</f>
        <v/>
      </c>
      <c r="L82" s="165" t="str">
        <f>IF(AND('Mapa final'!$AB$108="Alta",'Mapa final'!$AD$108="Leve"),CONCATENATE("R33C",'Mapa final'!$R$108),"")</f>
        <v/>
      </c>
      <c r="M82" s="164" t="str">
        <f ca="1">IF(AND('Mapa final'!$AB$106="Alta",'Mapa final'!$AD$106="Menor"),CONCATENATE("R33C",'Mapa final'!$R$106),"")</f>
        <v/>
      </c>
      <c r="N82" s="193" t="str">
        <f>IF(AND('Mapa final'!$AB$107="Alta",'Mapa final'!$AD$107="Menor"),CONCATENATE("R33C",'Mapa final'!$R$107),"")</f>
        <v/>
      </c>
      <c r="O82" s="165" t="str">
        <f>IF(AND('Mapa final'!$AB$108="Alta",'Mapa final'!$AD$108="Menor"),CONCATENATE("R33C",'Mapa final'!$R$108),"")</f>
        <v/>
      </c>
      <c r="P82" s="83" t="str">
        <f ca="1">IF(AND('Mapa final'!$AB$106="Alta",'Mapa final'!$AD$106="Moderado"),CONCATENATE("R33C",'Mapa final'!$R$106),"")</f>
        <v/>
      </c>
      <c r="Q82" s="195" t="str">
        <f>IF(AND('Mapa final'!$AB$107="Alta",'Mapa final'!$AD$107="Moderado"),CONCATENATE("R33C",'Mapa final'!$R$107),"")</f>
        <v/>
      </c>
      <c r="R82" s="84" t="str">
        <f>IF(AND('Mapa final'!$AB$108="Alta",'Mapa final'!$AD$108="Moderado"),CONCATENATE("R33C",'Mapa final'!$R$108),"")</f>
        <v/>
      </c>
      <c r="S82" s="83" t="str">
        <f ca="1">IF(AND('Mapa final'!$AB$106="Alta",'Mapa final'!$AD$106="Mayor"),CONCATENATE("R33C",'Mapa final'!$R$106),"")</f>
        <v/>
      </c>
      <c r="T82" s="195" t="str">
        <f>IF(AND('Mapa final'!$AB$107="Alta",'Mapa final'!$AD$107="Mayor"),CONCATENATE("R33C",'Mapa final'!$R$107),"")</f>
        <v/>
      </c>
      <c r="U82" s="84" t="str">
        <f>IF(AND('Mapa final'!$AB$108="Alta",'Mapa final'!$AD$108="Mayor"),CONCATENATE("R33C",'Mapa final'!$R$108),"")</f>
        <v/>
      </c>
      <c r="V82" s="159" t="str">
        <f ca="1">IF(AND('Mapa final'!$AB$106="Alta",'Mapa final'!$AD$106="Catastrófico"),CONCATENATE("R33C",'Mapa final'!$R$106),"")</f>
        <v/>
      </c>
      <c r="W82" s="194" t="str">
        <f>IF(AND('Mapa final'!$AB$107="Alta",'Mapa final'!$AD$107="Catastrófico"),CONCATENATE("R33C",'Mapa final'!$R$107),"")</f>
        <v/>
      </c>
      <c r="X82" s="160" t="str">
        <f>IF(AND('Mapa final'!$AB$108="Alta",'Mapa final'!$AD$108="Catastrófico"),CONCATENATE("R33C",'Mapa final'!$R$108),"")</f>
        <v/>
      </c>
      <c r="Y82" s="38"/>
      <c r="Z82" s="329"/>
      <c r="AA82" s="330"/>
      <c r="AB82" s="330"/>
      <c r="AC82" s="330"/>
      <c r="AD82" s="330"/>
      <c r="AE82" s="331"/>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row>
    <row r="83" spans="1:61" ht="15" customHeight="1" x14ac:dyDescent="0.25">
      <c r="A83" s="38"/>
      <c r="B83" s="355"/>
      <c r="C83" s="356"/>
      <c r="D83" s="357"/>
      <c r="E83" s="339"/>
      <c r="F83" s="338"/>
      <c r="G83" s="338"/>
      <c r="H83" s="338"/>
      <c r="I83" s="338"/>
      <c r="J83" s="164" t="str">
        <f ca="1">IF(AND('Mapa final'!$AB$109="Alta",'Mapa final'!$AD$109="Leve"),CONCATENATE("R34C",'Mapa final'!$R$109),"")</f>
        <v/>
      </c>
      <c r="K83" s="193" t="str">
        <f>IF(AND('Mapa final'!$AB$110="Alta",'Mapa final'!$AD$110="Leve"),CONCATENATE("R34C",'Mapa final'!$R$110),"")</f>
        <v/>
      </c>
      <c r="L83" s="165" t="str">
        <f>IF(AND('Mapa final'!$AB$111="Alta",'Mapa final'!$AD$111="Leve"),CONCATENATE("R34C",'Mapa final'!$R$111),"")</f>
        <v/>
      </c>
      <c r="M83" s="164" t="str">
        <f ca="1">IF(AND('Mapa final'!$AB$109="Alta",'Mapa final'!$AD$109="Menor"),CONCATENATE("R34C",'Mapa final'!$R$109),"")</f>
        <v/>
      </c>
      <c r="N83" s="193" t="str">
        <f>IF(AND('Mapa final'!$AB$110="Alta",'Mapa final'!$AD$110="Menor"),CONCATENATE("R34C",'Mapa final'!$R$110),"")</f>
        <v/>
      </c>
      <c r="O83" s="165" t="str">
        <f>IF(AND('Mapa final'!$AB$111="Alta",'Mapa final'!$AD$111="Menor"),CONCATENATE("R34C",'Mapa final'!$R$111),"")</f>
        <v/>
      </c>
      <c r="P83" s="83" t="str">
        <f ca="1">IF(AND('Mapa final'!$AB$109="Alta",'Mapa final'!$AD$109="Moderado"),CONCATENATE("R34C",'Mapa final'!$R$109),"")</f>
        <v/>
      </c>
      <c r="Q83" s="195" t="str">
        <f>IF(AND('Mapa final'!$AB$110="Alta",'Mapa final'!$AD$110="Moderado"),CONCATENATE("R34C",'Mapa final'!$R$110),"")</f>
        <v/>
      </c>
      <c r="R83" s="84" t="str">
        <f>IF(AND('Mapa final'!$AB$111="Alta",'Mapa final'!$AD$111="Moderado"),CONCATENATE("R34C",'Mapa final'!$R$111),"")</f>
        <v/>
      </c>
      <c r="S83" s="83" t="str">
        <f ca="1">IF(AND('Mapa final'!$AB$109="Alta",'Mapa final'!$AD$109="Mayor"),CONCATENATE("R34C",'Mapa final'!$R$109),"")</f>
        <v/>
      </c>
      <c r="T83" s="195" t="str">
        <f>IF(AND('Mapa final'!$AB$110="Alta",'Mapa final'!$AD$110="Mayor"),CONCATENATE("R34C",'Mapa final'!$R$110),"")</f>
        <v/>
      </c>
      <c r="U83" s="84" t="str">
        <f>IF(AND('Mapa final'!$AB$111="Alta",'Mapa final'!$AD$111="Mayor"),CONCATENATE("R34C",'Mapa final'!$R$111),"")</f>
        <v/>
      </c>
      <c r="V83" s="159" t="str">
        <f ca="1">IF(AND('Mapa final'!$AB$109="Alta",'Mapa final'!$AD$109="Catastrófico"),CONCATENATE("R34C",'Mapa final'!$R$109),"")</f>
        <v/>
      </c>
      <c r="W83" s="194" t="str">
        <f>IF(AND('Mapa final'!$AB$110="Alta",'Mapa final'!$AD$110="Catastrófico"),CONCATENATE("R34C",'Mapa final'!$R$110),"")</f>
        <v/>
      </c>
      <c r="X83" s="160" t="str">
        <f>IF(AND('Mapa final'!$AB$111="Alta",'Mapa final'!$AD$111="Catastrófico"),CONCATENATE("R34C",'Mapa final'!$R$111),"")</f>
        <v/>
      </c>
      <c r="Y83" s="38"/>
      <c r="Z83" s="329"/>
      <c r="AA83" s="330"/>
      <c r="AB83" s="330"/>
      <c r="AC83" s="330"/>
      <c r="AD83" s="330"/>
      <c r="AE83" s="331"/>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row>
    <row r="84" spans="1:61" ht="15" customHeight="1" x14ac:dyDescent="0.25">
      <c r="A84" s="38"/>
      <c r="B84" s="355"/>
      <c r="C84" s="356"/>
      <c r="D84" s="357"/>
      <c r="E84" s="339"/>
      <c r="F84" s="338"/>
      <c r="G84" s="338"/>
      <c r="H84" s="338"/>
      <c r="I84" s="338"/>
      <c r="J84" s="164" t="str">
        <f ca="1">IF(AND('Mapa final'!$AB$112="Alta",'Mapa final'!$AD$112="Leve"),CONCATENATE("R35C",'Mapa final'!$R$112),"")</f>
        <v/>
      </c>
      <c r="K84" s="193" t="str">
        <f>IF(AND('Mapa final'!$AB$113="Alta",'Mapa final'!$AD$113="Leve"),CONCATENATE("R35C",'Mapa final'!$R$113),"")</f>
        <v/>
      </c>
      <c r="L84" s="165" t="str">
        <f>IF(AND('Mapa final'!$AB$114="Alta",'Mapa final'!$AD$114="Leve"),CONCATENATE("R35C",'Mapa final'!$R$114),"")</f>
        <v/>
      </c>
      <c r="M84" s="164" t="str">
        <f ca="1">IF(AND('Mapa final'!$AB$112="Alta",'Mapa final'!$AD$112="Menor"),CONCATENATE("R35C",'Mapa final'!$R$112),"")</f>
        <v/>
      </c>
      <c r="N84" s="193" t="str">
        <f>IF(AND('Mapa final'!$AB$113="Alta",'Mapa final'!$AD$113="Menor"),CONCATENATE("R35C",'Mapa final'!$R$113),"")</f>
        <v/>
      </c>
      <c r="O84" s="165" t="str">
        <f>IF(AND('Mapa final'!$AB$114="Alta",'Mapa final'!$AD$114="Menor"),CONCATENATE("R35C",'Mapa final'!$R$114),"")</f>
        <v/>
      </c>
      <c r="P84" s="83" t="str">
        <f ca="1">IF(AND('Mapa final'!$AB$112="Alta",'Mapa final'!$AD$112="Moderado"),CONCATENATE("R35C",'Mapa final'!$R$112),"")</f>
        <v/>
      </c>
      <c r="Q84" s="195" t="str">
        <f>IF(AND('Mapa final'!$AB$113="Alta",'Mapa final'!$AD$113="Moderado"),CONCATENATE("R35C",'Mapa final'!$R$113),"")</f>
        <v/>
      </c>
      <c r="R84" s="84" t="str">
        <f>IF(AND('Mapa final'!$AB$114="Alta",'Mapa final'!$AD$114="Moderado"),CONCATENATE("R35C",'Mapa final'!$R$114),"")</f>
        <v/>
      </c>
      <c r="S84" s="83" t="str">
        <f ca="1">IF(AND('Mapa final'!$AB$112="Alta",'Mapa final'!$AD$112="Mayor"),CONCATENATE("R35C",'Mapa final'!$R$112),"")</f>
        <v/>
      </c>
      <c r="T84" s="195" t="str">
        <f>IF(AND('Mapa final'!$AB$113="Alta",'Mapa final'!$AD$113="Mayor"),CONCATENATE("R35C",'Mapa final'!$R$113),"")</f>
        <v/>
      </c>
      <c r="U84" s="84" t="str">
        <f>IF(AND('Mapa final'!$AB$114="Alta",'Mapa final'!$AD$114="Mayor"),CONCATENATE("R35C",'Mapa final'!$R$114),"")</f>
        <v/>
      </c>
      <c r="V84" s="159" t="str">
        <f ca="1">IF(AND('Mapa final'!$AB$112="Alta",'Mapa final'!$AD$112="Catastrófico"),CONCATENATE("R35C",'Mapa final'!$R$112),"")</f>
        <v/>
      </c>
      <c r="W84" s="194" t="str">
        <f>IF(AND('Mapa final'!$AB$113="Alta",'Mapa final'!$AD$113="Catastrófico"),CONCATENATE("R35C",'Mapa final'!$R$113),"")</f>
        <v/>
      </c>
      <c r="X84" s="160" t="str">
        <f>IF(AND('Mapa final'!$AB$114="Alta",'Mapa final'!$AD$114="Catastrófico"),CONCATENATE("R35C",'Mapa final'!$R$114),"")</f>
        <v/>
      </c>
      <c r="Y84" s="38"/>
      <c r="Z84" s="329"/>
      <c r="AA84" s="330"/>
      <c r="AB84" s="330"/>
      <c r="AC84" s="330"/>
      <c r="AD84" s="330"/>
      <c r="AE84" s="331"/>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row>
    <row r="85" spans="1:61" ht="15" customHeight="1" x14ac:dyDescent="0.25">
      <c r="A85" s="38"/>
      <c r="B85" s="355"/>
      <c r="C85" s="356"/>
      <c r="D85" s="357"/>
      <c r="E85" s="339"/>
      <c r="F85" s="338"/>
      <c r="G85" s="338"/>
      <c r="H85" s="338"/>
      <c r="I85" s="338"/>
      <c r="J85" s="164" t="str">
        <f ca="1">IF(AND('Mapa final'!$AB$115="Alta",'Mapa final'!$AD$115="Leve"),CONCATENATE("R36C",'Mapa final'!$R$115),"")</f>
        <v/>
      </c>
      <c r="K85" s="193" t="str">
        <f>IF(AND('Mapa final'!$AB$116="Alta",'Mapa final'!$AD$116="Leve"),CONCATENATE("R36C",'Mapa final'!$R$116),"")</f>
        <v/>
      </c>
      <c r="L85" s="165" t="str">
        <f>IF(AND('Mapa final'!$AB$117="Alta",'Mapa final'!$AD$117="Leve"),CONCATENATE("R36C",'Mapa final'!$R$117),"")</f>
        <v/>
      </c>
      <c r="M85" s="164" t="str">
        <f ca="1">IF(AND('Mapa final'!$AB$115="Alta",'Mapa final'!$AD$115="Menor"),CONCATENATE("R36C",'Mapa final'!$R$115),"")</f>
        <v/>
      </c>
      <c r="N85" s="193" t="str">
        <f>IF(AND('Mapa final'!$AB$116="Alta",'Mapa final'!$AD$116="Menor"),CONCATENATE("R36C",'Mapa final'!$R$116),"")</f>
        <v/>
      </c>
      <c r="O85" s="165" t="str">
        <f>IF(AND('Mapa final'!$AB$117="Alta",'Mapa final'!$AD$117="Menor"),CONCATENATE("R36C",'Mapa final'!$R$117),"")</f>
        <v/>
      </c>
      <c r="P85" s="83" t="str">
        <f ca="1">IF(AND('Mapa final'!$AB$115="Alta",'Mapa final'!$AD$115="Moderado"),CONCATENATE("R36C",'Mapa final'!$R$115),"")</f>
        <v/>
      </c>
      <c r="Q85" s="195" t="str">
        <f>IF(AND('Mapa final'!$AB$116="Alta",'Mapa final'!$AD$116="Moderado"),CONCATENATE("R36C",'Mapa final'!$R$116),"")</f>
        <v/>
      </c>
      <c r="R85" s="84" t="str">
        <f>IF(AND('Mapa final'!$AB$117="Alta",'Mapa final'!$AD$117="Moderado"),CONCATENATE("R36C",'Mapa final'!$R$117),"")</f>
        <v/>
      </c>
      <c r="S85" s="83" t="str">
        <f ca="1">IF(AND('Mapa final'!$AB$115="Alta",'Mapa final'!$AD$115="Mayor"),CONCATENATE("R36C",'Mapa final'!$R$115),"")</f>
        <v/>
      </c>
      <c r="T85" s="195" t="str">
        <f>IF(AND('Mapa final'!$AB$116="Alta",'Mapa final'!$AD$116="Mayor"),CONCATENATE("R36C",'Mapa final'!$R$116),"")</f>
        <v/>
      </c>
      <c r="U85" s="84" t="str">
        <f>IF(AND('Mapa final'!$AB$117="Alta",'Mapa final'!$AD$117="Mayor"),CONCATENATE("R36C",'Mapa final'!$R$117),"")</f>
        <v/>
      </c>
      <c r="V85" s="159" t="str">
        <f ca="1">IF(AND('Mapa final'!$AB$115="Alta",'Mapa final'!$AD$115="Catastrófico"),CONCATENATE("R36C",'Mapa final'!$R$115),"")</f>
        <v/>
      </c>
      <c r="W85" s="194" t="str">
        <f>IF(AND('Mapa final'!$AB$116="Alta",'Mapa final'!$AD$116="Catastrófico"),CONCATENATE("R36C",'Mapa final'!$R$116),"")</f>
        <v/>
      </c>
      <c r="X85" s="160" t="str">
        <f>IF(AND('Mapa final'!$AB$117="Alta",'Mapa final'!$AD$117="Catastrófico"),CONCATENATE("R36C",'Mapa final'!$R$117),"")</f>
        <v/>
      </c>
      <c r="Y85" s="38"/>
      <c r="Z85" s="329"/>
      <c r="AA85" s="330"/>
      <c r="AB85" s="330"/>
      <c r="AC85" s="330"/>
      <c r="AD85" s="330"/>
      <c r="AE85" s="331"/>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row>
    <row r="86" spans="1:61" ht="15" customHeight="1" x14ac:dyDescent="0.25">
      <c r="A86" s="38"/>
      <c r="B86" s="355"/>
      <c r="C86" s="356"/>
      <c r="D86" s="357"/>
      <c r="E86" s="339"/>
      <c r="F86" s="338"/>
      <c r="G86" s="338"/>
      <c r="H86" s="338"/>
      <c r="I86" s="338"/>
      <c r="J86" s="164" t="str">
        <f ca="1">IF(AND('Mapa final'!$AB$118="Alta",'Mapa final'!$AD$118="Leve"),CONCATENATE("R37C",'Mapa final'!$R$118),"")</f>
        <v/>
      </c>
      <c r="K86" s="193" t="str">
        <f>IF(AND('Mapa final'!$AB$119="Alta",'Mapa final'!$AD$119="Leve"),CONCATENATE("R37C",'Mapa final'!$R$119),"")</f>
        <v/>
      </c>
      <c r="L86" s="165" t="str">
        <f>IF(AND('Mapa final'!$AB$120="Alta",'Mapa final'!$AD$120="Leve"),CONCATENATE("R37C",'Mapa final'!$R$120),"")</f>
        <v/>
      </c>
      <c r="M86" s="164" t="str">
        <f ca="1">IF(AND('Mapa final'!$AB$118="Alta",'Mapa final'!$AD$118="Menor"),CONCATENATE("R37C",'Mapa final'!$R$118),"")</f>
        <v/>
      </c>
      <c r="N86" s="193" t="str">
        <f>IF(AND('Mapa final'!$AB$119="Alta",'Mapa final'!$AD$119="Menor"),CONCATENATE("R37C",'Mapa final'!$R$119),"")</f>
        <v/>
      </c>
      <c r="O86" s="165" t="str">
        <f>IF(AND('Mapa final'!$AB$120="Alta",'Mapa final'!$AD$120="Menor"),CONCATENATE("R37C",'Mapa final'!$R$120),"")</f>
        <v/>
      </c>
      <c r="P86" s="83" t="str">
        <f ca="1">IF(AND('Mapa final'!$AB$118="Alta",'Mapa final'!$AD$118="Moderado"),CONCATENATE("R37C",'Mapa final'!$R$118),"")</f>
        <v/>
      </c>
      <c r="Q86" s="195" t="str">
        <f>IF(AND('Mapa final'!$AB$119="Alta",'Mapa final'!$AD$119="Moderado"),CONCATENATE("R37C",'Mapa final'!$R$119),"")</f>
        <v/>
      </c>
      <c r="R86" s="84" t="str">
        <f>IF(AND('Mapa final'!$AB$120="Alta",'Mapa final'!$AD$120="Moderado"),CONCATENATE("R37C",'Mapa final'!$R$120),"")</f>
        <v/>
      </c>
      <c r="S86" s="83" t="str">
        <f ca="1">IF(AND('Mapa final'!$AB$118="Alta",'Mapa final'!$AD$118="Mayor"),CONCATENATE("R37C",'Mapa final'!$R$118),"")</f>
        <v/>
      </c>
      <c r="T86" s="195" t="str">
        <f>IF(AND('Mapa final'!$AB$119="Alta",'Mapa final'!$AD$119="Mayor"),CONCATENATE("R37C",'Mapa final'!$R$119),"")</f>
        <v/>
      </c>
      <c r="U86" s="84" t="str">
        <f>IF(AND('Mapa final'!$AB$120="Alta",'Mapa final'!$AD$120="Mayor"),CONCATENATE("R37C",'Mapa final'!$R$120),"")</f>
        <v/>
      </c>
      <c r="V86" s="159" t="str">
        <f ca="1">IF(AND('Mapa final'!$AB$118="Alta",'Mapa final'!$AD$118="Catastrófico"),CONCATENATE("R37C",'Mapa final'!$R$118),"")</f>
        <v/>
      </c>
      <c r="W86" s="194" t="str">
        <f>IF(AND('Mapa final'!$AB$119="Alta",'Mapa final'!$AD$119="Catastrófico"),CONCATENATE("R37C",'Mapa final'!$R$119),"")</f>
        <v/>
      </c>
      <c r="X86" s="160" t="str">
        <f>IF(AND('Mapa final'!$AB$120="Alta",'Mapa final'!$AD$120="Catastrófico"),CONCATENATE("R37C",'Mapa final'!$R$120),"")</f>
        <v/>
      </c>
      <c r="Y86" s="38"/>
      <c r="Z86" s="329"/>
      <c r="AA86" s="330"/>
      <c r="AB86" s="330"/>
      <c r="AC86" s="330"/>
      <c r="AD86" s="330"/>
      <c r="AE86" s="331"/>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row>
    <row r="87" spans="1:61" ht="15" customHeight="1" x14ac:dyDescent="0.25">
      <c r="A87" s="38"/>
      <c r="B87" s="355"/>
      <c r="C87" s="356"/>
      <c r="D87" s="357"/>
      <c r="E87" s="339"/>
      <c r="F87" s="338"/>
      <c r="G87" s="338"/>
      <c r="H87" s="338"/>
      <c r="I87" s="338"/>
      <c r="J87" s="164" t="str">
        <f ca="1">IF(AND('Mapa final'!$AB$121="Alta",'Mapa final'!$AD$121="Leve"),CONCATENATE("R38C",'Mapa final'!$R$121),"")</f>
        <v/>
      </c>
      <c r="K87" s="193" t="str">
        <f>IF(AND('Mapa final'!$AB$122="Alta",'Mapa final'!$AD$122="Leve"),CONCATENATE("R38C",'Mapa final'!$R$122),"")</f>
        <v/>
      </c>
      <c r="L87" s="165" t="str">
        <f>IF(AND('Mapa final'!$AB$123="Alta",'Mapa final'!$AD$123="Leve"),CONCATENATE("R38C",'Mapa final'!$R$123),"")</f>
        <v/>
      </c>
      <c r="M87" s="164" t="str">
        <f ca="1">IF(AND('Mapa final'!$AB$121="Alta",'Mapa final'!$AD$121="Menor"),CONCATENATE("R38C",'Mapa final'!$R$121),"")</f>
        <v/>
      </c>
      <c r="N87" s="193" t="str">
        <f>IF(AND('Mapa final'!$AB$122="Alta",'Mapa final'!$AD$122="Menor"),CONCATENATE("R38C",'Mapa final'!$R$122),"")</f>
        <v/>
      </c>
      <c r="O87" s="165" t="str">
        <f>IF(AND('Mapa final'!$AB$123="Alta",'Mapa final'!$AD$123="Menor"),CONCATENATE("R38C",'Mapa final'!$R$123),"")</f>
        <v/>
      </c>
      <c r="P87" s="83" t="str">
        <f ca="1">IF(AND('Mapa final'!$AB$121="Alta",'Mapa final'!$AD$121="Moderado"),CONCATENATE("R38C",'Mapa final'!$R$121),"")</f>
        <v/>
      </c>
      <c r="Q87" s="195" t="str">
        <f>IF(AND('Mapa final'!$AB$122="Alta",'Mapa final'!$AD$122="Moderado"),CONCATENATE("R38C",'Mapa final'!$R$122),"")</f>
        <v/>
      </c>
      <c r="R87" s="84" t="str">
        <f>IF(AND('Mapa final'!$AB$123="Alta",'Mapa final'!$AD$123="Moderado"),CONCATENATE("R38C",'Mapa final'!$R$123),"")</f>
        <v/>
      </c>
      <c r="S87" s="83" t="str">
        <f ca="1">IF(AND('Mapa final'!$AB$121="Alta",'Mapa final'!$AD$121="Mayor"),CONCATENATE("R38C",'Mapa final'!$R$121),"")</f>
        <v/>
      </c>
      <c r="T87" s="195" t="str">
        <f>IF(AND('Mapa final'!$AB$122="Alta",'Mapa final'!$AD$122="Mayor"),CONCATENATE("R38C",'Mapa final'!$R$122),"")</f>
        <v/>
      </c>
      <c r="U87" s="84" t="str">
        <f>IF(AND('Mapa final'!$AB$123="Alta",'Mapa final'!$AD$123="Mayor"),CONCATENATE("R38C",'Mapa final'!$R$123),"")</f>
        <v/>
      </c>
      <c r="V87" s="159" t="str">
        <f ca="1">IF(AND('Mapa final'!$AB$121="Alta",'Mapa final'!$AD$121="Catastrófico"),CONCATENATE("R38C",'Mapa final'!$R$121),"")</f>
        <v/>
      </c>
      <c r="W87" s="194" t="str">
        <f>IF(AND('Mapa final'!$AB$122="Alta",'Mapa final'!$AD$122="Catastrófico"),CONCATENATE("R38C",'Mapa final'!$R$122),"")</f>
        <v/>
      </c>
      <c r="X87" s="160" t="str">
        <f>IF(AND('Mapa final'!$AB$123="Alta",'Mapa final'!$AD$123="Catastrófico"),CONCATENATE("R38C",'Mapa final'!$R$123),"")</f>
        <v/>
      </c>
      <c r="Y87" s="38"/>
      <c r="Z87" s="329"/>
      <c r="AA87" s="330"/>
      <c r="AB87" s="330"/>
      <c r="AC87" s="330"/>
      <c r="AD87" s="330"/>
      <c r="AE87" s="331"/>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row>
    <row r="88" spans="1:61" ht="15" customHeight="1" x14ac:dyDescent="0.25">
      <c r="A88" s="38"/>
      <c r="B88" s="355"/>
      <c r="C88" s="356"/>
      <c r="D88" s="357"/>
      <c r="E88" s="339"/>
      <c r="F88" s="338"/>
      <c r="G88" s="338"/>
      <c r="H88" s="338"/>
      <c r="I88" s="338"/>
      <c r="J88" s="164" t="str">
        <f ca="1">IF(AND('Mapa final'!$AB$124="Alta",'Mapa final'!$AD$124="Leve"),CONCATENATE("R39C",'Mapa final'!$R$124),"")</f>
        <v/>
      </c>
      <c r="K88" s="193" t="str">
        <f>IF(AND('Mapa final'!$AB$125="Alta",'Mapa final'!$AD$125="Leve"),CONCATENATE("R39C",'Mapa final'!$R$125),"")</f>
        <v/>
      </c>
      <c r="L88" s="165" t="str">
        <f>IF(AND('Mapa final'!$AB$126="Alta",'Mapa final'!$AD$126="Leve"),CONCATENATE("R39C",'Mapa final'!$R$126),"")</f>
        <v/>
      </c>
      <c r="M88" s="164" t="str">
        <f ca="1">IF(AND('Mapa final'!$AB$124="Alta",'Mapa final'!$AD$124="Menor"),CONCATENATE("R39C",'Mapa final'!$R$124),"")</f>
        <v/>
      </c>
      <c r="N88" s="193" t="str">
        <f>IF(AND('Mapa final'!$AB$125="Alta",'Mapa final'!$AD$125="Menor"),CONCATENATE("R39C",'Mapa final'!$R$125),"")</f>
        <v/>
      </c>
      <c r="O88" s="165" t="str">
        <f>IF(AND('Mapa final'!$AB$126="Alta",'Mapa final'!$AD$126="Menor"),CONCATENATE("R39C",'Mapa final'!$R$126),"")</f>
        <v/>
      </c>
      <c r="P88" s="83" t="str">
        <f ca="1">IF(AND('Mapa final'!$AB$124="Alta",'Mapa final'!$AD$124="Moderado"),CONCATENATE("R39C",'Mapa final'!$R$124),"")</f>
        <v/>
      </c>
      <c r="Q88" s="195" t="str">
        <f>IF(AND('Mapa final'!$AB$125="Alta",'Mapa final'!$AD$125="Moderado"),CONCATENATE("R39C",'Mapa final'!$R$125),"")</f>
        <v/>
      </c>
      <c r="R88" s="84" t="str">
        <f>IF(AND('Mapa final'!$AB$126="Alta",'Mapa final'!$AD$126="Moderado"),CONCATENATE("R39C",'Mapa final'!$R$126),"")</f>
        <v/>
      </c>
      <c r="S88" s="83" t="str">
        <f ca="1">IF(AND('Mapa final'!$AB$124="Alta",'Mapa final'!$AD$124="Mayor"),CONCATENATE("R39C",'Mapa final'!$R$124),"")</f>
        <v/>
      </c>
      <c r="T88" s="195" t="str">
        <f>IF(AND('Mapa final'!$AB$125="Alta",'Mapa final'!$AD$125="Mayor"),CONCATENATE("R39C",'Mapa final'!$R$125),"")</f>
        <v/>
      </c>
      <c r="U88" s="84" t="str">
        <f>IF(AND('Mapa final'!$AB$126="Alta",'Mapa final'!$AD$126="Mayor"),CONCATENATE("R39C",'Mapa final'!$R$126),"")</f>
        <v/>
      </c>
      <c r="V88" s="159" t="str">
        <f ca="1">IF(AND('Mapa final'!$AB$124="Alta",'Mapa final'!$AD$124="Catastrófico"),CONCATENATE("R39C",'Mapa final'!$R$124),"")</f>
        <v/>
      </c>
      <c r="W88" s="194" t="str">
        <f>IF(AND('Mapa final'!$AB$125="Alta",'Mapa final'!$AD$125="Catastrófico"),CONCATENATE("R39C",'Mapa final'!$R$125),"")</f>
        <v/>
      </c>
      <c r="X88" s="160" t="str">
        <f>IF(AND('Mapa final'!$AB$126="Alta",'Mapa final'!$AD$126="Catastrófico"),CONCATENATE("R39C",'Mapa final'!$R$126),"")</f>
        <v/>
      </c>
      <c r="Y88" s="38"/>
      <c r="Z88" s="329"/>
      <c r="AA88" s="330"/>
      <c r="AB88" s="330"/>
      <c r="AC88" s="330"/>
      <c r="AD88" s="330"/>
      <c r="AE88" s="331"/>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row>
    <row r="89" spans="1:61" ht="15" customHeight="1" x14ac:dyDescent="0.25">
      <c r="A89" s="38"/>
      <c r="B89" s="355"/>
      <c r="C89" s="356"/>
      <c r="D89" s="357"/>
      <c r="E89" s="339"/>
      <c r="F89" s="338"/>
      <c r="G89" s="338"/>
      <c r="H89" s="338"/>
      <c r="I89" s="338"/>
      <c r="J89" s="164" t="str">
        <f ca="1">IF(AND('Mapa final'!$AB$127="Alta",'Mapa final'!$AD$127="Leve"),CONCATENATE("R40C",'Mapa final'!$R$127),"")</f>
        <v/>
      </c>
      <c r="K89" s="193" t="str">
        <f>IF(AND('Mapa final'!$AB$128="Alta",'Mapa final'!$AD$128="Leve"),CONCATENATE("R40C",'Mapa final'!$R$128),"")</f>
        <v/>
      </c>
      <c r="L89" s="165" t="str">
        <f>IF(AND('Mapa final'!$AB$129="Alta",'Mapa final'!$AD$129="Leve"),CONCATENATE("R40C",'Mapa final'!$R$129),"")</f>
        <v/>
      </c>
      <c r="M89" s="164" t="str">
        <f ca="1">IF(AND('Mapa final'!$AB$127="Alta",'Mapa final'!$AD$127="Menor"),CONCATENATE("R40C",'Mapa final'!$R$127),"")</f>
        <v/>
      </c>
      <c r="N89" s="193" t="str">
        <f>IF(AND('Mapa final'!$AB$128="Alta",'Mapa final'!$AD$128="Menor"),CONCATENATE("R40C",'Mapa final'!$R$128),"")</f>
        <v/>
      </c>
      <c r="O89" s="165" t="str">
        <f>IF(AND('Mapa final'!$AB$129="Alta",'Mapa final'!$AD$129="Menor"),CONCATENATE("R40C",'Mapa final'!$R$129),"")</f>
        <v/>
      </c>
      <c r="P89" s="83" t="str">
        <f ca="1">IF(AND('Mapa final'!$AB$127="Alta",'Mapa final'!$AD$127="Moderado"),CONCATENATE("R40C",'Mapa final'!$R$127),"")</f>
        <v/>
      </c>
      <c r="Q89" s="195" t="str">
        <f>IF(AND('Mapa final'!$AB$128="Alta",'Mapa final'!$AD$128="Moderado"),CONCATENATE("R40C",'Mapa final'!$R$128),"")</f>
        <v/>
      </c>
      <c r="R89" s="84" t="str">
        <f>IF(AND('Mapa final'!$AB$129="Alta",'Mapa final'!$AD$129="Moderado"),CONCATENATE("R40C",'Mapa final'!$R$129),"")</f>
        <v/>
      </c>
      <c r="S89" s="83" t="str">
        <f ca="1">IF(AND('Mapa final'!$AB$127="Alta",'Mapa final'!$AD$127="Mayor"),CONCATENATE("R40C",'Mapa final'!$R$127),"")</f>
        <v/>
      </c>
      <c r="T89" s="195" t="str">
        <f>IF(AND('Mapa final'!$AB$128="Alta",'Mapa final'!$AD$128="Mayor"),CONCATENATE("R40C",'Mapa final'!$R$128),"")</f>
        <v/>
      </c>
      <c r="U89" s="84" t="str">
        <f>IF(AND('Mapa final'!$AB$129="Alta",'Mapa final'!$AD$129="Mayor"),CONCATENATE("R40C",'Mapa final'!$R$129),"")</f>
        <v/>
      </c>
      <c r="V89" s="159" t="str">
        <f ca="1">IF(AND('Mapa final'!$AB$127="Alta",'Mapa final'!$AD$127="Catastrófico"),CONCATENATE("R40C",'Mapa final'!$R$127),"")</f>
        <v/>
      </c>
      <c r="W89" s="194" t="str">
        <f>IF(AND('Mapa final'!$AB$128="Alta",'Mapa final'!$AD$128="Catastrófico"),CONCATENATE("R40C",'Mapa final'!$R$128),"")</f>
        <v/>
      </c>
      <c r="X89" s="160" t="str">
        <f>IF(AND('Mapa final'!$AB$129="Alta",'Mapa final'!$AD$129="Catastrófico"),CONCATENATE("R40C",'Mapa final'!$R$129),"")</f>
        <v/>
      </c>
      <c r="Y89" s="38"/>
      <c r="Z89" s="329"/>
      <c r="AA89" s="330"/>
      <c r="AB89" s="330"/>
      <c r="AC89" s="330"/>
      <c r="AD89" s="330"/>
      <c r="AE89" s="331"/>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row>
    <row r="90" spans="1:61" ht="15" customHeight="1" x14ac:dyDescent="0.25">
      <c r="A90" s="38"/>
      <c r="B90" s="355"/>
      <c r="C90" s="356"/>
      <c r="D90" s="357"/>
      <c r="E90" s="339"/>
      <c r="F90" s="338"/>
      <c r="G90" s="338"/>
      <c r="H90" s="338"/>
      <c r="I90" s="338"/>
      <c r="J90" s="164" t="str">
        <f ca="1">IF(AND('Mapa final'!$AB$130="Alta",'Mapa final'!$AD$130="Leve"),CONCATENATE("R41C",'Mapa final'!$R$130),"")</f>
        <v/>
      </c>
      <c r="K90" s="193" t="str">
        <f>IF(AND('Mapa final'!$AB$131="Alta",'Mapa final'!$AD$131="Leve"),CONCATENATE("R41C",'Mapa final'!$R$131),"")</f>
        <v/>
      </c>
      <c r="L90" s="165" t="str">
        <f>IF(AND('Mapa final'!$AB$132="Alta",'Mapa final'!$AD$132="Leve"),CONCATENATE("R41C",'Mapa final'!$R$132),"")</f>
        <v/>
      </c>
      <c r="M90" s="164" t="str">
        <f ca="1">IF(AND('Mapa final'!$AB$130="Alta",'Mapa final'!$AD$130="Menor"),CONCATENATE("R41C",'Mapa final'!$R$130),"")</f>
        <v/>
      </c>
      <c r="N90" s="193" t="str">
        <f>IF(AND('Mapa final'!$AB$131="Alta",'Mapa final'!$AD$131="Menor"),CONCATENATE("R41C",'Mapa final'!$R$131),"")</f>
        <v/>
      </c>
      <c r="O90" s="165" t="str">
        <f>IF(AND('Mapa final'!$AB$132="Alta",'Mapa final'!$AD$132="Menor"),CONCATENATE("R41C",'Mapa final'!$R$132),"")</f>
        <v/>
      </c>
      <c r="P90" s="83" t="str">
        <f ca="1">IF(AND('Mapa final'!$AB$130="Alta",'Mapa final'!$AD$130="Moderado"),CONCATENATE("R41C",'Mapa final'!$R$130),"")</f>
        <v/>
      </c>
      <c r="Q90" s="195" t="str">
        <f>IF(AND('Mapa final'!$AB$131="Alta",'Mapa final'!$AD$131="Moderado"),CONCATENATE("R41C",'Mapa final'!$R$131),"")</f>
        <v/>
      </c>
      <c r="R90" s="84" t="str">
        <f>IF(AND('Mapa final'!$AB$132="Alta",'Mapa final'!$AD$132="Moderado"),CONCATENATE("R41C",'Mapa final'!$R$132),"")</f>
        <v/>
      </c>
      <c r="S90" s="83" t="str">
        <f ca="1">IF(AND('Mapa final'!$AB$130="Alta",'Mapa final'!$AD$130="Mayor"),CONCATENATE("R41C",'Mapa final'!$R$130),"")</f>
        <v/>
      </c>
      <c r="T90" s="195" t="str">
        <f>IF(AND('Mapa final'!$AB$131="Alta",'Mapa final'!$AD$131="Mayor"),CONCATENATE("R41C",'Mapa final'!$R$131),"")</f>
        <v/>
      </c>
      <c r="U90" s="84" t="str">
        <f>IF(AND('Mapa final'!$AB$132="Alta",'Mapa final'!$AD$132="Mayor"),CONCATENATE("R41C",'Mapa final'!$R$132),"")</f>
        <v/>
      </c>
      <c r="V90" s="159" t="str">
        <f ca="1">IF(AND('Mapa final'!$AB$130="Alta",'Mapa final'!$AD$130="Catastrófico"),CONCATENATE("R41C",'Mapa final'!$R$130),"")</f>
        <v/>
      </c>
      <c r="W90" s="194" t="str">
        <f>IF(AND('Mapa final'!$AB$131="Alta",'Mapa final'!$AD$131="Catastrófico"),CONCATENATE("R41C",'Mapa final'!$R$131),"")</f>
        <v/>
      </c>
      <c r="X90" s="160" t="str">
        <f>IF(AND('Mapa final'!$AB$132="Alta",'Mapa final'!$AD$132="Catastrófico"),CONCATENATE("R41C",'Mapa final'!$R$132),"")</f>
        <v/>
      </c>
      <c r="Y90" s="38"/>
      <c r="Z90" s="329"/>
      <c r="AA90" s="330"/>
      <c r="AB90" s="330"/>
      <c r="AC90" s="330"/>
      <c r="AD90" s="330"/>
      <c r="AE90" s="331"/>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row>
    <row r="91" spans="1:61" ht="15" customHeight="1" thickBot="1" x14ac:dyDescent="0.3">
      <c r="A91" s="38"/>
      <c r="B91" s="355"/>
      <c r="C91" s="356"/>
      <c r="D91" s="357"/>
      <c r="E91" s="339"/>
      <c r="F91" s="338"/>
      <c r="G91" s="338"/>
      <c r="H91" s="338"/>
      <c r="I91" s="338"/>
      <c r="J91" s="164" t="str">
        <f ca="1">IF(AND('Mapa final'!$AB$133="Alta",'Mapa final'!$AD$133="Leve"),CONCATENATE("R42C",'Mapa final'!$R$133),"")</f>
        <v/>
      </c>
      <c r="K91" s="193" t="str">
        <f>IF(AND('Mapa final'!$AB$134="Alta",'Mapa final'!$AD$134="Leve"),CONCATENATE("R42C",'Mapa final'!$R$134),"")</f>
        <v/>
      </c>
      <c r="L91" s="165" t="str">
        <f>IF(AND('Mapa final'!$AB$135="Alta",'Mapa final'!$AD$135="Leve"),CONCATENATE("R42C",'Mapa final'!$R$135),"")</f>
        <v/>
      </c>
      <c r="M91" s="164" t="str">
        <f ca="1">IF(AND('Mapa final'!$AB$133="Alta",'Mapa final'!$AD$133="Menor"),CONCATENATE("R42C",'Mapa final'!$R$133),"")</f>
        <v/>
      </c>
      <c r="N91" s="193" t="str">
        <f>IF(AND('Mapa final'!$AB$134="Alta",'Mapa final'!$AD$134="Menor"),CONCATENATE("R42C",'Mapa final'!$R$134),"")</f>
        <v/>
      </c>
      <c r="O91" s="165" t="str">
        <f>IF(AND('Mapa final'!$AB$135="Alta",'Mapa final'!$AD$135="Menor"),CONCATENATE("R42C",'Mapa final'!$R$135),"")</f>
        <v/>
      </c>
      <c r="P91" s="83" t="str">
        <f ca="1">IF(AND('Mapa final'!$AB$133="Alta",'Mapa final'!$AD$133="Moderado"),CONCATENATE("R42C",'Mapa final'!$R$133),"")</f>
        <v/>
      </c>
      <c r="Q91" s="195" t="str">
        <f>IF(AND('Mapa final'!$AB$134="Alta",'Mapa final'!$AD$134="Moderado"),CONCATENATE("R42C",'Mapa final'!$R$134),"")</f>
        <v/>
      </c>
      <c r="R91" s="84" t="str">
        <f>IF(AND('Mapa final'!$AB$135="Alta",'Mapa final'!$AD$135="Moderado"),CONCATENATE("R42C",'Mapa final'!$R$135),"")</f>
        <v/>
      </c>
      <c r="S91" s="83" t="str">
        <f ca="1">IF(AND('Mapa final'!$AB$133="Alta",'Mapa final'!$AD$133="Mayor"),CONCATENATE("R42C",'Mapa final'!$R$133),"")</f>
        <v/>
      </c>
      <c r="T91" s="195" t="str">
        <f>IF(AND('Mapa final'!$AB$134="Alta",'Mapa final'!$AD$134="Mayor"),CONCATENATE("R42C",'Mapa final'!$R$134),"")</f>
        <v/>
      </c>
      <c r="U91" s="84" t="str">
        <f>IF(AND('Mapa final'!$AB$135="Alta",'Mapa final'!$AD$135="Mayor"),CONCATENATE("R42C",'Mapa final'!$R$135),"")</f>
        <v/>
      </c>
      <c r="V91" s="159" t="str">
        <f ca="1">IF(AND('Mapa final'!$AB$133="Alta",'Mapa final'!$AD$133="Catastrófico"),CONCATENATE("R42C",'Mapa final'!$R$133),"")</f>
        <v/>
      </c>
      <c r="W91" s="194" t="str">
        <f>IF(AND('Mapa final'!$AB$134="Alta",'Mapa final'!$AD$134="Catastrófico"),CONCATENATE("R42C",'Mapa final'!$R$134),"")</f>
        <v/>
      </c>
      <c r="X91" s="160" t="str">
        <f>IF(AND('Mapa final'!$AB$135="Alta",'Mapa final'!$AD$135="Catastrófico"),CONCATENATE("R42C",'Mapa final'!$R$135),"")</f>
        <v/>
      </c>
      <c r="Y91" s="38"/>
      <c r="Z91" s="332"/>
      <c r="AA91" s="333"/>
      <c r="AB91" s="333"/>
      <c r="AC91" s="333"/>
      <c r="AD91" s="333"/>
      <c r="AE91" s="334"/>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row>
    <row r="92" spans="1:61" ht="15" customHeight="1" x14ac:dyDescent="0.25">
      <c r="A92" s="38"/>
      <c r="B92" s="355"/>
      <c r="C92" s="356"/>
      <c r="D92" s="357"/>
      <c r="E92" s="335" t="s">
        <v>108</v>
      </c>
      <c r="F92" s="336"/>
      <c r="G92" s="336"/>
      <c r="H92" s="336"/>
      <c r="I92" s="336"/>
      <c r="J92" s="161" t="str">
        <f ca="1">IF(AND('Mapa final'!$AB$7="Media",'Mapa final'!$AD$7="Leve"),CONCATENATE("R1C",'Mapa final'!$R$7),"")</f>
        <v/>
      </c>
      <c r="K92" s="162" t="str">
        <f ca="1">IF(AND('Mapa final'!$AB$8="Media",'Mapa final'!$AD$8="Leve"),CONCATENATE("R1C",'Mapa final'!$R$8),"")</f>
        <v/>
      </c>
      <c r="L92" s="163" t="str">
        <f>IF(AND('Mapa final'!$AB$9="Media",'Mapa final'!$AD$9="Leve"),CONCATENATE("R1C",'Mapa final'!$R$9),"")</f>
        <v/>
      </c>
      <c r="M92" s="161" t="str">
        <f ca="1">IF(AND('Mapa final'!$AB$7="Media",'Mapa final'!$AD$7="Menor"),CONCATENATE("R1C",'Mapa final'!$R$7),"")</f>
        <v/>
      </c>
      <c r="N92" s="162" t="str">
        <f ca="1">IF(AND('Mapa final'!$AB$8="Media",'Mapa final'!$AD$8="Menor"),CONCATENATE("R1C",'Mapa final'!$R$8),"")</f>
        <v/>
      </c>
      <c r="O92" s="163" t="str">
        <f>IF(AND('Mapa final'!$AB$9="Media",'Mapa final'!$AD$9="Menor"),CONCATENATE("R1C",'Mapa final'!$R$9),"")</f>
        <v/>
      </c>
      <c r="P92" s="161" t="str">
        <f ca="1">IF(AND('Mapa final'!$AB$7="Media",'Mapa final'!$AD$7="Moderado"),CONCATENATE("R1C",'Mapa final'!$R$7),"")</f>
        <v/>
      </c>
      <c r="Q92" s="162" t="str">
        <f ca="1">IF(AND('Mapa final'!$AB$8="Media",'Mapa final'!$AD$8="Moderado"),CONCATENATE("R1C",'Mapa final'!$R$8),"")</f>
        <v/>
      </c>
      <c r="R92" s="163" t="str">
        <f>IF(AND('Mapa final'!$AB$9="Media",'Mapa final'!$AD$9="Moderado"),CONCATENATE("R1C",'Mapa final'!$R$9),"")</f>
        <v/>
      </c>
      <c r="S92" s="80" t="str">
        <f ca="1">IF(AND('Mapa final'!$AB$7="Media",'Mapa final'!$AD$7="Mayor"),CONCATENATE("R1C",'Mapa final'!$R$7),"")</f>
        <v/>
      </c>
      <c r="T92" s="81" t="str">
        <f ca="1">IF(AND('Mapa final'!$AB$8="Media",'Mapa final'!$AD$8="Mayor"),CONCATENATE("R1C",'Mapa final'!$R$8),"")</f>
        <v/>
      </c>
      <c r="U92" s="82" t="str">
        <f>IF(AND('Mapa final'!$AB$9="Media",'Mapa final'!$AD$9="Mayor"),CONCATENATE("R1C",'Mapa final'!$R$9),"")</f>
        <v/>
      </c>
      <c r="V92" s="156" t="str">
        <f ca="1">IF(AND('Mapa final'!$AB$7="Media",'Mapa final'!$AD$7="Catastrófico"),CONCATENATE("R1C",'Mapa final'!$R$7),"")</f>
        <v/>
      </c>
      <c r="W92" s="157" t="str">
        <f ca="1">IF(AND('Mapa final'!$AB$8="Media",'Mapa final'!$AD$8="Catastrófico"),CONCATENATE("R1C",'Mapa final'!$R$8),"")</f>
        <v/>
      </c>
      <c r="X92" s="158" t="str">
        <f>IF(AND('Mapa final'!$AB$9="Media",'Mapa final'!$AD$9="Catastrófico"),CONCATENATE("R1C",'Mapa final'!$R$9),"")</f>
        <v/>
      </c>
      <c r="Y92" s="38"/>
      <c r="Z92" s="372" t="s">
        <v>75</v>
      </c>
      <c r="AA92" s="373"/>
      <c r="AB92" s="373"/>
      <c r="AC92" s="373"/>
      <c r="AD92" s="373"/>
      <c r="AE92" s="374"/>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row>
    <row r="93" spans="1:61" ht="15" customHeight="1" x14ac:dyDescent="0.25">
      <c r="A93" s="38"/>
      <c r="B93" s="355"/>
      <c r="C93" s="356"/>
      <c r="D93" s="357"/>
      <c r="E93" s="337"/>
      <c r="F93" s="338"/>
      <c r="G93" s="338"/>
      <c r="H93" s="338"/>
      <c r="I93" s="338"/>
      <c r="J93" s="164" t="str">
        <f ca="1">IF(AND('Mapa final'!$AB$10="Media",'Mapa final'!$AD$10="Leve"),CONCATENATE("R2C",'Mapa final'!$R$10),"")</f>
        <v/>
      </c>
      <c r="K93" s="193" t="str">
        <f>IF(AND('Mapa final'!$AB$11="Media",'Mapa final'!$AD$11="Leve"),CONCATENATE("R2C",'Mapa final'!$R$11),"")</f>
        <v/>
      </c>
      <c r="L93" s="165" t="str">
        <f>IF(AND('Mapa final'!$AB$12="Media",'Mapa final'!$AD$12="Leve"),CONCATENATE("R2C",'Mapa final'!$R$12),"")</f>
        <v/>
      </c>
      <c r="M93" s="164" t="str">
        <f ca="1">IF(AND('Mapa final'!$AB$10="Media",'Mapa final'!$AD$10="Menor"),CONCATENATE("R2C",'Mapa final'!$R$10),"")</f>
        <v/>
      </c>
      <c r="N93" s="193" t="str">
        <f>IF(AND('Mapa final'!$AB$11="Media",'Mapa final'!$AD$11="Menor"),CONCATENATE("R2C",'Mapa final'!$R$11),"")</f>
        <v/>
      </c>
      <c r="O93" s="165" t="str">
        <f>IF(AND('Mapa final'!$AB$12="Media",'Mapa final'!$AD$12="Menor"),CONCATENATE("R2C",'Mapa final'!$R$12),"")</f>
        <v/>
      </c>
      <c r="P93" s="164" t="str">
        <f ca="1">IF(AND('Mapa final'!$AB$10="Media",'Mapa final'!$AD$10="Moderado"),CONCATENATE("R2C",'Mapa final'!$R$10),"")</f>
        <v/>
      </c>
      <c r="Q93" s="193" t="str">
        <f>IF(AND('Mapa final'!$AB$11="Media",'Mapa final'!$AD$11="Moderado"),CONCATENATE("R2C",'Mapa final'!$R$11),"")</f>
        <v/>
      </c>
      <c r="R93" s="165" t="str">
        <f>IF(AND('Mapa final'!$AB$12="Media",'Mapa final'!$AD$12="Moderado"),CONCATENATE("R2C",'Mapa final'!$R$12),"")</f>
        <v/>
      </c>
      <c r="S93" s="83" t="str">
        <f ca="1">IF(AND('Mapa final'!$AB$10="Media",'Mapa final'!$AD$10="Mayor"),CONCATENATE("R2C",'Mapa final'!$R$10),"")</f>
        <v/>
      </c>
      <c r="T93" s="195" t="str">
        <f>IF(AND('Mapa final'!$AB$11="Media",'Mapa final'!$AD$11="Mayor"),CONCATENATE("R2C",'Mapa final'!$R$11),"")</f>
        <v/>
      </c>
      <c r="U93" s="84" t="str">
        <f>IF(AND('Mapa final'!$AB$12="Media",'Mapa final'!$AD$12="Mayor"),CONCATENATE("R2C",'Mapa final'!$R$12),"")</f>
        <v/>
      </c>
      <c r="V93" s="159" t="str">
        <f ca="1">IF(AND('Mapa final'!$AB$10="Media",'Mapa final'!$AD$10="Catastrófico"),CONCATENATE("R2C",'Mapa final'!$R$10),"")</f>
        <v/>
      </c>
      <c r="W93" s="194" t="str">
        <f>IF(AND('Mapa final'!$AB$11="Media",'Mapa final'!$AD$11="Catastrófico"),CONCATENATE("R2C",'Mapa final'!$R$11),"")</f>
        <v/>
      </c>
      <c r="X93" s="160" t="str">
        <f>IF(AND('Mapa final'!$AB$12="Media",'Mapa final'!$AD$12="Catastrófico"),CONCATENATE("R2C",'Mapa final'!$R$12),"")</f>
        <v/>
      </c>
      <c r="Y93" s="38"/>
      <c r="Z93" s="375"/>
      <c r="AA93" s="376"/>
      <c r="AB93" s="376"/>
      <c r="AC93" s="376"/>
      <c r="AD93" s="376"/>
      <c r="AE93" s="377"/>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row>
    <row r="94" spans="1:61" ht="15" customHeight="1" x14ac:dyDescent="0.25">
      <c r="A94" s="38"/>
      <c r="B94" s="355"/>
      <c r="C94" s="356"/>
      <c r="D94" s="357"/>
      <c r="E94" s="339"/>
      <c r="F94" s="338"/>
      <c r="G94" s="338"/>
      <c r="H94" s="338"/>
      <c r="I94" s="338"/>
      <c r="J94" s="164" t="str">
        <f ca="1">IF(AND('Mapa final'!$AB$13="Media",'Mapa final'!$AD$13="Leve"),CONCATENATE("R3C",'Mapa final'!$R$13),"")</f>
        <v/>
      </c>
      <c r="K94" s="193" t="str">
        <f>IF(AND('Mapa final'!$AB$14="Media",'Mapa final'!$AD$14="Leve"),CONCATENATE("R3C",'Mapa final'!$R$14),"")</f>
        <v/>
      </c>
      <c r="L94" s="165" t="str">
        <f>IF(AND('Mapa final'!$AB$15="Media",'Mapa final'!$AD$15="Leve"),CONCATENATE("R3C",'Mapa final'!$R$15),"")</f>
        <v/>
      </c>
      <c r="M94" s="164" t="str">
        <f ca="1">IF(AND('Mapa final'!$AB$13="Media",'Mapa final'!$AD$13="Menor"),CONCATENATE("R3C",'Mapa final'!$R$13),"")</f>
        <v/>
      </c>
      <c r="N94" s="193" t="str">
        <f>IF(AND('Mapa final'!$AB$14="Media",'Mapa final'!$AD$14="Menor"),CONCATENATE("R3C",'Mapa final'!$R$14),"")</f>
        <v/>
      </c>
      <c r="O94" s="165" t="str">
        <f>IF(AND('Mapa final'!$AB$15="Media",'Mapa final'!$AD$15="Menor"),CONCATENATE("R3C",'Mapa final'!$R$15),"")</f>
        <v/>
      </c>
      <c r="P94" s="164" t="str">
        <f ca="1">IF(AND('Mapa final'!$AB$13="Media",'Mapa final'!$AD$13="Moderado"),CONCATENATE("R3C",'Mapa final'!$R$13),"")</f>
        <v>R3C1</v>
      </c>
      <c r="Q94" s="193" t="str">
        <f>IF(AND('Mapa final'!$AB$14="Media",'Mapa final'!$AD$14="Moderado"),CONCATENATE("R3C",'Mapa final'!$R$14),"")</f>
        <v/>
      </c>
      <c r="R94" s="165" t="str">
        <f>IF(AND('Mapa final'!$AB$15="Media",'Mapa final'!$AD$15="Moderado"),CONCATENATE("R3C",'Mapa final'!$R$15),"")</f>
        <v/>
      </c>
      <c r="S94" s="83" t="str">
        <f ca="1">IF(AND('Mapa final'!$AB$13="Media",'Mapa final'!$AD$13="Mayor"),CONCATENATE("R3C",'Mapa final'!$R$13),"")</f>
        <v/>
      </c>
      <c r="T94" s="195" t="str">
        <f>IF(AND('Mapa final'!$AB$14="Media",'Mapa final'!$AD$14="Mayor"),CONCATENATE("R3C",'Mapa final'!$R$14),"")</f>
        <v/>
      </c>
      <c r="U94" s="84" t="str">
        <f>IF(AND('Mapa final'!$AB$15="Media",'Mapa final'!$AD$15="Mayor"),CONCATENATE("R3C",'Mapa final'!$R$15),"")</f>
        <v/>
      </c>
      <c r="V94" s="159" t="str">
        <f ca="1">IF(AND('Mapa final'!$AB$13="Media",'Mapa final'!$AD$13="Catastrófico"),CONCATENATE("R3C",'Mapa final'!$R$13),"")</f>
        <v/>
      </c>
      <c r="W94" s="194" t="str">
        <f>IF(AND('Mapa final'!$AB$14="Media",'Mapa final'!$AD$14="Catastrófico"),CONCATENATE("R3C",'Mapa final'!$R$14),"")</f>
        <v/>
      </c>
      <c r="X94" s="160" t="str">
        <f>IF(AND('Mapa final'!$AB$15="Media",'Mapa final'!$AD$15="Catastrófico"),CONCATENATE("R3C",'Mapa final'!$R$15),"")</f>
        <v/>
      </c>
      <c r="Y94" s="38"/>
      <c r="Z94" s="375"/>
      <c r="AA94" s="376"/>
      <c r="AB94" s="376"/>
      <c r="AC94" s="376"/>
      <c r="AD94" s="376"/>
      <c r="AE94" s="377"/>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row>
    <row r="95" spans="1:61" ht="15" customHeight="1" x14ac:dyDescent="0.25">
      <c r="A95" s="38"/>
      <c r="B95" s="355"/>
      <c r="C95" s="356"/>
      <c r="D95" s="357"/>
      <c r="E95" s="339"/>
      <c r="F95" s="338"/>
      <c r="G95" s="338"/>
      <c r="H95" s="338"/>
      <c r="I95" s="338"/>
      <c r="J95" s="164" t="str">
        <f ca="1">IF(AND('Mapa final'!$AB$16="Media",'Mapa final'!$AD$16="Leve"),CONCATENATE("R4C",'Mapa final'!$R$16),"")</f>
        <v/>
      </c>
      <c r="K95" s="193" t="str">
        <f>IF(AND('Mapa final'!$AB$17="Media",'Mapa final'!$AD$17="Leve"),CONCATENATE("R4C",'Mapa final'!$R$17),"")</f>
        <v/>
      </c>
      <c r="L95" s="165" t="str">
        <f>IF(AND('Mapa final'!$AB$18="Media",'Mapa final'!$AD$18="Leve"),CONCATENATE("R4C",'Mapa final'!$R$18),"")</f>
        <v/>
      </c>
      <c r="M95" s="164" t="str">
        <f ca="1">IF(AND('Mapa final'!$AB$16="Media",'Mapa final'!$AD$16="Menor"),CONCATENATE("R4C",'Mapa final'!$R$16),"")</f>
        <v>R4C1</v>
      </c>
      <c r="N95" s="193" t="str">
        <f>IF(AND('Mapa final'!$AB$17="Media",'Mapa final'!$AD$17="Menor"),CONCATENATE("R4C",'Mapa final'!$R$17),"")</f>
        <v/>
      </c>
      <c r="O95" s="165" t="str">
        <f>IF(AND('Mapa final'!$AB$18="Media",'Mapa final'!$AD$18="Menor"),CONCATENATE("R4C",'Mapa final'!$R$18),"")</f>
        <v/>
      </c>
      <c r="P95" s="164" t="str">
        <f ca="1">IF(AND('Mapa final'!$AB$16="Media",'Mapa final'!$AD$16="Moderado"),CONCATENATE("R4C",'Mapa final'!$R$16),"")</f>
        <v/>
      </c>
      <c r="Q95" s="193" t="str">
        <f>IF(AND('Mapa final'!$AB$17="Media",'Mapa final'!$AD$17="Moderado"),CONCATENATE("R4C",'Mapa final'!$R$17),"")</f>
        <v/>
      </c>
      <c r="R95" s="165" t="str">
        <f>IF(AND('Mapa final'!$AB$18="Media",'Mapa final'!$AD$18="Moderado"),CONCATENATE("R4C",'Mapa final'!$R$18),"")</f>
        <v/>
      </c>
      <c r="S95" s="83" t="str">
        <f ca="1">IF(AND('Mapa final'!$AB$16="Media",'Mapa final'!$AD$16="Mayor"),CONCATENATE("R4C",'Mapa final'!$R$16),"")</f>
        <v/>
      </c>
      <c r="T95" s="195" t="str">
        <f>IF(AND('Mapa final'!$AB$17="Media",'Mapa final'!$AD$17="Mayor"),CONCATENATE("R4C",'Mapa final'!$R$17),"")</f>
        <v/>
      </c>
      <c r="U95" s="84" t="str">
        <f>IF(AND('Mapa final'!$AB$18="Media",'Mapa final'!$AD$18="Mayor"),CONCATENATE("R4C",'Mapa final'!$R$18),"")</f>
        <v/>
      </c>
      <c r="V95" s="159" t="str">
        <f ca="1">IF(AND('Mapa final'!$AB$16="Media",'Mapa final'!$AD$16="Catastrófico"),CONCATENATE("R4C",'Mapa final'!$R$16),"")</f>
        <v/>
      </c>
      <c r="W95" s="194" t="str">
        <f>IF(AND('Mapa final'!$AB$17="Media",'Mapa final'!$AD$17="Catastrófico"),CONCATENATE("R4C",'Mapa final'!$R$17),"")</f>
        <v/>
      </c>
      <c r="X95" s="160" t="str">
        <f>IF(AND('Mapa final'!$AB$18="Media",'Mapa final'!$AD$18="Catastrófico"),CONCATENATE("R4C",'Mapa final'!$R$18),"")</f>
        <v/>
      </c>
      <c r="Y95" s="38"/>
      <c r="Z95" s="375"/>
      <c r="AA95" s="376"/>
      <c r="AB95" s="376"/>
      <c r="AC95" s="376"/>
      <c r="AD95" s="376"/>
      <c r="AE95" s="377"/>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row>
    <row r="96" spans="1:61" ht="15" customHeight="1" x14ac:dyDescent="0.25">
      <c r="A96" s="38"/>
      <c r="B96" s="355"/>
      <c r="C96" s="356"/>
      <c r="D96" s="357"/>
      <c r="E96" s="339"/>
      <c r="F96" s="338"/>
      <c r="G96" s="338"/>
      <c r="H96" s="338"/>
      <c r="I96" s="338"/>
      <c r="J96" s="164" t="str">
        <f ca="1">IF(AND('Mapa final'!$AB$19="Media",'Mapa final'!$AD$19="Leve"),CONCATENATE("R5C",'Mapa final'!$R$19),"")</f>
        <v/>
      </c>
      <c r="K96" s="193" t="str">
        <f>IF(AND('Mapa final'!$AB$20="Media",'Mapa final'!$AD$20="Leve"),CONCATENATE("R5C",'Mapa final'!$R$20),"")</f>
        <v/>
      </c>
      <c r="L96" s="165" t="str">
        <f>IF(AND('Mapa final'!$AB$21="Media",'Mapa final'!$AD$21="Leve"),CONCATENATE("R5C",'Mapa final'!$R$21),"")</f>
        <v/>
      </c>
      <c r="M96" s="164" t="str">
        <f ca="1">IF(AND('Mapa final'!$AB$19="Media",'Mapa final'!$AD$19="Menor"),CONCATENATE("R5C",'Mapa final'!$R$19),"")</f>
        <v/>
      </c>
      <c r="N96" s="193" t="str">
        <f>IF(AND('Mapa final'!$AB$20="Media",'Mapa final'!$AD$20="Menor"),CONCATENATE("R5C",'Mapa final'!$R$20),"")</f>
        <v/>
      </c>
      <c r="O96" s="165" t="str">
        <f>IF(AND('Mapa final'!$AB$21="Media",'Mapa final'!$AD$21="Menor"),CONCATENATE("R5C",'Mapa final'!$R$21),"")</f>
        <v/>
      </c>
      <c r="P96" s="164" t="str">
        <f ca="1">IF(AND('Mapa final'!$AB$19="Media",'Mapa final'!$AD$19="Moderado"),CONCATENATE("R5C",'Mapa final'!$R$19),"")</f>
        <v>R5C1</v>
      </c>
      <c r="Q96" s="193" t="str">
        <f>IF(AND('Mapa final'!$AB$20="Media",'Mapa final'!$AD$20="Moderado"),CONCATENATE("R5C",'Mapa final'!$R$20),"")</f>
        <v/>
      </c>
      <c r="R96" s="165" t="str">
        <f>IF(AND('Mapa final'!$AB$21="Media",'Mapa final'!$AD$21="Moderado"),CONCATENATE("R5C",'Mapa final'!$R$21),"")</f>
        <v/>
      </c>
      <c r="S96" s="83" t="str">
        <f ca="1">IF(AND('Mapa final'!$AB$19="Media",'Mapa final'!$AD$19="Mayor"),CONCATENATE("R5C",'Mapa final'!$R$19),"")</f>
        <v/>
      </c>
      <c r="T96" s="195" t="str">
        <f>IF(AND('Mapa final'!$AB$20="Media",'Mapa final'!$AD$20="Mayor"),CONCATENATE("R5C",'Mapa final'!$R$20),"")</f>
        <v/>
      </c>
      <c r="U96" s="84" t="str">
        <f>IF(AND('Mapa final'!$AB$21="Media",'Mapa final'!$AD$21="Mayor"),CONCATENATE("R5C",'Mapa final'!$R$21),"")</f>
        <v/>
      </c>
      <c r="V96" s="159" t="str">
        <f ca="1">IF(AND('Mapa final'!$AB$19="Media",'Mapa final'!$AD$19="Catastrófico"),CONCATENATE("R5C",'Mapa final'!$R$19),"")</f>
        <v/>
      </c>
      <c r="W96" s="194" t="str">
        <f>IF(AND('Mapa final'!$AB$20="Media",'Mapa final'!$AD$20="Catastrófico"),CONCATENATE("R5C",'Mapa final'!$R$20),"")</f>
        <v/>
      </c>
      <c r="X96" s="160" t="str">
        <f>IF(AND('Mapa final'!$AB$21="Media",'Mapa final'!$AD$21="Catastrófico"),CONCATENATE("R5C",'Mapa final'!$R$21),"")</f>
        <v/>
      </c>
      <c r="Y96" s="38"/>
      <c r="Z96" s="375"/>
      <c r="AA96" s="376"/>
      <c r="AB96" s="376"/>
      <c r="AC96" s="376"/>
      <c r="AD96" s="376"/>
      <c r="AE96" s="377"/>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row>
    <row r="97" spans="1:61" ht="15" customHeight="1" x14ac:dyDescent="0.25">
      <c r="A97" s="38"/>
      <c r="B97" s="355"/>
      <c r="C97" s="356"/>
      <c r="D97" s="357"/>
      <c r="E97" s="339"/>
      <c r="F97" s="338"/>
      <c r="G97" s="338"/>
      <c r="H97" s="338"/>
      <c r="I97" s="338"/>
      <c r="J97" s="164" t="str">
        <f ca="1">IF(AND('Mapa final'!$AB$22="Media",'Mapa final'!$AD$22="Leve"),CONCATENATE("R6C",'Mapa final'!$R$22),"")</f>
        <v/>
      </c>
      <c r="K97" s="193" t="str">
        <f>IF(AND('Mapa final'!$AB$23="Media",'Mapa final'!$AD$23="Leve"),CONCATENATE("R6C",'Mapa final'!$R$23),"")</f>
        <v/>
      </c>
      <c r="L97" s="165" t="str">
        <f>IF(AND('Mapa final'!$AB$24="Media",'Mapa final'!$AD$24="Leve"),CONCATENATE("R6C",'Mapa final'!$R$24),"")</f>
        <v/>
      </c>
      <c r="M97" s="164" t="str">
        <f ca="1">IF(AND('Mapa final'!$AB$22="Media",'Mapa final'!$AD$22="Menor"),CONCATENATE("R6C",'Mapa final'!$R$22),"")</f>
        <v/>
      </c>
      <c r="N97" s="193" t="str">
        <f>IF(AND('Mapa final'!$AB$23="Media",'Mapa final'!$AD$23="Menor"),CONCATENATE("R6C",'Mapa final'!$R$23),"")</f>
        <v/>
      </c>
      <c r="O97" s="165" t="str">
        <f>IF(AND('Mapa final'!$AB$24="Media",'Mapa final'!$AD$24="Menor"),CONCATENATE("R6C",'Mapa final'!$R$24),"")</f>
        <v/>
      </c>
      <c r="P97" s="164" t="str">
        <f ca="1">IF(AND('Mapa final'!$AB$22="Media",'Mapa final'!$AD$22="Moderado"),CONCATENATE("R6C",'Mapa final'!$R$22),"")</f>
        <v/>
      </c>
      <c r="Q97" s="193" t="str">
        <f>IF(AND('Mapa final'!$AB$23="Media",'Mapa final'!$AD$23="Moderado"),CONCATENATE("R6C",'Mapa final'!$R$23),"")</f>
        <v/>
      </c>
      <c r="R97" s="165" t="str">
        <f>IF(AND('Mapa final'!$AB$24="Media",'Mapa final'!$AD$24="Moderado"),CONCATENATE("R6C",'Mapa final'!$R$24),"")</f>
        <v/>
      </c>
      <c r="S97" s="83" t="str">
        <f ca="1">IF(AND('Mapa final'!$AB$22="Media",'Mapa final'!$AD$22="Mayor"),CONCATENATE("R6C",'Mapa final'!$R$22),"")</f>
        <v>R6C1</v>
      </c>
      <c r="T97" s="195" t="str">
        <f>IF(AND('Mapa final'!$AB$23="Media",'Mapa final'!$AD$23="Mayor"),CONCATENATE("R6C",'Mapa final'!$R$23),"")</f>
        <v/>
      </c>
      <c r="U97" s="84" t="str">
        <f>IF(AND('Mapa final'!$AB$24="Media",'Mapa final'!$AD$24="Mayor"),CONCATENATE("R6C",'Mapa final'!$R$24),"")</f>
        <v/>
      </c>
      <c r="V97" s="159" t="str">
        <f ca="1">IF(AND('Mapa final'!$AB$22="Media",'Mapa final'!$AD$22="Catastrófico"),CONCATENATE("R6C",'Mapa final'!$R$22),"")</f>
        <v/>
      </c>
      <c r="W97" s="194" t="str">
        <f>IF(AND('Mapa final'!$AB$23="Media",'Mapa final'!$AD$23="Catastrófico"),CONCATENATE("R6C",'Mapa final'!$R$23),"")</f>
        <v/>
      </c>
      <c r="X97" s="160" t="str">
        <f>IF(AND('Mapa final'!$AB$24="Media",'Mapa final'!$AD$24="Catastrófico"),CONCATENATE("R6C",'Mapa final'!$R$24),"")</f>
        <v/>
      </c>
      <c r="Y97" s="38"/>
      <c r="Z97" s="375"/>
      <c r="AA97" s="376"/>
      <c r="AB97" s="376"/>
      <c r="AC97" s="376"/>
      <c r="AD97" s="376"/>
      <c r="AE97" s="377"/>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row>
    <row r="98" spans="1:61" ht="15" customHeight="1" x14ac:dyDescent="0.25">
      <c r="A98" s="38"/>
      <c r="B98" s="355"/>
      <c r="C98" s="356"/>
      <c r="D98" s="357"/>
      <c r="E98" s="339"/>
      <c r="F98" s="338"/>
      <c r="G98" s="338"/>
      <c r="H98" s="338"/>
      <c r="I98" s="338"/>
      <c r="J98" s="164" t="str">
        <f ca="1">IF(AND('Mapa final'!$AB$25="Media",'Mapa final'!$AD$25="Leve"),CONCATENATE("R7C",'Mapa final'!$R$25),"")</f>
        <v/>
      </c>
      <c r="K98" s="193" t="str">
        <f>IF(AND('Mapa final'!$AB$26="Media",'Mapa final'!$AD$26="Leve"),CONCATENATE("R7C",'Mapa final'!$R$26),"")</f>
        <v/>
      </c>
      <c r="L98" s="165" t="str">
        <f>IF(AND('Mapa final'!$AB$27="Media",'Mapa final'!$AD$27="Leve"),CONCATENATE("R7C",'Mapa final'!$R$27),"")</f>
        <v/>
      </c>
      <c r="M98" s="164" t="str">
        <f ca="1">IF(AND('Mapa final'!$AB$25="Media",'Mapa final'!$AD$25="Menor"),CONCATENATE("R7C",'Mapa final'!$R$25),"")</f>
        <v/>
      </c>
      <c r="N98" s="193" t="str">
        <f>IF(AND('Mapa final'!$AB$26="Media",'Mapa final'!$AD$26="Menor"),CONCATENATE("R7C",'Mapa final'!$R$26),"")</f>
        <v/>
      </c>
      <c r="O98" s="165" t="str">
        <f>IF(AND('Mapa final'!$AB$27="Media",'Mapa final'!$AD$27="Menor"),CONCATENATE("R7C",'Mapa final'!$R$27),"")</f>
        <v/>
      </c>
      <c r="P98" s="164" t="str">
        <f ca="1">IF(AND('Mapa final'!$AB$25="Media",'Mapa final'!$AD$25="Moderado"),CONCATENATE("R7C",'Mapa final'!$R$25),"")</f>
        <v/>
      </c>
      <c r="Q98" s="193" t="str">
        <f>IF(AND('Mapa final'!$AB$26="Media",'Mapa final'!$AD$26="Moderado"),CONCATENATE("R7C",'Mapa final'!$R$26),"")</f>
        <v/>
      </c>
      <c r="R98" s="165" t="str">
        <f>IF(AND('Mapa final'!$AB$27="Media",'Mapa final'!$AD$27="Moderado"),CONCATENATE("R7C",'Mapa final'!$R$27),"")</f>
        <v/>
      </c>
      <c r="S98" s="83" t="str">
        <f ca="1">IF(AND('Mapa final'!$AB$25="Media",'Mapa final'!$AD$25="Mayor"),CONCATENATE("R7C",'Mapa final'!$R$25),"")</f>
        <v/>
      </c>
      <c r="T98" s="195" t="str">
        <f>IF(AND('Mapa final'!$AB$26="Media",'Mapa final'!$AD$26="Mayor"),CONCATENATE("R7C",'Mapa final'!$R$26),"")</f>
        <v/>
      </c>
      <c r="U98" s="84" t="str">
        <f>IF(AND('Mapa final'!$AB$27="Media",'Mapa final'!$AD$27="Mayor"),CONCATENATE("R7C",'Mapa final'!$R$27),"")</f>
        <v/>
      </c>
      <c r="V98" s="159" t="str">
        <f ca="1">IF(AND('Mapa final'!$AB$25="Media",'Mapa final'!$AD$25="Catastrófico"),CONCATENATE("R7C",'Mapa final'!$R$25),"")</f>
        <v/>
      </c>
      <c r="W98" s="194" t="str">
        <f>IF(AND('Mapa final'!$AB$26="Media",'Mapa final'!$AD$26="Catastrófico"),CONCATENATE("R7C",'Mapa final'!$R$26),"")</f>
        <v/>
      </c>
      <c r="X98" s="160" t="str">
        <f>IF(AND('Mapa final'!$AB$27="Media",'Mapa final'!$AD$27="Catastrófico"),CONCATENATE("R7C",'Mapa final'!$R$27),"")</f>
        <v/>
      </c>
      <c r="Y98" s="38"/>
      <c r="Z98" s="375"/>
      <c r="AA98" s="376"/>
      <c r="AB98" s="376"/>
      <c r="AC98" s="376"/>
      <c r="AD98" s="376"/>
      <c r="AE98" s="377"/>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row>
    <row r="99" spans="1:61" ht="15" customHeight="1" x14ac:dyDescent="0.25">
      <c r="A99" s="38"/>
      <c r="B99" s="355"/>
      <c r="C99" s="356"/>
      <c r="D99" s="357"/>
      <c r="E99" s="339"/>
      <c r="F99" s="338"/>
      <c r="G99" s="338"/>
      <c r="H99" s="338"/>
      <c r="I99" s="338"/>
      <c r="J99" s="164" t="str">
        <f ca="1">IF(AND('Mapa final'!$AB$28="Media",'Mapa final'!$AD$28="Leve"),CONCATENATE("R8C",'Mapa final'!$R$28),"")</f>
        <v/>
      </c>
      <c r="K99" s="193" t="str">
        <f>IF(AND('Mapa final'!$AB$29="Media",'Mapa final'!$AD$29="Leve"),CONCATENATE("R8C",'Mapa final'!$R$29),"")</f>
        <v/>
      </c>
      <c r="L99" s="165" t="str">
        <f>IF(AND('Mapa final'!$AB$30="Media",'Mapa final'!$AD$30="Leve"),CONCATENATE("R8C",'Mapa final'!$R$30),"")</f>
        <v/>
      </c>
      <c r="M99" s="164" t="str">
        <f ca="1">IF(AND('Mapa final'!$AB$28="Media",'Mapa final'!$AD$28="Menor"),CONCATENATE("R8C",'Mapa final'!$R$28),"")</f>
        <v/>
      </c>
      <c r="N99" s="193" t="str">
        <f>IF(AND('Mapa final'!$AB$29="Media",'Mapa final'!$AD$29="Menor"),CONCATENATE("R8C",'Mapa final'!$R$29),"")</f>
        <v/>
      </c>
      <c r="O99" s="165" t="str">
        <f>IF(AND('Mapa final'!$AB$30="Media",'Mapa final'!$AD$30="Menor"),CONCATENATE("R8C",'Mapa final'!$R$30),"")</f>
        <v/>
      </c>
      <c r="P99" s="164" t="str">
        <f ca="1">IF(AND('Mapa final'!$AB$28="Media",'Mapa final'!$AD$28="Moderado"),CONCATENATE("R8C",'Mapa final'!$R$28),"")</f>
        <v/>
      </c>
      <c r="Q99" s="193" t="str">
        <f>IF(AND('Mapa final'!$AB$29="Media",'Mapa final'!$AD$29="Moderado"),CONCATENATE("R8C",'Mapa final'!$R$29),"")</f>
        <v/>
      </c>
      <c r="R99" s="165" t="str">
        <f>IF(AND('Mapa final'!$AB$30="Media",'Mapa final'!$AD$30="Moderado"),CONCATENATE("R8C",'Mapa final'!$R$30),"")</f>
        <v/>
      </c>
      <c r="S99" s="83" t="str">
        <f ca="1">IF(AND('Mapa final'!$AB$28="Media",'Mapa final'!$AD$28="Mayor"),CONCATENATE("R8C",'Mapa final'!$R$28),"")</f>
        <v/>
      </c>
      <c r="T99" s="195" t="str">
        <f>IF(AND('Mapa final'!$AB$29="Media",'Mapa final'!$AD$29="Mayor"),CONCATENATE("R8C",'Mapa final'!$R$29),"")</f>
        <v/>
      </c>
      <c r="U99" s="84" t="str">
        <f>IF(AND('Mapa final'!$AB$30="Media",'Mapa final'!$AD$30="Mayor"),CONCATENATE("R8C",'Mapa final'!$R$30),"")</f>
        <v/>
      </c>
      <c r="V99" s="159" t="str">
        <f ca="1">IF(AND('Mapa final'!$AB$28="Media",'Mapa final'!$AD$28="Catastrófico"),CONCATENATE("R8C",'Mapa final'!$R$28),"")</f>
        <v/>
      </c>
      <c r="W99" s="194" t="str">
        <f>IF(AND('Mapa final'!$AB$29="Media",'Mapa final'!$AD$29="Catastrófico"),CONCATENATE("R8C",'Mapa final'!$R$29),"")</f>
        <v/>
      </c>
      <c r="X99" s="160" t="str">
        <f>IF(AND('Mapa final'!$AB$30="Media",'Mapa final'!$AD$30="Catastrófico"),CONCATENATE("R8C",'Mapa final'!$R$30),"")</f>
        <v/>
      </c>
      <c r="Y99" s="38"/>
      <c r="Z99" s="375"/>
      <c r="AA99" s="376"/>
      <c r="AB99" s="376"/>
      <c r="AC99" s="376"/>
      <c r="AD99" s="376"/>
      <c r="AE99" s="377"/>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row>
    <row r="100" spans="1:61" ht="15" customHeight="1" x14ac:dyDescent="0.25">
      <c r="A100" s="38"/>
      <c r="B100" s="355"/>
      <c r="C100" s="356"/>
      <c r="D100" s="357"/>
      <c r="E100" s="339"/>
      <c r="F100" s="338"/>
      <c r="G100" s="338"/>
      <c r="H100" s="338"/>
      <c r="I100" s="338"/>
      <c r="J100" s="164" t="str">
        <f ca="1">IF(AND('Mapa final'!$AB$31="Media",'Mapa final'!$AD$31="Leve"),CONCATENATE("R9C",'Mapa final'!$R$31),"")</f>
        <v/>
      </c>
      <c r="K100" s="193" t="str">
        <f>IF(AND('Mapa final'!$AB$32="Media",'Mapa final'!$AD$32="Leve"),CONCATENATE("R9C",'Mapa final'!$R$32),"")</f>
        <v/>
      </c>
      <c r="L100" s="165" t="str">
        <f>IF(AND('Mapa final'!$AB$33="Media",'Mapa final'!$AD$33="Leve"),CONCATENATE("R9C",'Mapa final'!$R$33),"")</f>
        <v/>
      </c>
      <c r="M100" s="164" t="str">
        <f ca="1">IF(AND('Mapa final'!$AB$31="Media",'Mapa final'!$AD$31="Menor"),CONCATENATE("R9C",'Mapa final'!$R$31),"")</f>
        <v/>
      </c>
      <c r="N100" s="193" t="str">
        <f>IF(AND('Mapa final'!$AB$32="Media",'Mapa final'!$AD$32="Menor"),CONCATENATE("R9C",'Mapa final'!$R$32),"")</f>
        <v/>
      </c>
      <c r="O100" s="165" t="str">
        <f>IF(AND('Mapa final'!$AB$33="Media",'Mapa final'!$AD$33="Menor"),CONCATENATE("R9C",'Mapa final'!$R$33),"")</f>
        <v/>
      </c>
      <c r="P100" s="164" t="str">
        <f ca="1">IF(AND('Mapa final'!$AB$31="Media",'Mapa final'!$AD$31="Moderado"),CONCATENATE("R9C",'Mapa final'!$R$31),"")</f>
        <v/>
      </c>
      <c r="Q100" s="193" t="str">
        <f>IF(AND('Mapa final'!$AB$32="Media",'Mapa final'!$AD$32="Moderado"),CONCATENATE("R9C",'Mapa final'!$R$32),"")</f>
        <v/>
      </c>
      <c r="R100" s="165" t="str">
        <f>IF(AND('Mapa final'!$AB$33="Media",'Mapa final'!$AD$33="Moderado"),CONCATENATE("R9C",'Mapa final'!$R$33),"")</f>
        <v/>
      </c>
      <c r="S100" s="83" t="str">
        <f ca="1">IF(AND('Mapa final'!$AB$31="Media",'Mapa final'!$AD$31="Mayor"),CONCATENATE("R9C",'Mapa final'!$R$31),"")</f>
        <v/>
      </c>
      <c r="T100" s="195" t="str">
        <f>IF(AND('Mapa final'!$AB$32="Media",'Mapa final'!$AD$32="Mayor"),CONCATENATE("R9C",'Mapa final'!$R$32),"")</f>
        <v/>
      </c>
      <c r="U100" s="84" t="str">
        <f>IF(AND('Mapa final'!$AB$33="Media",'Mapa final'!$AD$33="Mayor"),CONCATENATE("R9C",'Mapa final'!$R$33),"")</f>
        <v/>
      </c>
      <c r="V100" s="159" t="str">
        <f ca="1">IF(AND('Mapa final'!$AB$31="Media",'Mapa final'!$AD$31="Catastrófico"),CONCATENATE("R9C",'Mapa final'!$R$31),"")</f>
        <v/>
      </c>
      <c r="W100" s="194" t="str">
        <f>IF(AND('Mapa final'!$AB$32="Media",'Mapa final'!$AD$32="Catastrófico"),CONCATENATE("R9C",'Mapa final'!$R$32),"")</f>
        <v/>
      </c>
      <c r="X100" s="160" t="str">
        <f>IF(AND('Mapa final'!$AB$33="Media",'Mapa final'!$AD$33="Catastrófico"),CONCATENATE("R9C",'Mapa final'!$R$33),"")</f>
        <v/>
      </c>
      <c r="Y100" s="38"/>
      <c r="Z100" s="375"/>
      <c r="AA100" s="376"/>
      <c r="AB100" s="376"/>
      <c r="AC100" s="376"/>
      <c r="AD100" s="376"/>
      <c r="AE100" s="377"/>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row>
    <row r="101" spans="1:61" ht="15" customHeight="1" x14ac:dyDescent="0.25">
      <c r="A101" s="38"/>
      <c r="B101" s="355"/>
      <c r="C101" s="356"/>
      <c r="D101" s="357"/>
      <c r="E101" s="339"/>
      <c r="F101" s="338"/>
      <c r="G101" s="338"/>
      <c r="H101" s="338"/>
      <c r="I101" s="338"/>
      <c r="J101" s="164" t="str">
        <f ca="1">IF(AND('Mapa final'!$AB$34="Media",'Mapa final'!$AD$34="Leve"),CONCATENATE("R10C",'Mapa final'!$R$34),"")</f>
        <v/>
      </c>
      <c r="K101" s="193" t="str">
        <f>IF(AND('Mapa final'!$AB$35="Media",'Mapa final'!$AD$35="Leve"),CONCATENATE("R10C",'Mapa final'!$R$35),"")</f>
        <v/>
      </c>
      <c r="L101" s="165" t="str">
        <f>IF(AND('Mapa final'!$AB$36="Media",'Mapa final'!$AD$36="Leve"),CONCATENATE("R10C",'Mapa final'!$R$36),"")</f>
        <v/>
      </c>
      <c r="M101" s="164" t="str">
        <f ca="1">IF(AND('Mapa final'!$AB$34="Media",'Mapa final'!$AD$34="Menor"),CONCATENATE("R10C",'Mapa final'!$R$34),"")</f>
        <v/>
      </c>
      <c r="N101" s="193" t="str">
        <f>IF(AND('Mapa final'!$AB$35="Media",'Mapa final'!$AD$35="Menor"),CONCATENATE("R10C",'Mapa final'!$R$35),"")</f>
        <v/>
      </c>
      <c r="O101" s="165" t="str">
        <f>IF(AND('Mapa final'!$AB$36="Media",'Mapa final'!$AD$36="Menor"),CONCATENATE("R10C",'Mapa final'!$R$36),"")</f>
        <v/>
      </c>
      <c r="P101" s="164" t="str">
        <f ca="1">IF(AND('Mapa final'!$AB$34="Media",'Mapa final'!$AD$34="Moderado"),CONCATENATE("R10C",'Mapa final'!$R$34),"")</f>
        <v>R10C1</v>
      </c>
      <c r="Q101" s="193" t="str">
        <f>IF(AND('Mapa final'!$AB$35="Media",'Mapa final'!$AD$35="Moderado"),CONCATENATE("R10C",'Mapa final'!$R$35),"")</f>
        <v/>
      </c>
      <c r="R101" s="165" t="str">
        <f>IF(AND('Mapa final'!$AB$36="Media",'Mapa final'!$AD$36="Moderado"),CONCATENATE("R10C",'Mapa final'!$R$36),"")</f>
        <v/>
      </c>
      <c r="S101" s="83" t="str">
        <f ca="1">IF(AND('Mapa final'!$AB$34="Media",'Mapa final'!$AD$34="Mayor"),CONCATENATE("R10C",'Mapa final'!$R$34),"")</f>
        <v/>
      </c>
      <c r="T101" s="195" t="str">
        <f>IF(AND('Mapa final'!$AB$35="Media",'Mapa final'!$AD$35="Mayor"),CONCATENATE("R10C",'Mapa final'!$R$35),"")</f>
        <v/>
      </c>
      <c r="U101" s="84" t="str">
        <f>IF(AND('Mapa final'!$AB$36="Media",'Mapa final'!$AD$36="Mayor"),CONCATENATE("R10C",'Mapa final'!$R$36),"")</f>
        <v/>
      </c>
      <c r="V101" s="159" t="str">
        <f ca="1">IF(AND('Mapa final'!$AB$34="Media",'Mapa final'!$AD$34="Catastrófico"),CONCATENATE("R10C",'Mapa final'!$R$34),"")</f>
        <v/>
      </c>
      <c r="W101" s="194" t="str">
        <f>IF(AND('Mapa final'!$AB$35="Media",'Mapa final'!$AD$35="Catastrófico"),CONCATENATE("R10C",'Mapa final'!$R$35),"")</f>
        <v/>
      </c>
      <c r="X101" s="160" t="str">
        <f>IF(AND('Mapa final'!$AB$36="Media",'Mapa final'!$AD$36="Catastrófico"),CONCATENATE("R10C",'Mapa final'!$R$36),"")</f>
        <v/>
      </c>
      <c r="Y101" s="38"/>
      <c r="Z101" s="375"/>
      <c r="AA101" s="376"/>
      <c r="AB101" s="376"/>
      <c r="AC101" s="376"/>
      <c r="AD101" s="376"/>
      <c r="AE101" s="377"/>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row>
    <row r="102" spans="1:61" ht="15" customHeight="1" x14ac:dyDescent="0.25">
      <c r="A102" s="38"/>
      <c r="B102" s="355"/>
      <c r="C102" s="356"/>
      <c r="D102" s="357"/>
      <c r="E102" s="339"/>
      <c r="F102" s="338"/>
      <c r="G102" s="338"/>
      <c r="H102" s="338"/>
      <c r="I102" s="338"/>
      <c r="J102" s="164" t="str">
        <f ca="1">IF(AND('Mapa final'!$AB$37="Media",'Mapa final'!$AD$37="Leve"),CONCATENATE("R11C",'Mapa final'!$R$37),"")</f>
        <v/>
      </c>
      <c r="K102" s="193" t="str">
        <f>IF(AND('Mapa final'!$AB$38="Media",'Mapa final'!$AD$38="Leve"),CONCATENATE("R11C",'Mapa final'!$R$38),"")</f>
        <v/>
      </c>
      <c r="L102" s="165" t="str">
        <f>IF(AND('Mapa final'!$AB$39="Media",'Mapa final'!$AD$39="Leve"),CONCATENATE("R11C",'Mapa final'!$R$39),"")</f>
        <v/>
      </c>
      <c r="M102" s="164" t="str">
        <f ca="1">IF(AND('Mapa final'!$AB$37="Media",'Mapa final'!$AD$37="Menor"),CONCATENATE("R11C",'Mapa final'!$R$37),"")</f>
        <v/>
      </c>
      <c r="N102" s="193" t="str">
        <f>IF(AND('Mapa final'!$AB$38="Media",'Mapa final'!$AD$38="Menor"),CONCATENATE("R11C",'Mapa final'!$R$38),"")</f>
        <v/>
      </c>
      <c r="O102" s="165" t="str">
        <f>IF(AND('Mapa final'!$AB$39="Media",'Mapa final'!$AD$39="Menor"),CONCATENATE("R11C",'Mapa final'!$R$39),"")</f>
        <v/>
      </c>
      <c r="P102" s="164" t="str">
        <f ca="1">IF(AND('Mapa final'!$AB$37="Media",'Mapa final'!$AD$37="Moderado"),CONCATENATE("R11C",'Mapa final'!$R$37),"")</f>
        <v/>
      </c>
      <c r="Q102" s="193" t="str">
        <f>IF(AND('Mapa final'!$AB$38="Media",'Mapa final'!$AD$38="Moderado"),CONCATENATE("R11C",'Mapa final'!$R$38),"")</f>
        <v/>
      </c>
      <c r="R102" s="165" t="str">
        <f>IF(AND('Mapa final'!$AB$39="Media",'Mapa final'!$AD$39="Moderado"),CONCATENATE("R11C",'Mapa final'!$R$39),"")</f>
        <v/>
      </c>
      <c r="S102" s="83" t="str">
        <f ca="1">IF(AND('Mapa final'!$AB$37="Media",'Mapa final'!$AD$37="Mayor"),CONCATENATE("R11C",'Mapa final'!$R$37),"")</f>
        <v/>
      </c>
      <c r="T102" s="195" t="str">
        <f>IF(AND('Mapa final'!$AB$38="Media",'Mapa final'!$AD$38="Mayor"),CONCATENATE("R11C",'Mapa final'!$R$38),"")</f>
        <v/>
      </c>
      <c r="U102" s="84" t="str">
        <f>IF(AND('Mapa final'!$AB$39="Media",'Mapa final'!$AD$39="Mayor"),CONCATENATE("R11C",'Mapa final'!$R$39),"")</f>
        <v/>
      </c>
      <c r="V102" s="159" t="str">
        <f ca="1">IF(AND('Mapa final'!$AB$37="Media",'Mapa final'!$AD$37="Catastrófico"),CONCATENATE("R11C",'Mapa final'!$R$37),"")</f>
        <v/>
      </c>
      <c r="W102" s="194" t="str">
        <f>IF(AND('Mapa final'!$AB$38="Media",'Mapa final'!$AD$38="Catastrófico"),CONCATENATE("R11C",'Mapa final'!$R$38),"")</f>
        <v/>
      </c>
      <c r="X102" s="160" t="str">
        <f>IF(AND('Mapa final'!$AB$39="Media",'Mapa final'!$AD$39="Catastrófico"),CONCATENATE("R11C",'Mapa final'!$R$39),"")</f>
        <v/>
      </c>
      <c r="Y102" s="38"/>
      <c r="Z102" s="375"/>
      <c r="AA102" s="376"/>
      <c r="AB102" s="376"/>
      <c r="AC102" s="376"/>
      <c r="AD102" s="376"/>
      <c r="AE102" s="377"/>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row>
    <row r="103" spans="1:61" ht="15" customHeight="1" x14ac:dyDescent="0.25">
      <c r="A103" s="38"/>
      <c r="B103" s="355"/>
      <c r="C103" s="356"/>
      <c r="D103" s="357"/>
      <c r="E103" s="339"/>
      <c r="F103" s="338"/>
      <c r="G103" s="338"/>
      <c r="H103" s="338"/>
      <c r="I103" s="338"/>
      <c r="J103" s="164" t="str">
        <f>IF(AND('Mapa final'!$AB$40="Media",'Mapa final'!$AD$40="Leve"),CONCATENATE("R11C",'Mapa final'!$R$40),"")</f>
        <v/>
      </c>
      <c r="K103" s="193" t="str">
        <f ca="1">IF(AND('Mapa final'!$AB$41="Media",'Mapa final'!$AD$41="Leve"),CONCATENATE("R12C",'Mapa final'!$R$41),"")</f>
        <v/>
      </c>
      <c r="L103" s="165" t="str">
        <f>IF(AND('Mapa final'!$AB$42="Media",'Mapa final'!$AD$42="Leve"),CONCATENATE("R12C",'Mapa final'!$R$42),"")</f>
        <v/>
      </c>
      <c r="M103" s="164" t="str">
        <f>IF(AND('Mapa final'!$AB$40="Media",'Mapa final'!$AD$40="Menor"),CONCATENATE("R11C",'Mapa final'!$R$40),"")</f>
        <v/>
      </c>
      <c r="N103" s="193" t="str">
        <f ca="1">IF(AND('Mapa final'!$AB$41="Media",'Mapa final'!$AD$41="Menor"),CONCATENATE("R12C",'Mapa final'!$R$41),"")</f>
        <v/>
      </c>
      <c r="O103" s="165" t="str">
        <f>IF(AND('Mapa final'!$AB$42="Media",'Mapa final'!$AD$42="Menor"),CONCATENATE("R12C",'Mapa final'!$R$42),"")</f>
        <v/>
      </c>
      <c r="P103" s="164" t="str">
        <f>IF(AND('Mapa final'!$AB$40="Media",'Mapa final'!$AD$40="Moderado"),CONCATENATE("R11C",'Mapa final'!$R$40),"")</f>
        <v/>
      </c>
      <c r="Q103" s="193" t="str">
        <f ca="1">IF(AND('Mapa final'!$AB$41="Media",'Mapa final'!$AD$41="Moderado"),CONCATENATE("R12C",'Mapa final'!$R$41),"")</f>
        <v/>
      </c>
      <c r="R103" s="165" t="str">
        <f>IF(AND('Mapa final'!$AB$42="Media",'Mapa final'!$AD$42="Moderado"),CONCATENATE("R12C",'Mapa final'!$R$42),"")</f>
        <v/>
      </c>
      <c r="S103" s="83" t="str">
        <f>IF(AND('Mapa final'!$AB$40="Media",'Mapa final'!$AD$40="Mayor"),CONCATENATE("R11C",'Mapa final'!$R$40),"")</f>
        <v/>
      </c>
      <c r="T103" s="195" t="str">
        <f ca="1">IF(AND('Mapa final'!$AB$41="Media",'Mapa final'!$AD$41="Mayor"),CONCATENATE("R12C",'Mapa final'!$R$41),"")</f>
        <v/>
      </c>
      <c r="U103" s="84" t="str">
        <f>IF(AND('Mapa final'!$AB$42="Media",'Mapa final'!$AD$42="Mayor"),CONCATENATE("R12C",'Mapa final'!$R$42),"")</f>
        <v/>
      </c>
      <c r="V103" s="159" t="str">
        <f>IF(AND('Mapa final'!$AB$40="Media",'Mapa final'!$AD$40="Catastrófico"),CONCATENATE("R11C",'Mapa final'!$R$40),"")</f>
        <v/>
      </c>
      <c r="W103" s="194" t="str">
        <f ca="1">IF(AND('Mapa final'!$AB$41="Media",'Mapa final'!$AD$41="Catastrófico"),CONCATENATE("R12C",'Mapa final'!$R$41),"")</f>
        <v/>
      </c>
      <c r="X103" s="160" t="str">
        <f>IF(AND('Mapa final'!$AB$42="Media",'Mapa final'!$AD$42="Catastrófico"),CONCATENATE("R12C",'Mapa final'!$R$42),"")</f>
        <v/>
      </c>
      <c r="Y103" s="38"/>
      <c r="Z103" s="375"/>
      <c r="AA103" s="376"/>
      <c r="AB103" s="376"/>
      <c r="AC103" s="376"/>
      <c r="AD103" s="376"/>
      <c r="AE103" s="377"/>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row>
    <row r="104" spans="1:61" ht="15" customHeight="1" x14ac:dyDescent="0.25">
      <c r="A104" s="38"/>
      <c r="B104" s="355"/>
      <c r="C104" s="356"/>
      <c r="D104" s="357"/>
      <c r="E104" s="339"/>
      <c r="F104" s="338"/>
      <c r="G104" s="338"/>
      <c r="H104" s="338"/>
      <c r="I104" s="338"/>
      <c r="J104" s="164" t="str">
        <f>IF(AND('Mapa final'!$AB$43="Media",'Mapa final'!$AD$43="Leve"),CONCATENATE("R12C",'Mapa final'!$R$43),"")</f>
        <v/>
      </c>
      <c r="K104" s="193" t="str">
        <f ca="1">IF(AND('Mapa final'!$AB$44="Media",'Mapa final'!$AD$44="Leve"),CONCATENATE("R13C",'Mapa final'!$R$44),"")</f>
        <v/>
      </c>
      <c r="L104" s="165" t="str">
        <f>IF(AND('Mapa final'!$AB$45="Media",'Mapa final'!$AD$45="Leve"),CONCATENATE("R13C",'Mapa final'!$R$45),"")</f>
        <v/>
      </c>
      <c r="M104" s="164" t="str">
        <f>IF(AND('Mapa final'!$AB$43="Media",'Mapa final'!$AD$43="Menor"),CONCATENATE("R12C",'Mapa final'!$R$43),"")</f>
        <v/>
      </c>
      <c r="N104" s="193" t="str">
        <f ca="1">IF(AND('Mapa final'!$AB$44="Media",'Mapa final'!$AD$44="Menor"),CONCATENATE("R13C",'Mapa final'!$R$44),"")</f>
        <v/>
      </c>
      <c r="O104" s="165" t="str">
        <f>IF(AND('Mapa final'!$AB$45="Media",'Mapa final'!$AD$45="Menor"),CONCATENATE("R13C",'Mapa final'!$R$45),"")</f>
        <v/>
      </c>
      <c r="P104" s="164" t="str">
        <f>IF(AND('Mapa final'!$AB$43="Media",'Mapa final'!$AD$43="Moderado"),CONCATENATE("R12C",'Mapa final'!$R$43),"")</f>
        <v/>
      </c>
      <c r="Q104" s="193" t="str">
        <f ca="1">IF(AND('Mapa final'!$AB$44="Media",'Mapa final'!$AD$44="Moderado"),CONCATENATE("R13C",'Mapa final'!$R$44),"")</f>
        <v/>
      </c>
      <c r="R104" s="165" t="str">
        <f>IF(AND('Mapa final'!$AB$45="Media",'Mapa final'!$AD$45="Moderado"),CONCATENATE("R13C",'Mapa final'!$R$45),"")</f>
        <v/>
      </c>
      <c r="S104" s="83" t="str">
        <f>IF(AND('Mapa final'!$AB$43="Media",'Mapa final'!$AD$43="Mayor"),CONCATENATE("R12C",'Mapa final'!$R$43),"")</f>
        <v/>
      </c>
      <c r="T104" s="195" t="str">
        <f ca="1">IF(AND('Mapa final'!$AB$44="Media",'Mapa final'!$AD$44="Mayor"),CONCATENATE("R13C",'Mapa final'!$R$44),"")</f>
        <v/>
      </c>
      <c r="U104" s="84" t="str">
        <f>IF(AND('Mapa final'!$AB$45="Media",'Mapa final'!$AD$45="Mayor"),CONCATENATE("R13C",'Mapa final'!$R$45),"")</f>
        <v/>
      </c>
      <c r="V104" s="159" t="str">
        <f>IF(AND('Mapa final'!$AB$43="Media",'Mapa final'!$AD$43="Catastrófico"),CONCATENATE("R12C",'Mapa final'!$R$43),"")</f>
        <v/>
      </c>
      <c r="W104" s="194" t="str">
        <f ca="1">IF(AND('Mapa final'!$AB$44="Media",'Mapa final'!$AD$44="Catastrófico"),CONCATENATE("R13C",'Mapa final'!$R$44),"")</f>
        <v/>
      </c>
      <c r="X104" s="160" t="str">
        <f>IF(AND('Mapa final'!$AB$45="Media",'Mapa final'!$AD$45="Catastrófico"),CONCATENATE("R13C",'Mapa final'!$R$45),"")</f>
        <v/>
      </c>
      <c r="Y104" s="38"/>
      <c r="Z104" s="375"/>
      <c r="AA104" s="376"/>
      <c r="AB104" s="376"/>
      <c r="AC104" s="376"/>
      <c r="AD104" s="376"/>
      <c r="AE104" s="377"/>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row>
    <row r="105" spans="1:61" ht="15" customHeight="1" x14ac:dyDescent="0.25">
      <c r="A105" s="38"/>
      <c r="B105" s="355"/>
      <c r="C105" s="356"/>
      <c r="D105" s="357"/>
      <c r="E105" s="339"/>
      <c r="F105" s="338"/>
      <c r="G105" s="338"/>
      <c r="H105" s="338"/>
      <c r="I105" s="338"/>
      <c r="J105" s="164" t="str">
        <f>IF(AND('Mapa final'!$AB$46="Media",'Mapa final'!$AD$46="Leve"),CONCATENATE("R13C",'Mapa final'!$R$46),"")</f>
        <v/>
      </c>
      <c r="K105" s="193" t="str">
        <f>IF(AND('Mapa final'!$AB$47="Media",'Mapa final'!$AD$47="Leve"),CONCATENATE("R13C",'Mapa final'!$R$47),"")</f>
        <v/>
      </c>
      <c r="L105" s="165" t="str">
        <f>IF(AND('Mapa final'!$AB$48="Media",'Mapa final'!$AD$48="Leve"),CONCATENATE("R13C",'Mapa final'!$R$48),"")</f>
        <v/>
      </c>
      <c r="M105" s="164" t="str">
        <f>IF(AND('Mapa final'!$AB$46="Media",'Mapa final'!$AD$46="Menor"),CONCATENATE("R13C",'Mapa final'!$R$46),"")</f>
        <v/>
      </c>
      <c r="N105" s="193" t="str">
        <f>IF(AND('Mapa final'!$AB$47="Media",'Mapa final'!$AD$47="Menor"),CONCATENATE("R13C",'Mapa final'!$R$47),"")</f>
        <v/>
      </c>
      <c r="O105" s="165" t="str">
        <f>IF(AND('Mapa final'!$AB$48="Media",'Mapa final'!$AD$48="Menor"),CONCATENATE("R13C",'Mapa final'!$R$48),"")</f>
        <v/>
      </c>
      <c r="P105" s="164" t="str">
        <f>IF(AND('Mapa final'!$AB$46="Media",'Mapa final'!$AD$46="Moderado"),CONCATENATE("R13C",'Mapa final'!$R$46),"")</f>
        <v/>
      </c>
      <c r="Q105" s="193" t="str">
        <f>IF(AND('Mapa final'!$AB$47="Media",'Mapa final'!$AD$47="Moderado"),CONCATENATE("R13C",'Mapa final'!$R$47),"")</f>
        <v/>
      </c>
      <c r="R105" s="165" t="str">
        <f>IF(AND('Mapa final'!$AB$48="Media",'Mapa final'!$AD$48="Moderado"),CONCATENATE("R13C",'Mapa final'!$R$48),"")</f>
        <v/>
      </c>
      <c r="S105" s="83" t="str">
        <f>IF(AND('Mapa final'!$AB$46="Media",'Mapa final'!$AD$46="Mayor"),CONCATENATE("R13C",'Mapa final'!$R$46),"")</f>
        <v/>
      </c>
      <c r="T105" s="195" t="str">
        <f>IF(AND('Mapa final'!$AB$47="Media",'Mapa final'!$AD$47="Mayor"),CONCATENATE("R13C",'Mapa final'!$R$47),"")</f>
        <v/>
      </c>
      <c r="U105" s="84" t="str">
        <f>IF(AND('Mapa final'!$AB$48="Media",'Mapa final'!$AD$48="Mayor"),CONCATENATE("R13C",'Mapa final'!$R$48),"")</f>
        <v/>
      </c>
      <c r="V105" s="159" t="str">
        <f>IF(AND('Mapa final'!$AB$46="Media",'Mapa final'!$AD$46="Catastrófico"),CONCATENATE("R13C",'Mapa final'!$R$46),"")</f>
        <v/>
      </c>
      <c r="W105" s="194" t="str">
        <f>IF(AND('Mapa final'!$AB$47="Media",'Mapa final'!$AD$47="Catastrófico"),CONCATENATE("R13C",'Mapa final'!$R$47),"")</f>
        <v/>
      </c>
      <c r="X105" s="160" t="str">
        <f>IF(AND('Mapa final'!$AB$48="Media",'Mapa final'!$AD$48="Catastrófico"),CONCATENATE("R13C",'Mapa final'!$R$48),"")</f>
        <v/>
      </c>
      <c r="Y105" s="38"/>
      <c r="Z105" s="375"/>
      <c r="AA105" s="376"/>
      <c r="AB105" s="376"/>
      <c r="AC105" s="376"/>
      <c r="AD105" s="376"/>
      <c r="AE105" s="377"/>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row>
    <row r="106" spans="1:61" ht="15" customHeight="1" x14ac:dyDescent="0.25">
      <c r="A106" s="38"/>
      <c r="B106" s="355"/>
      <c r="C106" s="356"/>
      <c r="D106" s="357"/>
      <c r="E106" s="339"/>
      <c r="F106" s="338"/>
      <c r="G106" s="338"/>
      <c r="H106" s="338"/>
      <c r="I106" s="338"/>
      <c r="J106" s="164" t="str">
        <f ca="1">IF(AND('Mapa final'!$AB$49="Media",'Mapa final'!$AD$49="Leve"),CONCATENATE("R14C",'Mapa final'!$R$49),"")</f>
        <v/>
      </c>
      <c r="K106" s="193" t="str">
        <f>IF(AND('Mapa final'!$AB$50="Media",'Mapa final'!$AD$50="Leve"),CONCATENATE("R14C",'Mapa final'!$R$50),"")</f>
        <v/>
      </c>
      <c r="L106" s="165" t="str">
        <f>IF(AND('Mapa final'!$AB$51="Media",'Mapa final'!$AD$51="Leve"),CONCATENATE("R14C",'Mapa final'!$R$51),"")</f>
        <v/>
      </c>
      <c r="M106" s="164" t="str">
        <f ca="1">IF(AND('Mapa final'!$AB$49="Media",'Mapa final'!$AD$49="Menor"),CONCATENATE("R14C",'Mapa final'!$R$49),"")</f>
        <v/>
      </c>
      <c r="N106" s="193" t="str">
        <f>IF(AND('Mapa final'!$AB$50="Media",'Mapa final'!$AD$50="Menor"),CONCATENATE("R14C",'Mapa final'!$R$50),"")</f>
        <v/>
      </c>
      <c r="O106" s="165" t="str">
        <f>IF(AND('Mapa final'!$AB$51="Media",'Mapa final'!$AD$51="Menor"),CONCATENATE("R14C",'Mapa final'!$R$51),"")</f>
        <v/>
      </c>
      <c r="P106" s="164" t="str">
        <f ca="1">IF(AND('Mapa final'!$AB$49="Media",'Mapa final'!$AD$49="Moderado"),CONCATENATE("R14C",'Mapa final'!$R$49),"")</f>
        <v/>
      </c>
      <c r="Q106" s="193" t="str">
        <f>IF(AND('Mapa final'!$AB$50="Media",'Mapa final'!$AD$50="Moderado"),CONCATENATE("R14C",'Mapa final'!$R$50),"")</f>
        <v/>
      </c>
      <c r="R106" s="165" t="str">
        <f>IF(AND('Mapa final'!$AB$51="Media",'Mapa final'!$AD$51="Moderado"),CONCATENATE("R14C",'Mapa final'!$R$51),"")</f>
        <v/>
      </c>
      <c r="S106" s="83" t="str">
        <f ca="1">IF(AND('Mapa final'!$AB$49="Media",'Mapa final'!$AD$49="Mayor"),CONCATENATE("R14C",'Mapa final'!$R$49),"")</f>
        <v/>
      </c>
      <c r="T106" s="195" t="str">
        <f>IF(AND('Mapa final'!$AB$50="Media",'Mapa final'!$AD$50="Mayor"),CONCATENATE("R14C",'Mapa final'!$R$50),"")</f>
        <v/>
      </c>
      <c r="U106" s="84" t="str">
        <f>IF(AND('Mapa final'!$AB$51="Media",'Mapa final'!$AD$51="Mayor"),CONCATENATE("R14C",'Mapa final'!$R$51),"")</f>
        <v/>
      </c>
      <c r="V106" s="159" t="str">
        <f ca="1">IF(AND('Mapa final'!$AB$49="Media",'Mapa final'!$AD$49="Catastrófico"),CONCATENATE("R14C",'Mapa final'!$R$49),"")</f>
        <v/>
      </c>
      <c r="W106" s="194" t="str">
        <f>IF(AND('Mapa final'!$AB$50="Media",'Mapa final'!$AD$50="Catastrófico"),CONCATENATE("R14C",'Mapa final'!$R$50),"")</f>
        <v/>
      </c>
      <c r="X106" s="160" t="str">
        <f>IF(AND('Mapa final'!$AB$51="Media",'Mapa final'!$AD$51="Catastrófico"),CONCATENATE("R14C",'Mapa final'!$R$51),"")</f>
        <v/>
      </c>
      <c r="Y106" s="38"/>
      <c r="Z106" s="375"/>
      <c r="AA106" s="376"/>
      <c r="AB106" s="376"/>
      <c r="AC106" s="376"/>
      <c r="AD106" s="376"/>
      <c r="AE106" s="377"/>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row>
    <row r="107" spans="1:61" ht="15" customHeight="1" x14ac:dyDescent="0.25">
      <c r="A107" s="38"/>
      <c r="B107" s="355"/>
      <c r="C107" s="356"/>
      <c r="D107" s="357"/>
      <c r="E107" s="339"/>
      <c r="F107" s="338"/>
      <c r="G107" s="338"/>
      <c r="H107" s="338"/>
      <c r="I107" s="338"/>
      <c r="J107" s="164" t="str">
        <f ca="1">IF(AND('Mapa final'!$AB$52="Media",'Mapa final'!$AD$52="Leve"),CONCATENATE("R15C",'Mapa final'!$R$52),"")</f>
        <v/>
      </c>
      <c r="K107" s="193" t="str">
        <f>IF(AND('Mapa final'!$AB$53="Media",'Mapa final'!$AD$53="Leve"),CONCATENATE("R15C",'Mapa final'!$R$53),"")</f>
        <v/>
      </c>
      <c r="L107" s="165" t="str">
        <f>IF(AND('Mapa final'!$AB$54="Media",'Mapa final'!$AD$54="Leve"),CONCATENATE("R15C",'Mapa final'!$R$54),"")</f>
        <v/>
      </c>
      <c r="M107" s="164" t="str">
        <f ca="1">IF(AND('Mapa final'!$AB$52="Media",'Mapa final'!$AD$52="Menor"),CONCATENATE("R15C",'Mapa final'!$R$52),"")</f>
        <v/>
      </c>
      <c r="N107" s="193" t="str">
        <f>IF(AND('Mapa final'!$AB$53="Media",'Mapa final'!$AD$53="Menor"),CONCATENATE("R15C",'Mapa final'!$R$53),"")</f>
        <v/>
      </c>
      <c r="O107" s="165" t="str">
        <f>IF(AND('Mapa final'!$AB$54="Media",'Mapa final'!$AD$54="Menor"),CONCATENATE("R15C",'Mapa final'!$R$54),"")</f>
        <v/>
      </c>
      <c r="P107" s="164" t="str">
        <f ca="1">IF(AND('Mapa final'!$AB$52="Media",'Mapa final'!$AD$52="Moderado"),CONCATENATE("R15C",'Mapa final'!$R$52),"")</f>
        <v/>
      </c>
      <c r="Q107" s="193" t="str">
        <f>IF(AND('Mapa final'!$AB$53="Media",'Mapa final'!$AD$53="Moderado"),CONCATENATE("R15C",'Mapa final'!$R$53),"")</f>
        <v/>
      </c>
      <c r="R107" s="165" t="str">
        <f>IF(AND('Mapa final'!$AB$54="Media",'Mapa final'!$AD$54="Moderado"),CONCATENATE("R15C",'Mapa final'!$R$54),"")</f>
        <v/>
      </c>
      <c r="S107" s="83" t="str">
        <f ca="1">IF(AND('Mapa final'!$AB$52="Media",'Mapa final'!$AD$52="Mayor"),CONCATENATE("R15C",'Mapa final'!$R$52),"")</f>
        <v/>
      </c>
      <c r="T107" s="195" t="str">
        <f>IF(AND('Mapa final'!$AB$53="Media",'Mapa final'!$AD$53="Mayor"),CONCATENATE("R15C",'Mapa final'!$R$53),"")</f>
        <v/>
      </c>
      <c r="U107" s="84" t="str">
        <f>IF(AND('Mapa final'!$AB$54="Media",'Mapa final'!$AD$54="Mayor"),CONCATENATE("R15C",'Mapa final'!$R$54),"")</f>
        <v/>
      </c>
      <c r="V107" s="159" t="str">
        <f ca="1">IF(AND('Mapa final'!$AB$52="Media",'Mapa final'!$AD$52="Catastrófico"),CONCATENATE("R15C",'Mapa final'!$R$52),"")</f>
        <v/>
      </c>
      <c r="W107" s="194" t="str">
        <f>IF(AND('Mapa final'!$AB$53="Media",'Mapa final'!$AD$53="Catastrófico"),CONCATENATE("R15C",'Mapa final'!$R$53),"")</f>
        <v/>
      </c>
      <c r="X107" s="160" t="str">
        <f>IF(AND('Mapa final'!$AB$54="Media",'Mapa final'!$AD$54="Catastrófico"),CONCATENATE("R15C",'Mapa final'!$R$54),"")</f>
        <v/>
      </c>
      <c r="Y107" s="38"/>
      <c r="Z107" s="375"/>
      <c r="AA107" s="376"/>
      <c r="AB107" s="376"/>
      <c r="AC107" s="376"/>
      <c r="AD107" s="376"/>
      <c r="AE107" s="377"/>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row>
    <row r="108" spans="1:61" ht="15" customHeight="1" x14ac:dyDescent="0.25">
      <c r="A108" s="38"/>
      <c r="B108" s="355"/>
      <c r="C108" s="356"/>
      <c r="D108" s="357"/>
      <c r="E108" s="339"/>
      <c r="F108" s="338"/>
      <c r="G108" s="338"/>
      <c r="H108" s="338"/>
      <c r="I108" s="338"/>
      <c r="J108" s="164" t="str">
        <f ca="1">IF(AND('Mapa final'!$AB$55="Media",'Mapa final'!$AD$55="Leve"),CONCATENATE("R16C",'Mapa final'!$R$55),"")</f>
        <v/>
      </c>
      <c r="K108" s="193" t="str">
        <f>IF(AND('Mapa final'!$AB$56="Media",'Mapa final'!$AD$56="Leve"),CONCATENATE("R16C",'Mapa final'!$R$56),"")</f>
        <v/>
      </c>
      <c r="L108" s="165" t="str">
        <f>IF(AND('Mapa final'!$AB$57="Media",'Mapa final'!$AD$57="Leve"),CONCATENATE("R16C",'Mapa final'!$R$57),"")</f>
        <v/>
      </c>
      <c r="M108" s="164" t="str">
        <f ca="1">IF(AND('Mapa final'!$AB$55="Media",'Mapa final'!$AD$55="Menor"),CONCATENATE("R16C",'Mapa final'!$R$55),"")</f>
        <v/>
      </c>
      <c r="N108" s="193" t="str">
        <f>IF(AND('Mapa final'!$AB$56="Media",'Mapa final'!$AD$56="Menor"),CONCATENATE("R16C",'Mapa final'!$R$56),"")</f>
        <v/>
      </c>
      <c r="O108" s="165" t="str">
        <f>IF(AND('Mapa final'!$AB$57="Media",'Mapa final'!$AD$57="Menor"),CONCATENATE("R16C",'Mapa final'!$R$57),"")</f>
        <v/>
      </c>
      <c r="P108" s="164" t="str">
        <f ca="1">IF(AND('Mapa final'!$AB$55="Media",'Mapa final'!$AD$55="Moderado"),CONCATENATE("R16C",'Mapa final'!$R$55),"")</f>
        <v/>
      </c>
      <c r="Q108" s="193" t="str">
        <f>IF(AND('Mapa final'!$AB$56="Media",'Mapa final'!$AD$56="Moderado"),CONCATENATE("R16C",'Mapa final'!$R$56),"")</f>
        <v/>
      </c>
      <c r="R108" s="165" t="str">
        <f>IF(AND('Mapa final'!$AB$57="Media",'Mapa final'!$AD$57="Moderado"),CONCATENATE("R16C",'Mapa final'!$R$57),"")</f>
        <v/>
      </c>
      <c r="S108" s="83" t="str">
        <f ca="1">IF(AND('Mapa final'!$AB$55="Media",'Mapa final'!$AD$55="Mayor"),CONCATENATE("R16C",'Mapa final'!$R$55),"")</f>
        <v/>
      </c>
      <c r="T108" s="195" t="str">
        <f>IF(AND('Mapa final'!$AB$56="Media",'Mapa final'!$AD$56="Mayor"),CONCATENATE("R16C",'Mapa final'!$R$56),"")</f>
        <v/>
      </c>
      <c r="U108" s="84" t="str">
        <f>IF(AND('Mapa final'!$AB$57="Media",'Mapa final'!$AD$57="Mayor"),CONCATENATE("R16C",'Mapa final'!$R$57),"")</f>
        <v/>
      </c>
      <c r="V108" s="159" t="str">
        <f ca="1">IF(AND('Mapa final'!$AB$55="Media",'Mapa final'!$AD$55="Catastrófico"),CONCATENATE("R16C",'Mapa final'!$R$55),"")</f>
        <v/>
      </c>
      <c r="W108" s="194" t="str">
        <f>IF(AND('Mapa final'!$AB$56="Media",'Mapa final'!$AD$56="Catastrófico"),CONCATENATE("R16C",'Mapa final'!$R$56),"")</f>
        <v/>
      </c>
      <c r="X108" s="160" t="str">
        <f>IF(AND('Mapa final'!$AB$57="Media",'Mapa final'!$AD$57="Catastrófico"),CONCATENATE("R16C",'Mapa final'!$R$57),"")</f>
        <v/>
      </c>
      <c r="Y108" s="38"/>
      <c r="Z108" s="375"/>
      <c r="AA108" s="376"/>
      <c r="AB108" s="376"/>
      <c r="AC108" s="376"/>
      <c r="AD108" s="376"/>
      <c r="AE108" s="377"/>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row>
    <row r="109" spans="1:61" ht="15" customHeight="1" x14ac:dyDescent="0.25">
      <c r="A109" s="38"/>
      <c r="B109" s="355"/>
      <c r="C109" s="356"/>
      <c r="D109" s="357"/>
      <c r="E109" s="339"/>
      <c r="F109" s="338"/>
      <c r="G109" s="338"/>
      <c r="H109" s="338"/>
      <c r="I109" s="338"/>
      <c r="J109" s="164" t="str">
        <f ca="1">IF(AND('Mapa final'!$AB$58="Media",'Mapa final'!$AD$58="Leve"),CONCATENATE("R17C",'Mapa final'!$R$58),"")</f>
        <v/>
      </c>
      <c r="K109" s="193" t="str">
        <f>IF(AND('Mapa final'!$AB$59="Media",'Mapa final'!$AD$59="Leve"),CONCATENATE("R17C",'Mapa final'!$R$59),"")</f>
        <v/>
      </c>
      <c r="L109" s="165" t="str">
        <f>IF(AND('Mapa final'!$AB$60="Media",'Mapa final'!$AD$60="Leve"),CONCATENATE("R17C",'Mapa final'!$R$60),"")</f>
        <v/>
      </c>
      <c r="M109" s="164" t="str">
        <f ca="1">IF(AND('Mapa final'!$AB$58="Media",'Mapa final'!$AD$58="Menor"),CONCATENATE("R17C",'Mapa final'!$R$58),"")</f>
        <v/>
      </c>
      <c r="N109" s="193" t="str">
        <f>IF(AND('Mapa final'!$AB$59="Media",'Mapa final'!$AD$59="Menor"),CONCATENATE("R17C",'Mapa final'!$R$59),"")</f>
        <v/>
      </c>
      <c r="O109" s="165" t="str">
        <f>IF(AND('Mapa final'!$AB$60="Media",'Mapa final'!$AD$60="Menor"),CONCATENATE("R17C",'Mapa final'!$R$60),"")</f>
        <v/>
      </c>
      <c r="P109" s="164" t="str">
        <f ca="1">IF(AND('Mapa final'!$AB$58="Media",'Mapa final'!$AD$58="Moderado"),CONCATENATE("R17C",'Mapa final'!$R$58),"")</f>
        <v/>
      </c>
      <c r="Q109" s="193" t="str">
        <f>IF(AND('Mapa final'!$AB$59="Media",'Mapa final'!$AD$59="Moderado"),CONCATENATE("R17C",'Mapa final'!$R$59),"")</f>
        <v/>
      </c>
      <c r="R109" s="165" t="str">
        <f>IF(AND('Mapa final'!$AB$60="Media",'Mapa final'!$AD$60="Moderado"),CONCATENATE("R17C",'Mapa final'!$R$60),"")</f>
        <v/>
      </c>
      <c r="S109" s="83" t="str">
        <f ca="1">IF(AND('Mapa final'!$AB$58="Media",'Mapa final'!$AD$58="Mayor"),CONCATENATE("R17C",'Mapa final'!$R$58),"")</f>
        <v/>
      </c>
      <c r="T109" s="195" t="str">
        <f>IF(AND('Mapa final'!$AB$59="Media",'Mapa final'!$AD$59="Mayor"),CONCATENATE("R17C",'Mapa final'!$R$59),"")</f>
        <v/>
      </c>
      <c r="U109" s="84" t="str">
        <f>IF(AND('Mapa final'!$AB$60="Media",'Mapa final'!$AD$60="Mayor"),CONCATENATE("R17C",'Mapa final'!$R$60),"")</f>
        <v/>
      </c>
      <c r="V109" s="159" t="str">
        <f ca="1">IF(AND('Mapa final'!$AB$58="Media",'Mapa final'!$AD$58="Catastrófico"),CONCATENATE("R17C",'Mapa final'!$R$58),"")</f>
        <v/>
      </c>
      <c r="W109" s="194" t="str">
        <f>IF(AND('Mapa final'!$AB$59="Media",'Mapa final'!$AD$59="Catastrófico"),CONCATENATE("R17C",'Mapa final'!$R$59),"")</f>
        <v/>
      </c>
      <c r="X109" s="160" t="str">
        <f>IF(AND('Mapa final'!$AB$60="Media",'Mapa final'!$AD$60="Catastrófico"),CONCATENATE("R17C",'Mapa final'!$R$60),"")</f>
        <v/>
      </c>
      <c r="Y109" s="38"/>
      <c r="Z109" s="375"/>
      <c r="AA109" s="376"/>
      <c r="AB109" s="376"/>
      <c r="AC109" s="376"/>
      <c r="AD109" s="376"/>
      <c r="AE109" s="377"/>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row>
    <row r="110" spans="1:61" ht="15" customHeight="1" x14ac:dyDescent="0.25">
      <c r="A110" s="38"/>
      <c r="B110" s="355"/>
      <c r="C110" s="356"/>
      <c r="D110" s="357"/>
      <c r="E110" s="339"/>
      <c r="F110" s="338"/>
      <c r="G110" s="338"/>
      <c r="H110" s="338"/>
      <c r="I110" s="338"/>
      <c r="J110" s="164" t="str">
        <f ca="1">IF(AND('Mapa final'!$AB$61="Media",'Mapa final'!$AD$61="Leve"),CONCATENATE("R18C",'Mapa final'!$R$61),"")</f>
        <v/>
      </c>
      <c r="K110" s="193" t="str">
        <f>IF(AND('Mapa final'!$AB$62="Media",'Mapa final'!$AD$62="Leve"),CONCATENATE("R18C",'Mapa final'!$R$62),"")</f>
        <v/>
      </c>
      <c r="L110" s="165" t="str">
        <f>IF(AND('Mapa final'!$AB$63="Media",'Mapa final'!$AD$63="Leve"),CONCATENATE("R18C",'Mapa final'!$R$63),"")</f>
        <v/>
      </c>
      <c r="M110" s="164" t="str">
        <f ca="1">IF(AND('Mapa final'!$AB$61="Media",'Mapa final'!$AD$61="Menor"),CONCATENATE("R18C",'Mapa final'!$R$61),"")</f>
        <v/>
      </c>
      <c r="N110" s="193" t="str">
        <f>IF(AND('Mapa final'!$AB$62="Media",'Mapa final'!$AD$62="Menor"),CONCATENATE("R18C",'Mapa final'!$R$62),"")</f>
        <v/>
      </c>
      <c r="O110" s="165" t="str">
        <f>IF(AND('Mapa final'!$AB$63="Media",'Mapa final'!$AD$63="Menor"),CONCATENATE("R18C",'Mapa final'!$R$63),"")</f>
        <v/>
      </c>
      <c r="P110" s="164" t="str">
        <f ca="1">IF(AND('Mapa final'!$AB$61="Media",'Mapa final'!$AD$61="Moderado"),CONCATENATE("R18C",'Mapa final'!$R$61),"")</f>
        <v/>
      </c>
      <c r="Q110" s="193" t="str">
        <f>IF(AND('Mapa final'!$AB$62="Media",'Mapa final'!$AD$62="Moderado"),CONCATENATE("R18C",'Mapa final'!$R$62),"")</f>
        <v/>
      </c>
      <c r="R110" s="165" t="str">
        <f>IF(AND('Mapa final'!$AB$63="Media",'Mapa final'!$AD$63="Moderado"),CONCATENATE("R18C",'Mapa final'!$R$63),"")</f>
        <v/>
      </c>
      <c r="S110" s="83" t="str">
        <f ca="1">IF(AND('Mapa final'!$AB$61="Media",'Mapa final'!$AD$61="Mayor"),CONCATENATE("R18C",'Mapa final'!$R$61),"")</f>
        <v/>
      </c>
      <c r="T110" s="195" t="str">
        <f>IF(AND('Mapa final'!$AB$62="Media",'Mapa final'!$AD$62="Mayor"),CONCATENATE("R18C",'Mapa final'!$R$62),"")</f>
        <v/>
      </c>
      <c r="U110" s="84" t="str">
        <f>IF(AND('Mapa final'!$AB$63="Media",'Mapa final'!$AD$63="Mayor"),CONCATENATE("R18C",'Mapa final'!$R$63),"")</f>
        <v/>
      </c>
      <c r="V110" s="159" t="str">
        <f ca="1">IF(AND('Mapa final'!$AB$61="Media",'Mapa final'!$AD$61="Catastrófico"),CONCATENATE("R18C",'Mapa final'!$R$61),"")</f>
        <v/>
      </c>
      <c r="W110" s="194" t="str">
        <f>IF(AND('Mapa final'!$AB$62="Media",'Mapa final'!$AD$62="Catastrófico"),CONCATENATE("R18C",'Mapa final'!$R$62),"")</f>
        <v/>
      </c>
      <c r="X110" s="160" t="str">
        <f>IF(AND('Mapa final'!$AB$63="Media",'Mapa final'!$AD$63="Catastrófico"),CONCATENATE("R18C",'Mapa final'!$R$63),"")</f>
        <v/>
      </c>
      <c r="Y110" s="38"/>
      <c r="Z110" s="375"/>
      <c r="AA110" s="376"/>
      <c r="AB110" s="376"/>
      <c r="AC110" s="376"/>
      <c r="AD110" s="376"/>
      <c r="AE110" s="377"/>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row>
    <row r="111" spans="1:61" ht="15" customHeight="1" x14ac:dyDescent="0.25">
      <c r="A111" s="38"/>
      <c r="B111" s="355"/>
      <c r="C111" s="356"/>
      <c r="D111" s="357"/>
      <c r="E111" s="339"/>
      <c r="F111" s="338"/>
      <c r="G111" s="338"/>
      <c r="H111" s="338"/>
      <c r="I111" s="338"/>
      <c r="J111" s="164" t="str">
        <f ca="1">IF(AND('Mapa final'!$AB$64="Media",'Mapa final'!$AD$64="Leve"),CONCATENATE("R19C",'Mapa final'!$R$64),"")</f>
        <v/>
      </c>
      <c r="K111" s="193" t="str">
        <f>IF(AND('Mapa final'!$AB$65="Media",'Mapa final'!$AD$65="Leve"),CONCATENATE("R19C",'Mapa final'!$R$65),"")</f>
        <v/>
      </c>
      <c r="L111" s="165" t="str">
        <f>IF(AND('Mapa final'!$AB$66="Media",'Mapa final'!$AD$66="Leve"),CONCATENATE("R19C",'Mapa final'!$R$66),"")</f>
        <v/>
      </c>
      <c r="M111" s="164" t="str">
        <f ca="1">IF(AND('Mapa final'!$AB$64="Media",'Mapa final'!$AD$64="Menor"),CONCATENATE("R19C",'Mapa final'!$R$64),"")</f>
        <v/>
      </c>
      <c r="N111" s="193" t="str">
        <f>IF(AND('Mapa final'!$AB$65="Media",'Mapa final'!$AD$65="Menor"),CONCATENATE("R19C",'Mapa final'!$R$65),"")</f>
        <v/>
      </c>
      <c r="O111" s="165" t="str">
        <f>IF(AND('Mapa final'!$AB$66="Media",'Mapa final'!$AD$66="Menor"),CONCATENATE("R19C",'Mapa final'!$R$66),"")</f>
        <v/>
      </c>
      <c r="P111" s="164" t="str">
        <f ca="1">IF(AND('Mapa final'!$AB$64="Media",'Mapa final'!$AD$64="Moderado"),CONCATENATE("R19C",'Mapa final'!$R$64),"")</f>
        <v/>
      </c>
      <c r="Q111" s="193" t="str">
        <f>IF(AND('Mapa final'!$AB$65="Media",'Mapa final'!$AD$65="Moderado"),CONCATENATE("R19C",'Mapa final'!$R$65),"")</f>
        <v/>
      </c>
      <c r="R111" s="165" t="str">
        <f>IF(AND('Mapa final'!$AB$66="Media",'Mapa final'!$AD$66="Moderado"),CONCATENATE("R19C",'Mapa final'!$R$66),"")</f>
        <v/>
      </c>
      <c r="S111" s="83" t="str">
        <f ca="1">IF(AND('Mapa final'!$AB$64="Media",'Mapa final'!$AD$64="Mayor"),CONCATENATE("R19C",'Mapa final'!$R$64),"")</f>
        <v/>
      </c>
      <c r="T111" s="195" t="str">
        <f>IF(AND('Mapa final'!$AB$65="Media",'Mapa final'!$AD$65="Mayor"),CONCATENATE("R19C",'Mapa final'!$R$65),"")</f>
        <v/>
      </c>
      <c r="U111" s="84" t="str">
        <f>IF(AND('Mapa final'!$AB$66="Media",'Mapa final'!$AD$66="Mayor"),CONCATENATE("R19C",'Mapa final'!$R$66),"")</f>
        <v/>
      </c>
      <c r="V111" s="159" t="str">
        <f ca="1">IF(AND('Mapa final'!$AB$64="Media",'Mapa final'!$AD$64="Catastrófico"),CONCATENATE("R19C",'Mapa final'!$R$64),"")</f>
        <v/>
      </c>
      <c r="W111" s="194" t="str">
        <f>IF(AND('Mapa final'!$AB$65="Media",'Mapa final'!$AD$65="Catastrófico"),CONCATENATE("R19C",'Mapa final'!$R$65),"")</f>
        <v/>
      </c>
      <c r="X111" s="160" t="str">
        <f>IF(AND('Mapa final'!$AB$66="Media",'Mapa final'!$AD$66="Catastrófico"),CONCATENATE("R19C",'Mapa final'!$R$66),"")</f>
        <v/>
      </c>
      <c r="Y111" s="38"/>
      <c r="Z111" s="375"/>
      <c r="AA111" s="376"/>
      <c r="AB111" s="376"/>
      <c r="AC111" s="376"/>
      <c r="AD111" s="376"/>
      <c r="AE111" s="377"/>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row>
    <row r="112" spans="1:61" ht="15" customHeight="1" x14ac:dyDescent="0.25">
      <c r="A112" s="38"/>
      <c r="B112" s="355"/>
      <c r="C112" s="356"/>
      <c r="D112" s="357"/>
      <c r="E112" s="339"/>
      <c r="F112" s="338"/>
      <c r="G112" s="338"/>
      <c r="H112" s="338"/>
      <c r="I112" s="338"/>
      <c r="J112" s="164" t="str">
        <f ca="1">IF(AND('Mapa final'!$AB$67="Media",'Mapa final'!$AD$67="Leve"),CONCATENATE("R20C",'Mapa final'!$R$67),"")</f>
        <v/>
      </c>
      <c r="K112" s="193" t="str">
        <f>IF(AND('Mapa final'!$AB$68="Media",'Mapa final'!$AD$68="Leve"),CONCATENATE("R20C",'Mapa final'!$R$68),"")</f>
        <v/>
      </c>
      <c r="L112" s="165" t="str">
        <f>IF(AND('Mapa final'!$AB$69="Media",'Mapa final'!$AD$69="Leve"),CONCATENATE("R20C",'Mapa final'!$R$69),"")</f>
        <v/>
      </c>
      <c r="M112" s="164" t="str">
        <f ca="1">IF(AND('Mapa final'!$AB$67="Media",'Mapa final'!$AD$67="Menor"),CONCATENATE("R20C",'Mapa final'!$R$67),"")</f>
        <v/>
      </c>
      <c r="N112" s="193" t="str">
        <f>IF(AND('Mapa final'!$AB$68="Media",'Mapa final'!$AD$68="Menor"),CONCATENATE("R20C",'Mapa final'!$R$68),"")</f>
        <v/>
      </c>
      <c r="O112" s="165" t="str">
        <f>IF(AND('Mapa final'!$AB$69="Media",'Mapa final'!$AD$69="Menor"),CONCATENATE("R20C",'Mapa final'!$R$69),"")</f>
        <v/>
      </c>
      <c r="P112" s="164" t="str">
        <f ca="1">IF(AND('Mapa final'!$AB$67="Media",'Mapa final'!$AD$67="Moderado"),CONCATENATE("R20C",'Mapa final'!$R$67),"")</f>
        <v>R20C1</v>
      </c>
      <c r="Q112" s="193" t="str">
        <f>IF(AND('Mapa final'!$AB$68="Media",'Mapa final'!$AD$68="Moderado"),CONCATENATE("R20C",'Mapa final'!$R$68),"")</f>
        <v/>
      </c>
      <c r="R112" s="165" t="str">
        <f>IF(AND('Mapa final'!$AB$69="Media",'Mapa final'!$AD$69="Moderado"),CONCATENATE("R20C",'Mapa final'!$R$69),"")</f>
        <v/>
      </c>
      <c r="S112" s="83" t="str">
        <f ca="1">IF(AND('Mapa final'!$AB$67="Media",'Mapa final'!$AD$67="Mayor"),CONCATENATE("R20C",'Mapa final'!$R$67),"")</f>
        <v/>
      </c>
      <c r="T112" s="195" t="str">
        <f>IF(AND('Mapa final'!$AB$68="Media",'Mapa final'!$AD$68="Mayor"),CONCATENATE("R20C",'Mapa final'!$R$68),"")</f>
        <v/>
      </c>
      <c r="U112" s="84" t="str">
        <f>IF(AND('Mapa final'!$AB$69="Media",'Mapa final'!$AD$69="Mayor"),CONCATENATE("R20C",'Mapa final'!$R$69),"")</f>
        <v/>
      </c>
      <c r="V112" s="159" t="str">
        <f ca="1">IF(AND('Mapa final'!$AB$67="Media",'Mapa final'!$AD$67="Catastrófico"),CONCATENATE("R20C",'Mapa final'!$R$67),"")</f>
        <v/>
      </c>
      <c r="W112" s="194" t="str">
        <f>IF(AND('Mapa final'!$AB$68="Media",'Mapa final'!$AD$68="Catastrófico"),CONCATENATE("R20C",'Mapa final'!$R$68),"")</f>
        <v/>
      </c>
      <c r="X112" s="160" t="str">
        <f>IF(AND('Mapa final'!$AB$69="Media",'Mapa final'!$AD$69="Catastrófico"),CONCATENATE("R20C",'Mapa final'!$R$69),"")</f>
        <v/>
      </c>
      <c r="Y112" s="38"/>
      <c r="Z112" s="375"/>
      <c r="AA112" s="376"/>
      <c r="AB112" s="376"/>
      <c r="AC112" s="376"/>
      <c r="AD112" s="376"/>
      <c r="AE112" s="377"/>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row>
    <row r="113" spans="1:61" ht="15" customHeight="1" x14ac:dyDescent="0.25">
      <c r="A113" s="38"/>
      <c r="B113" s="355"/>
      <c r="C113" s="356"/>
      <c r="D113" s="357"/>
      <c r="E113" s="339"/>
      <c r="F113" s="338"/>
      <c r="G113" s="338"/>
      <c r="H113" s="338"/>
      <c r="I113" s="338"/>
      <c r="J113" s="164" t="str">
        <f ca="1">IF(AND('Mapa final'!$AB$70="Media",'Mapa final'!$AD$70="Leve"),CONCATENATE("R21C",'Mapa final'!$R$70),"")</f>
        <v/>
      </c>
      <c r="K113" s="193" t="str">
        <f>IF(AND('Mapa final'!$AB$71="Media",'Mapa final'!$AD$71="Leve"),CONCATENATE("R21C",'Mapa final'!$R$71),"")</f>
        <v/>
      </c>
      <c r="L113" s="165" t="str">
        <f>IF(AND('Mapa final'!$AB$72="Media",'Mapa final'!$AD$72="Leve"),CONCATENATE("R21C",'Mapa final'!$R$72),"")</f>
        <v/>
      </c>
      <c r="M113" s="164" t="str">
        <f ca="1">IF(AND('Mapa final'!$AB$70="Media",'Mapa final'!$AD$70="Menor"),CONCATENATE("R21C",'Mapa final'!$R$70),"")</f>
        <v/>
      </c>
      <c r="N113" s="193" t="str">
        <f>IF(AND('Mapa final'!$AB$71="Media",'Mapa final'!$AD$71="Menor"),CONCATENATE("R21C",'Mapa final'!$R$71),"")</f>
        <v/>
      </c>
      <c r="O113" s="165" t="str">
        <f>IF(AND('Mapa final'!$AB$72="Media",'Mapa final'!$AD$72="Menor"),CONCATENATE("R21C",'Mapa final'!$R$72),"")</f>
        <v/>
      </c>
      <c r="P113" s="164" t="str">
        <f ca="1">IF(AND('Mapa final'!$AB$70="Media",'Mapa final'!$AD$70="Moderado"),CONCATENATE("R21C",'Mapa final'!$R$70),"")</f>
        <v/>
      </c>
      <c r="Q113" s="193" t="str">
        <f>IF(AND('Mapa final'!$AB$71="Media",'Mapa final'!$AD$71="Moderado"),CONCATENATE("R21C",'Mapa final'!$R$71),"")</f>
        <v/>
      </c>
      <c r="R113" s="165" t="str">
        <f>IF(AND('Mapa final'!$AB$72="Media",'Mapa final'!$AD$72="Moderado"),CONCATENATE("R21C",'Mapa final'!$R$72),"")</f>
        <v/>
      </c>
      <c r="S113" s="83" t="str">
        <f ca="1">IF(AND('Mapa final'!$AB$70="Media",'Mapa final'!$AD$70="Mayor"),CONCATENATE("R21C",'Mapa final'!$R$70),"")</f>
        <v/>
      </c>
      <c r="T113" s="195" t="str">
        <f>IF(AND('Mapa final'!$AB$71="Media",'Mapa final'!$AD$71="Mayor"),CONCATENATE("R21C",'Mapa final'!$R$71),"")</f>
        <v/>
      </c>
      <c r="U113" s="84" t="str">
        <f>IF(AND('Mapa final'!$AB$72="Media",'Mapa final'!$AD$72="Mayor"),CONCATENATE("R21C",'Mapa final'!$R$72),"")</f>
        <v/>
      </c>
      <c r="V113" s="159" t="str">
        <f ca="1">IF(AND('Mapa final'!$AB$70="Media",'Mapa final'!$AD$70="Catastrófico"),CONCATENATE("R21C",'Mapa final'!$R$70),"")</f>
        <v/>
      </c>
      <c r="W113" s="194" t="str">
        <f>IF(AND('Mapa final'!$AB$71="Media",'Mapa final'!$AD$71="Catastrófico"),CONCATENATE("R21C",'Mapa final'!$R$71),"")</f>
        <v/>
      </c>
      <c r="X113" s="160" t="str">
        <f>IF(AND('Mapa final'!$AB$72="Media",'Mapa final'!$AD$72="Catastrófico"),CONCATENATE("R21C",'Mapa final'!$R$72),"")</f>
        <v/>
      </c>
      <c r="Y113" s="38"/>
      <c r="Z113" s="375"/>
      <c r="AA113" s="376"/>
      <c r="AB113" s="376"/>
      <c r="AC113" s="376"/>
      <c r="AD113" s="376"/>
      <c r="AE113" s="377"/>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row>
    <row r="114" spans="1:61" ht="15" customHeight="1" x14ac:dyDescent="0.25">
      <c r="A114" s="38"/>
      <c r="B114" s="355"/>
      <c r="C114" s="356"/>
      <c r="D114" s="357"/>
      <c r="E114" s="339"/>
      <c r="F114" s="338"/>
      <c r="G114" s="338"/>
      <c r="H114" s="338"/>
      <c r="I114" s="338"/>
      <c r="J114" s="164" t="str">
        <f ca="1">IF(AND('Mapa final'!$AB$73="Media",'Mapa final'!$AD$73="Leve"),CONCATENATE("R22C",'Mapa final'!$R$73),"")</f>
        <v/>
      </c>
      <c r="K114" s="193" t="str">
        <f>IF(AND('Mapa final'!$AB$74="Media",'Mapa final'!$AD$74="Leve"),CONCATENATE("R22C",'Mapa final'!$R$74),"")</f>
        <v/>
      </c>
      <c r="L114" s="165" t="str">
        <f>IF(AND('Mapa final'!$AB$75="Media",'Mapa final'!$AD$75="Leve"),CONCATENATE("R22C",'Mapa final'!$R$75),"")</f>
        <v/>
      </c>
      <c r="M114" s="164" t="str">
        <f ca="1">IF(AND('Mapa final'!$AB$73="Media",'Mapa final'!$AD$73="Menor"),CONCATENATE("R22C",'Mapa final'!$R$73),"")</f>
        <v/>
      </c>
      <c r="N114" s="193" t="str">
        <f>IF(AND('Mapa final'!$AB$74="Media",'Mapa final'!$AD$74="Menor"),CONCATENATE("R22C",'Mapa final'!$R$74),"")</f>
        <v/>
      </c>
      <c r="O114" s="165" t="str">
        <f>IF(AND('Mapa final'!$AB$75="Media",'Mapa final'!$AD$75="Menor"),CONCATENATE("R22C",'Mapa final'!$R$75),"")</f>
        <v/>
      </c>
      <c r="P114" s="164" t="str">
        <f ca="1">IF(AND('Mapa final'!$AB$73="Media",'Mapa final'!$AD$73="Moderado"),CONCATENATE("R22C",'Mapa final'!$R$73),"")</f>
        <v/>
      </c>
      <c r="Q114" s="193" t="str">
        <f>IF(AND('Mapa final'!$AB$74="Media",'Mapa final'!$AD$74="Moderado"),CONCATENATE("R22C",'Mapa final'!$R$74),"")</f>
        <v/>
      </c>
      <c r="R114" s="165" t="str">
        <f>IF(AND('Mapa final'!$AB$75="Media",'Mapa final'!$AD$75="Moderado"),CONCATENATE("R22C",'Mapa final'!$R$75),"")</f>
        <v/>
      </c>
      <c r="S114" s="83" t="str">
        <f ca="1">IF(AND('Mapa final'!$AB$73="Media",'Mapa final'!$AD$73="Mayor"),CONCATENATE("R22C",'Mapa final'!$R$73),"")</f>
        <v/>
      </c>
      <c r="T114" s="195" t="str">
        <f>IF(AND('Mapa final'!$AB$74="Media",'Mapa final'!$AD$74="Mayor"),CONCATENATE("R22C",'Mapa final'!$R$74),"")</f>
        <v/>
      </c>
      <c r="U114" s="84" t="str">
        <f>IF(AND('Mapa final'!$AB$75="Media",'Mapa final'!$AD$75="Mayor"),CONCATENATE("R22C",'Mapa final'!$R$75),"")</f>
        <v/>
      </c>
      <c r="V114" s="159" t="str">
        <f ca="1">IF(AND('Mapa final'!$AB$73="Media",'Mapa final'!$AD$73="Catastrófico"),CONCATENATE("R22C",'Mapa final'!$R$73),"")</f>
        <v/>
      </c>
      <c r="W114" s="194" t="str">
        <f>IF(AND('Mapa final'!$AB$74="Media",'Mapa final'!$AD$74="Catastrófico"),CONCATENATE("R22C",'Mapa final'!$R$74),"")</f>
        <v/>
      </c>
      <c r="X114" s="160" t="str">
        <f>IF(AND('Mapa final'!$AB$75="Media",'Mapa final'!$AD$75="Catastrófico"),CONCATENATE("R22C",'Mapa final'!$R$75),"")</f>
        <v/>
      </c>
      <c r="Y114" s="38"/>
      <c r="Z114" s="375"/>
      <c r="AA114" s="376"/>
      <c r="AB114" s="376"/>
      <c r="AC114" s="376"/>
      <c r="AD114" s="376"/>
      <c r="AE114" s="377"/>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row>
    <row r="115" spans="1:61" ht="15" customHeight="1" x14ac:dyDescent="0.25">
      <c r="A115" s="38"/>
      <c r="B115" s="355"/>
      <c r="C115" s="356"/>
      <c r="D115" s="357"/>
      <c r="E115" s="339"/>
      <c r="F115" s="338"/>
      <c r="G115" s="338"/>
      <c r="H115" s="338"/>
      <c r="I115" s="338"/>
      <c r="J115" s="164" t="str">
        <f ca="1">IF(AND('Mapa final'!$AB$76="Media",'Mapa final'!$AD$76="Leve"),CONCATENATE("R23C",'Mapa final'!$R$76),"")</f>
        <v/>
      </c>
      <c r="K115" s="193" t="str">
        <f>IF(AND('Mapa final'!$AB$77="Media",'Mapa final'!$AD$77="Leve"),CONCATENATE("R23C",'Mapa final'!$R$77),"")</f>
        <v/>
      </c>
      <c r="L115" s="165" t="str">
        <f>IF(AND('Mapa final'!$AB$78="Media",'Mapa final'!$AD$78="Leve"),CONCATENATE("R23C",'Mapa final'!$R$78),"")</f>
        <v/>
      </c>
      <c r="M115" s="164" t="str">
        <f ca="1">IF(AND('Mapa final'!$AB$76="Media",'Mapa final'!$AD$76="Menor"),CONCATENATE("R23C",'Mapa final'!$R$76),"")</f>
        <v/>
      </c>
      <c r="N115" s="193" t="str">
        <f>IF(AND('Mapa final'!$AB$77="Media",'Mapa final'!$AD$77="Menor"),CONCATENATE("R23C",'Mapa final'!$R$77),"")</f>
        <v/>
      </c>
      <c r="O115" s="165" t="str">
        <f>IF(AND('Mapa final'!$AB$78="Media",'Mapa final'!$AD$78="Menor"),CONCATENATE("R23C",'Mapa final'!$R$78),"")</f>
        <v/>
      </c>
      <c r="P115" s="164" t="str">
        <f ca="1">IF(AND('Mapa final'!$AB$76="Media",'Mapa final'!$AD$76="Moderado"),CONCATENATE("R23C",'Mapa final'!$R$76),"")</f>
        <v/>
      </c>
      <c r="Q115" s="193" t="str">
        <f>IF(AND('Mapa final'!$AB$77="Media",'Mapa final'!$AD$77="Moderado"),CONCATENATE("R23C",'Mapa final'!$R$77),"")</f>
        <v/>
      </c>
      <c r="R115" s="165" t="str">
        <f>IF(AND('Mapa final'!$AB$78="Media",'Mapa final'!$AD$78="Moderado"),CONCATENATE("R23C",'Mapa final'!$R$78),"")</f>
        <v/>
      </c>
      <c r="S115" s="83" t="str">
        <f ca="1">IF(AND('Mapa final'!$AB$76="Media",'Mapa final'!$AD$76="Mayor"),CONCATENATE("R23C",'Mapa final'!$R$76),"")</f>
        <v/>
      </c>
      <c r="T115" s="195" t="str">
        <f>IF(AND('Mapa final'!$AB$77="Media",'Mapa final'!$AD$77="Mayor"),CONCATENATE("R23C",'Mapa final'!$R$77),"")</f>
        <v/>
      </c>
      <c r="U115" s="84" t="str">
        <f>IF(AND('Mapa final'!$AB$78="Media",'Mapa final'!$AD$78="Mayor"),CONCATENATE("R23C",'Mapa final'!$R$78),"")</f>
        <v/>
      </c>
      <c r="V115" s="159" t="str">
        <f ca="1">IF(AND('Mapa final'!$AB$76="Media",'Mapa final'!$AD$76="Catastrófico"),CONCATENATE("R23C",'Mapa final'!$R$76),"")</f>
        <v/>
      </c>
      <c r="W115" s="194" t="str">
        <f>IF(AND('Mapa final'!$AB$77="Media",'Mapa final'!$AD$77="Catastrófico"),CONCATENATE("R23C",'Mapa final'!$R$77),"")</f>
        <v/>
      </c>
      <c r="X115" s="160" t="str">
        <f>IF(AND('Mapa final'!$AB$78="Media",'Mapa final'!$AD$78="Catastrófico"),CONCATENATE("R23C",'Mapa final'!$R$78),"")</f>
        <v/>
      </c>
      <c r="Y115" s="38"/>
      <c r="Z115" s="375"/>
      <c r="AA115" s="376"/>
      <c r="AB115" s="376"/>
      <c r="AC115" s="376"/>
      <c r="AD115" s="376"/>
      <c r="AE115" s="377"/>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row>
    <row r="116" spans="1:61" ht="15" customHeight="1" x14ac:dyDescent="0.25">
      <c r="A116" s="38"/>
      <c r="B116" s="355"/>
      <c r="C116" s="356"/>
      <c r="D116" s="357"/>
      <c r="E116" s="339"/>
      <c r="F116" s="338"/>
      <c r="G116" s="338"/>
      <c r="H116" s="338"/>
      <c r="I116" s="338"/>
      <c r="J116" s="164" t="str">
        <f ca="1">IF(AND('Mapa final'!$AB$79="Media",'Mapa final'!$AD$79="Leve"),CONCATENATE("R24C",'Mapa final'!$R$79),"")</f>
        <v/>
      </c>
      <c r="K116" s="193" t="str">
        <f>IF(AND('Mapa final'!$AB$80="Media",'Mapa final'!$AD$80="Leve"),CONCATENATE("R24C",'Mapa final'!$R$80),"")</f>
        <v/>
      </c>
      <c r="L116" s="165" t="str">
        <f>IF(AND('Mapa final'!$AB$81="Media",'Mapa final'!$AD$81="Leve"),CONCATENATE("R24C",'Mapa final'!$R$81),"")</f>
        <v/>
      </c>
      <c r="M116" s="164" t="str">
        <f ca="1">IF(AND('Mapa final'!$AB$79="Media",'Mapa final'!$AD$79="Menor"),CONCATENATE("R24C",'Mapa final'!$R$79),"")</f>
        <v/>
      </c>
      <c r="N116" s="193" t="str">
        <f>IF(AND('Mapa final'!$AB$80="Media",'Mapa final'!$AD$80="Menor"),CONCATENATE("R24C",'Mapa final'!$R$80),"")</f>
        <v/>
      </c>
      <c r="O116" s="165" t="str">
        <f>IF(AND('Mapa final'!$AB$81="Media",'Mapa final'!$AD$81="Menor"),CONCATENATE("R24C",'Mapa final'!$R$81),"")</f>
        <v/>
      </c>
      <c r="P116" s="164" t="str">
        <f ca="1">IF(AND('Mapa final'!$AB$79="Media",'Mapa final'!$AD$79="Moderado"),CONCATENATE("R24C",'Mapa final'!$R$79),"")</f>
        <v>R24C1</v>
      </c>
      <c r="Q116" s="193" t="str">
        <f>IF(AND('Mapa final'!$AB$80="Media",'Mapa final'!$AD$80="Moderado"),CONCATENATE("R24C",'Mapa final'!$R$80),"")</f>
        <v/>
      </c>
      <c r="R116" s="165" t="str">
        <f>IF(AND('Mapa final'!$AB$81="Media",'Mapa final'!$AD$81="Moderado"),CONCATENATE("R24C",'Mapa final'!$R$81),"")</f>
        <v/>
      </c>
      <c r="S116" s="83" t="str">
        <f ca="1">IF(AND('Mapa final'!$AB$79="Media",'Mapa final'!$AD$79="Mayor"),CONCATENATE("R24C",'Mapa final'!$R$79),"")</f>
        <v/>
      </c>
      <c r="T116" s="195" t="str">
        <f>IF(AND('Mapa final'!$AB$80="Media",'Mapa final'!$AD$80="Mayor"),CONCATENATE("R24C",'Mapa final'!$R$80),"")</f>
        <v/>
      </c>
      <c r="U116" s="84" t="str">
        <f>IF(AND('Mapa final'!$AB$81="Media",'Mapa final'!$AD$81="Mayor"),CONCATENATE("R24C",'Mapa final'!$R$81),"")</f>
        <v/>
      </c>
      <c r="V116" s="159" t="str">
        <f ca="1">IF(AND('Mapa final'!$AB$79="Media",'Mapa final'!$AD$79="Catastrófico"),CONCATENATE("R24C",'Mapa final'!$R$79),"")</f>
        <v/>
      </c>
      <c r="W116" s="194" t="str">
        <f>IF(AND('Mapa final'!$AB$80="Media",'Mapa final'!$AD$80="Catastrófico"),CONCATENATE("R24C",'Mapa final'!$R$80),"")</f>
        <v/>
      </c>
      <c r="X116" s="160" t="str">
        <f>IF(AND('Mapa final'!$AB$81="Media",'Mapa final'!$AD$81="Catastrófico"),CONCATENATE("R24C",'Mapa final'!$R$81),"")</f>
        <v/>
      </c>
      <c r="Y116" s="38"/>
      <c r="Z116" s="375"/>
      <c r="AA116" s="376"/>
      <c r="AB116" s="376"/>
      <c r="AC116" s="376"/>
      <c r="AD116" s="376"/>
      <c r="AE116" s="377"/>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row>
    <row r="117" spans="1:61" ht="15" customHeight="1" x14ac:dyDescent="0.25">
      <c r="A117" s="38"/>
      <c r="B117" s="355"/>
      <c r="C117" s="356"/>
      <c r="D117" s="357"/>
      <c r="E117" s="339"/>
      <c r="F117" s="338"/>
      <c r="G117" s="338"/>
      <c r="H117" s="338"/>
      <c r="I117" s="338"/>
      <c r="J117" s="164" t="str">
        <f ca="1">IF(AND('Mapa final'!$AB$82="Media",'Mapa final'!$AD$82="Leve"),CONCATENATE("R25C",'Mapa final'!$R$82),"")</f>
        <v/>
      </c>
      <c r="K117" s="193" t="str">
        <f>IF(AND('Mapa final'!$AB$83="Media",'Mapa final'!$AD$83="Leve"),CONCATENATE("R25C",'Mapa final'!$R$83),"")</f>
        <v/>
      </c>
      <c r="L117" s="165" t="str">
        <f>IF(AND('Mapa final'!$AB$84="Media",'Mapa final'!$AD$84="Leve"),CONCATENATE("R25C",'Mapa final'!$R$84),"")</f>
        <v/>
      </c>
      <c r="M117" s="164" t="str">
        <f ca="1">IF(AND('Mapa final'!$AB$82="Media",'Mapa final'!$AD$82="Menor"),CONCATENATE("R25C",'Mapa final'!$R$82),"")</f>
        <v/>
      </c>
      <c r="N117" s="193" t="str">
        <f>IF(AND('Mapa final'!$AB$83="Media",'Mapa final'!$AD$83="Menor"),CONCATENATE("R25C",'Mapa final'!$R$83),"")</f>
        <v/>
      </c>
      <c r="O117" s="165" t="str">
        <f>IF(AND('Mapa final'!$AB$84="Media",'Mapa final'!$AD$84="Menor"),CONCATENATE("R25C",'Mapa final'!$R$84),"")</f>
        <v/>
      </c>
      <c r="P117" s="164" t="str">
        <f ca="1">IF(AND('Mapa final'!$AB$82="Media",'Mapa final'!$AD$82="Moderado"),CONCATENATE("R25C",'Mapa final'!$R$82),"")</f>
        <v/>
      </c>
      <c r="Q117" s="193" t="str">
        <f>IF(AND('Mapa final'!$AB$83="Media",'Mapa final'!$AD$83="Moderado"),CONCATENATE("R25C",'Mapa final'!$R$83),"")</f>
        <v/>
      </c>
      <c r="R117" s="165" t="str">
        <f>IF(AND('Mapa final'!$AB$84="Media",'Mapa final'!$AD$84="Moderado"),CONCATENATE("R25C",'Mapa final'!$R$84),"")</f>
        <v/>
      </c>
      <c r="S117" s="83" t="str">
        <f ca="1">IF(AND('Mapa final'!$AB$82="Media",'Mapa final'!$AD$82="Mayor"),CONCATENATE("R25C",'Mapa final'!$R$82),"")</f>
        <v/>
      </c>
      <c r="T117" s="195" t="str">
        <f>IF(AND('Mapa final'!$AB$83="Media",'Mapa final'!$AD$83="Mayor"),CONCATENATE("R25C",'Mapa final'!$R$83),"")</f>
        <v/>
      </c>
      <c r="U117" s="84" t="str">
        <f>IF(AND('Mapa final'!$AB$84="Media",'Mapa final'!$AD$84="Mayor"),CONCATENATE("R25C",'Mapa final'!$R$84),"")</f>
        <v/>
      </c>
      <c r="V117" s="159" t="str">
        <f ca="1">IF(AND('Mapa final'!$AB$82="Media",'Mapa final'!$AD$82="Catastrófico"),CONCATENATE("R25C",'Mapa final'!$R$82),"")</f>
        <v/>
      </c>
      <c r="W117" s="194" t="str">
        <f>IF(AND('Mapa final'!$AB$83="Media",'Mapa final'!$AD$83="Catastrófico"),CONCATENATE("R25C",'Mapa final'!$R$83),"")</f>
        <v/>
      </c>
      <c r="X117" s="160" t="str">
        <f>IF(AND('Mapa final'!$AB$84="Media",'Mapa final'!$AD$84="Catastrófico"),CONCATENATE("R25C",'Mapa final'!$R$84),"")</f>
        <v/>
      </c>
      <c r="Y117" s="38"/>
      <c r="Z117" s="375"/>
      <c r="AA117" s="376"/>
      <c r="AB117" s="376"/>
      <c r="AC117" s="376"/>
      <c r="AD117" s="376"/>
      <c r="AE117" s="377"/>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row>
    <row r="118" spans="1:61" ht="15" customHeight="1" x14ac:dyDescent="0.25">
      <c r="A118" s="38"/>
      <c r="B118" s="355"/>
      <c r="C118" s="356"/>
      <c r="D118" s="357"/>
      <c r="E118" s="339"/>
      <c r="F118" s="338"/>
      <c r="G118" s="338"/>
      <c r="H118" s="338"/>
      <c r="I118" s="338"/>
      <c r="J118" s="164" t="str">
        <f ca="1">IF(AND('Mapa final'!$AB$85="Media",'Mapa final'!$AD$85="Leve"),CONCATENATE("R26C",'Mapa final'!$R$85),"")</f>
        <v/>
      </c>
      <c r="K118" s="193" t="str">
        <f>IF(AND('Mapa final'!$AB$86="Media",'Mapa final'!$AD$86="Leve"),CONCATENATE("R26C",'Mapa final'!$R$86),"")</f>
        <v/>
      </c>
      <c r="L118" s="165" t="str">
        <f>IF(AND('Mapa final'!$AB$87="Media",'Mapa final'!$AD$87="Leve"),CONCATENATE("R26C",'Mapa final'!$R$87),"")</f>
        <v/>
      </c>
      <c r="M118" s="164" t="str">
        <f ca="1">IF(AND('Mapa final'!$AB$85="Media",'Mapa final'!$AD$85="Menor"),CONCATENATE("R26C",'Mapa final'!$R$85),"")</f>
        <v/>
      </c>
      <c r="N118" s="193" t="str">
        <f>IF(AND('Mapa final'!$AB$86="Media",'Mapa final'!$AD$86="Menor"),CONCATENATE("R26C",'Mapa final'!$R$86),"")</f>
        <v/>
      </c>
      <c r="O118" s="165" t="str">
        <f>IF(AND('Mapa final'!$AB$87="Media",'Mapa final'!$AD$87="Menor"),CONCATENATE("R26C",'Mapa final'!$R$87),"")</f>
        <v/>
      </c>
      <c r="P118" s="164" t="str">
        <f ca="1">IF(AND('Mapa final'!$AB$85="Media",'Mapa final'!$AD$85="Moderado"),CONCATENATE("R26C",'Mapa final'!$R$85),"")</f>
        <v/>
      </c>
      <c r="Q118" s="193" t="str">
        <f>IF(AND('Mapa final'!$AB$86="Media",'Mapa final'!$AD$86="Moderado"),CONCATENATE("R26C",'Mapa final'!$R$86),"")</f>
        <v/>
      </c>
      <c r="R118" s="165" t="str">
        <f>IF(AND('Mapa final'!$AB$87="Media",'Mapa final'!$AD$87="Moderado"),CONCATENATE("R26C",'Mapa final'!$R$87),"")</f>
        <v/>
      </c>
      <c r="S118" s="83" t="str">
        <f ca="1">IF(AND('Mapa final'!$AB$85="Media",'Mapa final'!$AD$85="Mayor"),CONCATENATE("R26C",'Mapa final'!$R$85),"")</f>
        <v>R26C1</v>
      </c>
      <c r="T118" s="195" t="str">
        <f>IF(AND('Mapa final'!$AB$86="Media",'Mapa final'!$AD$86="Mayor"),CONCATENATE("R26C",'Mapa final'!$R$86),"")</f>
        <v/>
      </c>
      <c r="U118" s="84" t="str">
        <f>IF(AND('Mapa final'!$AB$87="Media",'Mapa final'!$AD$87="Mayor"),CONCATENATE("R26C",'Mapa final'!$R$87),"")</f>
        <v/>
      </c>
      <c r="V118" s="159" t="str">
        <f ca="1">IF(AND('Mapa final'!$AB$85="Media",'Mapa final'!$AD$85="Catastrófico"),CONCATENATE("R26C",'Mapa final'!$R$85),"")</f>
        <v/>
      </c>
      <c r="W118" s="194" t="str">
        <f>IF(AND('Mapa final'!$AB$86="Media",'Mapa final'!$AD$86="Catastrófico"),CONCATENATE("R26C",'Mapa final'!$R$86),"")</f>
        <v/>
      </c>
      <c r="X118" s="160" t="str">
        <f>IF(AND('Mapa final'!$AB$87="Media",'Mapa final'!$AD$87="Catastrófico"),CONCATENATE("R26C",'Mapa final'!$R$87),"")</f>
        <v/>
      </c>
      <c r="Y118" s="38"/>
      <c r="Z118" s="375"/>
      <c r="AA118" s="376"/>
      <c r="AB118" s="376"/>
      <c r="AC118" s="376"/>
      <c r="AD118" s="376"/>
      <c r="AE118" s="377"/>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row>
    <row r="119" spans="1:61" ht="15" customHeight="1" x14ac:dyDescent="0.25">
      <c r="A119" s="38"/>
      <c r="B119" s="355"/>
      <c r="C119" s="356"/>
      <c r="D119" s="357"/>
      <c r="E119" s="339"/>
      <c r="F119" s="338"/>
      <c r="G119" s="338"/>
      <c r="H119" s="338"/>
      <c r="I119" s="338"/>
      <c r="J119" s="164" t="str">
        <f ca="1">IF(AND('Mapa final'!$AB$88="Media",'Mapa final'!$AD$88="Leve"),CONCATENATE("R27C",'Mapa final'!$R$88),"")</f>
        <v/>
      </c>
      <c r="K119" s="193" t="str">
        <f>IF(AND('Mapa final'!$AB$89="Media",'Mapa final'!$AD$89="Leve"),CONCATENATE("R27C",'Mapa final'!$R$89),"")</f>
        <v/>
      </c>
      <c r="L119" s="165" t="str">
        <f>IF(AND('Mapa final'!$AB$90="Media",'Mapa final'!$AD$90="Leve"),CONCATENATE("R27C",'Mapa final'!$R$90),"")</f>
        <v/>
      </c>
      <c r="M119" s="164" t="str">
        <f ca="1">IF(AND('Mapa final'!$AB$88="Media",'Mapa final'!$AD$88="Menor"),CONCATENATE("R27C",'Mapa final'!$R$88),"")</f>
        <v/>
      </c>
      <c r="N119" s="193" t="str">
        <f>IF(AND('Mapa final'!$AB$89="Media",'Mapa final'!$AD$89="Menor"),CONCATENATE("R27C",'Mapa final'!$R$89),"")</f>
        <v/>
      </c>
      <c r="O119" s="165" t="str">
        <f>IF(AND('Mapa final'!$AB$90="Media",'Mapa final'!$AD$90="Menor"),CONCATENATE("R27C",'Mapa final'!$R$90),"")</f>
        <v/>
      </c>
      <c r="P119" s="164" t="str">
        <f ca="1">IF(AND('Mapa final'!$AB$88="Media",'Mapa final'!$AD$88="Moderado"),CONCATENATE("R27C",'Mapa final'!$R$88),"")</f>
        <v/>
      </c>
      <c r="Q119" s="193" t="str">
        <f>IF(AND('Mapa final'!$AB$89="Media",'Mapa final'!$AD$89="Moderado"),CONCATENATE("R27C",'Mapa final'!$R$89),"")</f>
        <v/>
      </c>
      <c r="R119" s="165" t="str">
        <f>IF(AND('Mapa final'!$AB$90="Media",'Mapa final'!$AD$90="Moderado"),CONCATENATE("R27C",'Mapa final'!$R$90),"")</f>
        <v/>
      </c>
      <c r="S119" s="83" t="str">
        <f ca="1">IF(AND('Mapa final'!$AB$88="Media",'Mapa final'!$AD$88="Mayor"),CONCATENATE("R27C",'Mapa final'!$R$88),"")</f>
        <v/>
      </c>
      <c r="T119" s="195" t="str">
        <f>IF(AND('Mapa final'!$AB$89="Media",'Mapa final'!$AD$89="Mayor"),CONCATENATE("R27C",'Mapa final'!$R$89),"")</f>
        <v/>
      </c>
      <c r="U119" s="84" t="str">
        <f>IF(AND('Mapa final'!$AB$90="Media",'Mapa final'!$AD$90="Mayor"),CONCATENATE("R27C",'Mapa final'!$R$90),"")</f>
        <v/>
      </c>
      <c r="V119" s="159" t="str">
        <f ca="1">IF(AND('Mapa final'!$AB$88="Media",'Mapa final'!$AD$88="Catastrófico"),CONCATENATE("R27C",'Mapa final'!$R$88),"")</f>
        <v/>
      </c>
      <c r="W119" s="194" t="str">
        <f>IF(AND('Mapa final'!$AB$89="Media",'Mapa final'!$AD$89="Catastrófico"),CONCATENATE("R27C",'Mapa final'!$R$89),"")</f>
        <v/>
      </c>
      <c r="X119" s="160" t="str">
        <f>IF(AND('Mapa final'!$AB$90="Media",'Mapa final'!$AD$90="Catastrófico"),CONCATENATE("R27C",'Mapa final'!$R$90),"")</f>
        <v/>
      </c>
      <c r="Y119" s="38"/>
      <c r="Z119" s="375"/>
      <c r="AA119" s="376"/>
      <c r="AB119" s="376"/>
      <c r="AC119" s="376"/>
      <c r="AD119" s="376"/>
      <c r="AE119" s="377"/>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row>
    <row r="120" spans="1:61" ht="15" customHeight="1" x14ac:dyDescent="0.25">
      <c r="A120" s="38"/>
      <c r="B120" s="355"/>
      <c r="C120" s="356"/>
      <c r="D120" s="357"/>
      <c r="E120" s="339"/>
      <c r="F120" s="338"/>
      <c r="G120" s="338"/>
      <c r="H120" s="338"/>
      <c r="I120" s="338"/>
      <c r="J120" s="164" t="str">
        <f ca="1">IF(AND('Mapa final'!$AB$91="Media",'Mapa final'!$AD$91="Leve"),CONCATENATE("R28C",'Mapa final'!$R$91),"")</f>
        <v/>
      </c>
      <c r="K120" s="193" t="str">
        <f>IF(AND('Mapa final'!$AB$92="Media",'Mapa final'!$AD$92="Leve"),CONCATENATE("R28C",'Mapa final'!$R$92),"")</f>
        <v/>
      </c>
      <c r="L120" s="165" t="str">
        <f>IF(AND('Mapa final'!$AB$93="Media",'Mapa final'!$AD$93="Leve"),CONCATENATE("R28C",'Mapa final'!$R$93),"")</f>
        <v/>
      </c>
      <c r="M120" s="164" t="str">
        <f ca="1">IF(AND('Mapa final'!$AB$91="Media",'Mapa final'!$AD$91="Menor"),CONCATENATE("R28C",'Mapa final'!$R$91),"")</f>
        <v/>
      </c>
      <c r="N120" s="193" t="str">
        <f>IF(AND('Mapa final'!$AB$92="Media",'Mapa final'!$AD$92="Menor"),CONCATENATE("R28C",'Mapa final'!$R$92),"")</f>
        <v/>
      </c>
      <c r="O120" s="165" t="str">
        <f>IF(AND('Mapa final'!$AB$93="Media",'Mapa final'!$AD$93="Menor"),CONCATENATE("R28C",'Mapa final'!$R$93),"")</f>
        <v/>
      </c>
      <c r="P120" s="164" t="str">
        <f ca="1">IF(AND('Mapa final'!$AB$91="Media",'Mapa final'!$AD$91="Moderado"),CONCATENATE("R28C",'Mapa final'!$R$91),"")</f>
        <v/>
      </c>
      <c r="Q120" s="193" t="str">
        <f>IF(AND('Mapa final'!$AB$92="Media",'Mapa final'!$AD$92="Moderado"),CONCATENATE("R28C",'Mapa final'!$R$92),"")</f>
        <v/>
      </c>
      <c r="R120" s="165" t="str">
        <f>IF(AND('Mapa final'!$AB$93="Media",'Mapa final'!$AD$93="Moderado"),CONCATENATE("R28C",'Mapa final'!$R$93),"")</f>
        <v/>
      </c>
      <c r="S120" s="83" t="str">
        <f ca="1">IF(AND('Mapa final'!$AB$91="Media",'Mapa final'!$AD$91="Mayor"),CONCATENATE("R28C",'Mapa final'!$R$91),"")</f>
        <v/>
      </c>
      <c r="T120" s="195" t="str">
        <f>IF(AND('Mapa final'!$AB$92="Media",'Mapa final'!$AD$92="Mayor"),CONCATENATE("R28C",'Mapa final'!$R$92),"")</f>
        <v/>
      </c>
      <c r="U120" s="84" t="str">
        <f>IF(AND('Mapa final'!$AB$93="Media",'Mapa final'!$AD$93="Mayor"),CONCATENATE("R28C",'Mapa final'!$R$93),"")</f>
        <v/>
      </c>
      <c r="V120" s="159" t="str">
        <f ca="1">IF(AND('Mapa final'!$AB$91="Media",'Mapa final'!$AD$91="Catastrófico"),CONCATENATE("R28C",'Mapa final'!$R$91),"")</f>
        <v/>
      </c>
      <c r="W120" s="194" t="str">
        <f>IF(AND('Mapa final'!$AB$92="Media",'Mapa final'!$AD$92="Catastrófico"),CONCATENATE("R28C",'Mapa final'!$R$92),"")</f>
        <v/>
      </c>
      <c r="X120" s="160" t="str">
        <f>IF(AND('Mapa final'!$AB$93="Media",'Mapa final'!$AD$93="Catastrófico"),CONCATENATE("R28C",'Mapa final'!$R$93),"")</f>
        <v/>
      </c>
      <c r="Y120" s="38"/>
      <c r="Z120" s="375"/>
      <c r="AA120" s="376"/>
      <c r="AB120" s="376"/>
      <c r="AC120" s="376"/>
      <c r="AD120" s="376"/>
      <c r="AE120" s="377"/>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row>
    <row r="121" spans="1:61" ht="15" customHeight="1" x14ac:dyDescent="0.25">
      <c r="A121" s="38"/>
      <c r="B121" s="355"/>
      <c r="C121" s="356"/>
      <c r="D121" s="357"/>
      <c r="E121" s="339"/>
      <c r="F121" s="338"/>
      <c r="G121" s="338"/>
      <c r="H121" s="338"/>
      <c r="I121" s="338"/>
      <c r="J121" s="164" t="str">
        <f ca="1">IF(AND('Mapa final'!$AB$94="Media",'Mapa final'!$AD$94="Leve"),CONCATENATE("R29C",'Mapa final'!$R$94),"")</f>
        <v/>
      </c>
      <c r="K121" s="193" t="str">
        <f>IF(AND('Mapa final'!$AB$95="Media",'Mapa final'!$AD$95="Leve"),CONCATENATE("R29C",'Mapa final'!$R$95),"")</f>
        <v/>
      </c>
      <c r="L121" s="165" t="str">
        <f>IF(AND('Mapa final'!$AB$96="Media",'Mapa final'!$AD$96="Leve"),CONCATENATE("R29C",'Mapa final'!$R$96),"")</f>
        <v/>
      </c>
      <c r="M121" s="164" t="str">
        <f ca="1">IF(AND('Mapa final'!$AB$94="Media",'Mapa final'!$AD$94="Menor"),CONCATENATE("R29C",'Mapa final'!$R$94),"")</f>
        <v/>
      </c>
      <c r="N121" s="193" t="str">
        <f>IF(AND('Mapa final'!$AB$95="Media",'Mapa final'!$AD$95="Menor"),CONCATENATE("R29C",'Mapa final'!$R$95),"")</f>
        <v/>
      </c>
      <c r="O121" s="165" t="str">
        <f>IF(AND('Mapa final'!$AB$96="Media",'Mapa final'!$AD$96="Menor"),CONCATENATE("R29C",'Mapa final'!$R$96),"")</f>
        <v/>
      </c>
      <c r="P121" s="164" t="str">
        <f ca="1">IF(AND('Mapa final'!$AB$94="Media",'Mapa final'!$AD$94="Moderado"),CONCATENATE("R29C",'Mapa final'!$R$94),"")</f>
        <v/>
      </c>
      <c r="Q121" s="193" t="str">
        <f>IF(AND('Mapa final'!$AB$95="Media",'Mapa final'!$AD$95="Moderado"),CONCATENATE("R29C",'Mapa final'!$R$95),"")</f>
        <v/>
      </c>
      <c r="R121" s="165" t="str">
        <f>IF(AND('Mapa final'!$AB$96="Media",'Mapa final'!$AD$96="Moderado"),CONCATENATE("R29C",'Mapa final'!$R$96),"")</f>
        <v/>
      </c>
      <c r="S121" s="83" t="str">
        <f ca="1">IF(AND('Mapa final'!$AB$94="Media",'Mapa final'!$AD$94="Mayor"),CONCATENATE("R29C",'Mapa final'!$R$94),"")</f>
        <v/>
      </c>
      <c r="T121" s="195" t="str">
        <f>IF(AND('Mapa final'!$AB$95="Media",'Mapa final'!$AD$95="Mayor"),CONCATENATE("R29C",'Mapa final'!$R$95),"")</f>
        <v/>
      </c>
      <c r="U121" s="84" t="str">
        <f>IF(AND('Mapa final'!$AB$96="Media",'Mapa final'!$AD$96="Mayor"),CONCATENATE("R29C",'Mapa final'!$R$96),"")</f>
        <v/>
      </c>
      <c r="V121" s="159" t="str">
        <f ca="1">IF(AND('Mapa final'!$AB$94="Media",'Mapa final'!$AD$94="Catastrófico"),CONCATENATE("R29C",'Mapa final'!$R$94),"")</f>
        <v/>
      </c>
      <c r="W121" s="194" t="str">
        <f>IF(AND('Mapa final'!$AB$95="Media",'Mapa final'!$AD$95="Catastrófico"),CONCATENATE("R29C",'Mapa final'!$R$95),"")</f>
        <v/>
      </c>
      <c r="X121" s="160" t="str">
        <f>IF(AND('Mapa final'!$AB$96="Media",'Mapa final'!$AD$96="Catastrófico"),CONCATENATE("R29C",'Mapa final'!$R$96),"")</f>
        <v/>
      </c>
      <c r="Y121" s="38"/>
      <c r="Z121" s="375"/>
      <c r="AA121" s="376"/>
      <c r="AB121" s="376"/>
      <c r="AC121" s="376"/>
      <c r="AD121" s="376"/>
      <c r="AE121" s="377"/>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row>
    <row r="122" spans="1:61" ht="15" customHeight="1" x14ac:dyDescent="0.25">
      <c r="A122" s="38"/>
      <c r="B122" s="355"/>
      <c r="C122" s="356"/>
      <c r="D122" s="357"/>
      <c r="E122" s="339"/>
      <c r="F122" s="338"/>
      <c r="G122" s="338"/>
      <c r="H122" s="338"/>
      <c r="I122" s="338"/>
      <c r="J122" s="164" t="str">
        <f ca="1">IF(AND('Mapa final'!$AB$97="Media",'Mapa final'!$AD$97="Leve"),CONCATENATE("R30C",'Mapa final'!$R$97),"")</f>
        <v/>
      </c>
      <c r="K122" s="193" t="str">
        <f>IF(AND('Mapa final'!$AB$98="Media",'Mapa final'!$AD$98="Leve"),CONCATENATE("R30C",'Mapa final'!$R$98),"")</f>
        <v/>
      </c>
      <c r="L122" s="165" t="str">
        <f>IF(AND('Mapa final'!$AB$99="Media",'Mapa final'!$AD$99="Leve"),CONCATENATE("R30C",'Mapa final'!$R$99),"")</f>
        <v/>
      </c>
      <c r="M122" s="164" t="str">
        <f ca="1">IF(AND('Mapa final'!$AB$97="Media",'Mapa final'!$AD$97="Menor"),CONCATENATE("R30C",'Mapa final'!$R$97),"")</f>
        <v/>
      </c>
      <c r="N122" s="193" t="str">
        <f>IF(AND('Mapa final'!$AB$98="Media",'Mapa final'!$AD$98="Menor"),CONCATENATE("R30C",'Mapa final'!$R$98),"")</f>
        <v/>
      </c>
      <c r="O122" s="165" t="str">
        <f>IF(AND('Mapa final'!$AB$99="Media",'Mapa final'!$AD$99="Menor"),CONCATENATE("R30C",'Mapa final'!$R$99),"")</f>
        <v/>
      </c>
      <c r="P122" s="164" t="str">
        <f ca="1">IF(AND('Mapa final'!$AB$97="Media",'Mapa final'!$AD$97="Moderado"),CONCATENATE("R30C",'Mapa final'!$R$97),"")</f>
        <v/>
      </c>
      <c r="Q122" s="193" t="str">
        <f>IF(AND('Mapa final'!$AB$98="Media",'Mapa final'!$AD$98="Moderado"),CONCATENATE("R30C",'Mapa final'!$R$98),"")</f>
        <v/>
      </c>
      <c r="R122" s="165" t="str">
        <f>IF(AND('Mapa final'!$AB$99="Media",'Mapa final'!$AD$99="Moderado"),CONCATENATE("R30C",'Mapa final'!$R$99),"")</f>
        <v/>
      </c>
      <c r="S122" s="83" t="str">
        <f ca="1">IF(AND('Mapa final'!$AB$97="Media",'Mapa final'!$AD$97="Mayor"),CONCATENATE("R30C",'Mapa final'!$R$97),"")</f>
        <v/>
      </c>
      <c r="T122" s="195" t="str">
        <f>IF(AND('Mapa final'!$AB$98="Media",'Mapa final'!$AD$98="Mayor"),CONCATENATE("R30C",'Mapa final'!$R$98),"")</f>
        <v/>
      </c>
      <c r="U122" s="84" t="str">
        <f>IF(AND('Mapa final'!$AB$99="Media",'Mapa final'!$AD$99="Mayor"),CONCATENATE("R30C",'Mapa final'!$R$99),"")</f>
        <v/>
      </c>
      <c r="V122" s="159" t="str">
        <f ca="1">IF(AND('Mapa final'!$AB$97="Media",'Mapa final'!$AD$97="Catastrófico"),CONCATENATE("R30C",'Mapa final'!$R$97),"")</f>
        <v/>
      </c>
      <c r="W122" s="194" t="str">
        <f>IF(AND('Mapa final'!$AB$98="Media",'Mapa final'!$AD$98="Catastrófico"),CONCATENATE("R30C",'Mapa final'!$R$98),"")</f>
        <v/>
      </c>
      <c r="X122" s="160" t="str">
        <f>IF(AND('Mapa final'!$AB$99="Media",'Mapa final'!$AD$99="Catastrófico"),CONCATENATE("R30C",'Mapa final'!$R$99),"")</f>
        <v/>
      </c>
      <c r="Y122" s="38"/>
      <c r="Z122" s="375"/>
      <c r="AA122" s="376"/>
      <c r="AB122" s="376"/>
      <c r="AC122" s="376"/>
      <c r="AD122" s="376"/>
      <c r="AE122" s="377"/>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row>
    <row r="123" spans="1:61" ht="15" customHeight="1" x14ac:dyDescent="0.25">
      <c r="A123" s="38"/>
      <c r="B123" s="355"/>
      <c r="C123" s="356"/>
      <c r="D123" s="357"/>
      <c r="E123" s="339"/>
      <c r="F123" s="338"/>
      <c r="G123" s="338"/>
      <c r="H123" s="338"/>
      <c r="I123" s="338"/>
      <c r="J123" s="164" t="str">
        <f ca="1">IF(AND('Mapa final'!$AB$100="Media",'Mapa final'!$AD$100="Leve"),CONCATENATE("R31C",'Mapa final'!$R$100),"")</f>
        <v/>
      </c>
      <c r="K123" s="193" t="str">
        <f>IF(AND('Mapa final'!$AB$101="Media",'Mapa final'!$AD$101="Leve"),CONCATENATE("R31C",'Mapa final'!$R$101),"")</f>
        <v/>
      </c>
      <c r="L123" s="165" t="str">
        <f>IF(AND('Mapa final'!$AB$102="Media",'Mapa final'!$AD$102="Leve"),CONCATENATE("R31C",'Mapa final'!$R$102),"")</f>
        <v/>
      </c>
      <c r="M123" s="164" t="str">
        <f ca="1">IF(AND('Mapa final'!$AB$100="Media",'Mapa final'!$AD$100="Menor"),CONCATENATE("R31C",'Mapa final'!$R$100),"")</f>
        <v/>
      </c>
      <c r="N123" s="193" t="str">
        <f>IF(AND('Mapa final'!$AB$101="Media",'Mapa final'!$AD$101="Menor"),CONCATENATE("R31C",'Mapa final'!$R$101),"")</f>
        <v/>
      </c>
      <c r="O123" s="165" t="str">
        <f>IF(AND('Mapa final'!$AB$102="Media",'Mapa final'!$AD$102="Menor"),CONCATENATE("R31C",'Mapa final'!$R$102),"")</f>
        <v/>
      </c>
      <c r="P123" s="164" t="str">
        <f ca="1">IF(AND('Mapa final'!$AB$100="Media",'Mapa final'!$AD$100="Moderado"),CONCATENATE("R31C",'Mapa final'!$R$100),"")</f>
        <v/>
      </c>
      <c r="Q123" s="193" t="str">
        <f>IF(AND('Mapa final'!$AB$101="Media",'Mapa final'!$AD$101="Moderado"),CONCATENATE("R31C",'Mapa final'!$R$101),"")</f>
        <v/>
      </c>
      <c r="R123" s="165" t="str">
        <f>IF(AND('Mapa final'!$AB$102="Media",'Mapa final'!$AD$102="Moderado"),CONCATENATE("R31C",'Mapa final'!$R$102),"")</f>
        <v/>
      </c>
      <c r="S123" s="83" t="str">
        <f ca="1">IF(AND('Mapa final'!$AB$100="Media",'Mapa final'!$AD$100="Mayor"),CONCATENATE("R31C",'Mapa final'!$R$100),"")</f>
        <v/>
      </c>
      <c r="T123" s="195" t="str">
        <f>IF(AND('Mapa final'!$AB$101="Media",'Mapa final'!$AD$101="Mayor"),CONCATENATE("R31C",'Mapa final'!$R$101),"")</f>
        <v/>
      </c>
      <c r="U123" s="84" t="str">
        <f>IF(AND('Mapa final'!$AB$102="Media",'Mapa final'!$AD$102="Mayor"),CONCATENATE("R31C",'Mapa final'!$R$102),"")</f>
        <v/>
      </c>
      <c r="V123" s="159" t="str">
        <f ca="1">IF(AND('Mapa final'!$AB$100="Media",'Mapa final'!$AD$100="Catastrófico"),CONCATENATE("R31C",'Mapa final'!$R$100),"")</f>
        <v/>
      </c>
      <c r="W123" s="194" t="str">
        <f>IF(AND('Mapa final'!$AB$101="Media",'Mapa final'!$AD$101="Catastrófico"),CONCATENATE("R31C",'Mapa final'!$R$101),"")</f>
        <v/>
      </c>
      <c r="X123" s="160" t="str">
        <f>IF(AND('Mapa final'!$AB$102="Media",'Mapa final'!$AD$102="Catastrófico"),CONCATENATE("R31C",'Mapa final'!$R$102),"")</f>
        <v/>
      </c>
      <c r="Y123" s="38"/>
      <c r="Z123" s="375"/>
      <c r="AA123" s="376"/>
      <c r="AB123" s="376"/>
      <c r="AC123" s="376"/>
      <c r="AD123" s="376"/>
      <c r="AE123" s="377"/>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row>
    <row r="124" spans="1:61" ht="15" customHeight="1" x14ac:dyDescent="0.25">
      <c r="A124" s="38"/>
      <c r="B124" s="355"/>
      <c r="C124" s="356"/>
      <c r="D124" s="357"/>
      <c r="E124" s="339"/>
      <c r="F124" s="338"/>
      <c r="G124" s="338"/>
      <c r="H124" s="338"/>
      <c r="I124" s="338"/>
      <c r="J124" s="164" t="str">
        <f ca="1">IF(AND('Mapa final'!$AB$103="Media",'Mapa final'!$AD$103="Leve"),CONCATENATE("R32C",'Mapa final'!$R$103),"")</f>
        <v/>
      </c>
      <c r="K124" s="193" t="str">
        <f>IF(AND('Mapa final'!$AB$104="Media",'Mapa final'!$AD$104="Leve"),CONCATENATE("R32C",'Mapa final'!$R$104),"")</f>
        <v/>
      </c>
      <c r="L124" s="165" t="str">
        <f>IF(AND('Mapa final'!$AB$105="Media",'Mapa final'!$AD$105="Leve"),CONCATENATE("R32C",'Mapa final'!$R$105),"")</f>
        <v/>
      </c>
      <c r="M124" s="164" t="str">
        <f ca="1">IF(AND('Mapa final'!$AB$103="Media",'Mapa final'!$AD$103="Menor"),CONCATENATE("R32C",'Mapa final'!$R$103),"")</f>
        <v/>
      </c>
      <c r="N124" s="193" t="str">
        <f>IF(AND('Mapa final'!$AB$104="Media",'Mapa final'!$AD$104="Menor"),CONCATENATE("R32C",'Mapa final'!$R$104),"")</f>
        <v/>
      </c>
      <c r="O124" s="165" t="str">
        <f>IF(AND('Mapa final'!$AB$105="Media",'Mapa final'!$AD$105="Menor"),CONCATENATE("R32C",'Mapa final'!$R$105),"")</f>
        <v/>
      </c>
      <c r="P124" s="164" t="str">
        <f ca="1">IF(AND('Mapa final'!$AB$103="Media",'Mapa final'!$AD$103="Moderado"),CONCATENATE("R32C",'Mapa final'!$R$103),"")</f>
        <v/>
      </c>
      <c r="Q124" s="193" t="str">
        <f>IF(AND('Mapa final'!$AB$104="Media",'Mapa final'!$AD$104="Moderado"),CONCATENATE("R32C",'Mapa final'!$R$104),"")</f>
        <v/>
      </c>
      <c r="R124" s="165" t="str">
        <f>IF(AND('Mapa final'!$AB$105="Media",'Mapa final'!$AD$105="Moderado"),CONCATENATE("R32C",'Mapa final'!$R$105),"")</f>
        <v/>
      </c>
      <c r="S124" s="83" t="str">
        <f ca="1">IF(AND('Mapa final'!$AB$103="Media",'Mapa final'!$AD$103="Mayor"),CONCATENATE("R32C",'Mapa final'!$R$103),"")</f>
        <v/>
      </c>
      <c r="T124" s="195" t="str">
        <f>IF(AND('Mapa final'!$AB$104="Media",'Mapa final'!$AD$104="Mayor"),CONCATENATE("R32C",'Mapa final'!$R$104),"")</f>
        <v/>
      </c>
      <c r="U124" s="84" t="str">
        <f>IF(AND('Mapa final'!$AB$105="Media",'Mapa final'!$AD$105="Mayor"),CONCATENATE("R32C",'Mapa final'!$R$105),"")</f>
        <v/>
      </c>
      <c r="V124" s="159" t="str">
        <f ca="1">IF(AND('Mapa final'!$AB$103="Media",'Mapa final'!$AD$103="Catastrófico"),CONCATENATE("R32C",'Mapa final'!$R$103),"")</f>
        <v/>
      </c>
      <c r="W124" s="194" t="str">
        <f>IF(AND('Mapa final'!$AB$104="Media",'Mapa final'!$AD$104="Catastrófico"),CONCATENATE("R32C",'Mapa final'!$R$104),"")</f>
        <v/>
      </c>
      <c r="X124" s="160" t="str">
        <f>IF(AND('Mapa final'!$AB$105="Media",'Mapa final'!$AD$105="Catastrófico"),CONCATENATE("R32C",'Mapa final'!$R$105),"")</f>
        <v/>
      </c>
      <c r="Y124" s="38"/>
      <c r="Z124" s="375"/>
      <c r="AA124" s="376"/>
      <c r="AB124" s="376"/>
      <c r="AC124" s="376"/>
      <c r="AD124" s="376"/>
      <c r="AE124" s="377"/>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row>
    <row r="125" spans="1:61" ht="15" customHeight="1" x14ac:dyDescent="0.25">
      <c r="A125" s="38"/>
      <c r="B125" s="355"/>
      <c r="C125" s="356"/>
      <c r="D125" s="357"/>
      <c r="E125" s="339"/>
      <c r="F125" s="338"/>
      <c r="G125" s="338"/>
      <c r="H125" s="338"/>
      <c r="I125" s="338"/>
      <c r="J125" s="164" t="str">
        <f ca="1">IF(AND('Mapa final'!$AB$106="Media",'Mapa final'!$AD$106="Leve"),CONCATENATE("R33C",'Mapa final'!$R$106),"")</f>
        <v/>
      </c>
      <c r="K125" s="193" t="str">
        <f>IF(AND('Mapa final'!$AB$107="Media",'Mapa final'!$AD$107="Leve"),CONCATENATE("R33C",'Mapa final'!$R$107),"")</f>
        <v/>
      </c>
      <c r="L125" s="165" t="str">
        <f>IF(AND('Mapa final'!$AB$108="Media",'Mapa final'!$AD$108="Leve"),CONCATENATE("R33C",'Mapa final'!$R$108),"")</f>
        <v/>
      </c>
      <c r="M125" s="164" t="str">
        <f ca="1">IF(AND('Mapa final'!$AB$106="Media",'Mapa final'!$AD$106="Menor"),CONCATENATE("R33C",'Mapa final'!$R$106),"")</f>
        <v/>
      </c>
      <c r="N125" s="193" t="str">
        <f>IF(AND('Mapa final'!$AB$107="Media",'Mapa final'!$AD$107="Menor"),CONCATENATE("R33C",'Mapa final'!$R$107),"")</f>
        <v/>
      </c>
      <c r="O125" s="165" t="str">
        <f>IF(AND('Mapa final'!$AB$108="Media",'Mapa final'!$AD$108="Menor"),CONCATENATE("R33C",'Mapa final'!$R$108),"")</f>
        <v/>
      </c>
      <c r="P125" s="164" t="str">
        <f ca="1">IF(AND('Mapa final'!$AB$106="Media",'Mapa final'!$AD$106="Moderado"),CONCATENATE("R33C",'Mapa final'!$R$106),"")</f>
        <v>R33C1</v>
      </c>
      <c r="Q125" s="193" t="str">
        <f>IF(AND('Mapa final'!$AB$107="Media",'Mapa final'!$AD$107="Moderado"),CONCATENATE("R33C",'Mapa final'!$R$107),"")</f>
        <v/>
      </c>
      <c r="R125" s="165" t="str">
        <f>IF(AND('Mapa final'!$AB$108="Media",'Mapa final'!$AD$108="Moderado"),CONCATENATE("R33C",'Mapa final'!$R$108),"")</f>
        <v/>
      </c>
      <c r="S125" s="83" t="str">
        <f ca="1">IF(AND('Mapa final'!$AB$106="Media",'Mapa final'!$AD$106="Mayor"),CONCATENATE("R33C",'Mapa final'!$R$106),"")</f>
        <v/>
      </c>
      <c r="T125" s="195" t="str">
        <f>IF(AND('Mapa final'!$AB$107="Media",'Mapa final'!$AD$107="Mayor"),CONCATENATE("R33C",'Mapa final'!$R$107),"")</f>
        <v/>
      </c>
      <c r="U125" s="84" t="str">
        <f>IF(AND('Mapa final'!$AB$108="Media",'Mapa final'!$AD$108="Mayor"),CONCATENATE("R33C",'Mapa final'!$R$108),"")</f>
        <v/>
      </c>
      <c r="V125" s="159" t="str">
        <f ca="1">IF(AND('Mapa final'!$AB$106="Media",'Mapa final'!$AD$106="Catastrófico"),CONCATENATE("R33C",'Mapa final'!$R$106),"")</f>
        <v/>
      </c>
      <c r="W125" s="194" t="str">
        <f>IF(AND('Mapa final'!$AB$107="Media",'Mapa final'!$AD$107="Catastrófico"),CONCATENATE("R33C",'Mapa final'!$R$107),"")</f>
        <v/>
      </c>
      <c r="X125" s="160" t="str">
        <f>IF(AND('Mapa final'!$AB$108="Media",'Mapa final'!$AD$108="Catastrófico"),CONCATENATE("R33C",'Mapa final'!$R$108),"")</f>
        <v/>
      </c>
      <c r="Y125" s="38"/>
      <c r="Z125" s="375"/>
      <c r="AA125" s="376"/>
      <c r="AB125" s="376"/>
      <c r="AC125" s="376"/>
      <c r="AD125" s="376"/>
      <c r="AE125" s="377"/>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row>
    <row r="126" spans="1:61" ht="15" customHeight="1" x14ac:dyDescent="0.25">
      <c r="A126" s="38"/>
      <c r="B126" s="355"/>
      <c r="C126" s="356"/>
      <c r="D126" s="357"/>
      <c r="E126" s="339"/>
      <c r="F126" s="338"/>
      <c r="G126" s="338"/>
      <c r="H126" s="338"/>
      <c r="I126" s="338"/>
      <c r="J126" s="164" t="str">
        <f ca="1">IF(AND('Mapa final'!$AB$109="Media",'Mapa final'!$AD$109="Leve"),CONCATENATE("R34C",'Mapa final'!$R$109),"")</f>
        <v/>
      </c>
      <c r="K126" s="193" t="str">
        <f>IF(AND('Mapa final'!$AB$110="Media",'Mapa final'!$AD$110="Leve"),CONCATENATE("R34C",'Mapa final'!$R$110),"")</f>
        <v/>
      </c>
      <c r="L126" s="165" t="str">
        <f>IF(AND('Mapa final'!$AB$111="Media",'Mapa final'!$AD$111="Leve"),CONCATENATE("R34C",'Mapa final'!$R$111),"")</f>
        <v/>
      </c>
      <c r="M126" s="164" t="str">
        <f ca="1">IF(AND('Mapa final'!$AB$109="Media",'Mapa final'!$AD$109="Menor"),CONCATENATE("R34C",'Mapa final'!$R$109),"")</f>
        <v/>
      </c>
      <c r="N126" s="193" t="str">
        <f>IF(AND('Mapa final'!$AB$110="Media",'Mapa final'!$AD$110="Menor"),CONCATENATE("R34C",'Mapa final'!$R$110),"")</f>
        <v/>
      </c>
      <c r="O126" s="165" t="str">
        <f>IF(AND('Mapa final'!$AB$111="Media",'Mapa final'!$AD$111="Menor"),CONCATENATE("R34C",'Mapa final'!$R$111),"")</f>
        <v/>
      </c>
      <c r="P126" s="164" t="str">
        <f ca="1">IF(AND('Mapa final'!$AB$109="Media",'Mapa final'!$AD$109="Moderado"),CONCATENATE("R34C",'Mapa final'!$R$109),"")</f>
        <v/>
      </c>
      <c r="Q126" s="193" t="str">
        <f>IF(AND('Mapa final'!$AB$110="Media",'Mapa final'!$AD$110="Moderado"),CONCATENATE("R34C",'Mapa final'!$R$110),"")</f>
        <v/>
      </c>
      <c r="R126" s="165" t="str">
        <f>IF(AND('Mapa final'!$AB$111="Media",'Mapa final'!$AD$111="Moderado"),CONCATENATE("R34C",'Mapa final'!$R$111),"")</f>
        <v/>
      </c>
      <c r="S126" s="83" t="str">
        <f ca="1">IF(AND('Mapa final'!$AB$109="Media",'Mapa final'!$AD$109="Mayor"),CONCATENATE("R34C",'Mapa final'!$R$109),"")</f>
        <v/>
      </c>
      <c r="T126" s="195" t="str">
        <f>IF(AND('Mapa final'!$AB$110="Media",'Mapa final'!$AD$110="Mayor"),CONCATENATE("R34C",'Mapa final'!$R$110),"")</f>
        <v/>
      </c>
      <c r="U126" s="84" t="str">
        <f>IF(AND('Mapa final'!$AB$111="Media",'Mapa final'!$AD$111="Mayor"),CONCATENATE("R34C",'Mapa final'!$R$111),"")</f>
        <v/>
      </c>
      <c r="V126" s="159" t="str">
        <f ca="1">IF(AND('Mapa final'!$AB$109="Media",'Mapa final'!$AD$109="Catastrófico"),CONCATENATE("R34C",'Mapa final'!$R$109),"")</f>
        <v/>
      </c>
      <c r="W126" s="194" t="str">
        <f>IF(AND('Mapa final'!$AB$110="Media",'Mapa final'!$AD$110="Catastrófico"),CONCATENATE("R34C",'Mapa final'!$R$110),"")</f>
        <v/>
      </c>
      <c r="X126" s="160" t="str">
        <f>IF(AND('Mapa final'!$AB$111="Media",'Mapa final'!$AD$111="Catastrófico"),CONCATENATE("R34C",'Mapa final'!$R$111),"")</f>
        <v/>
      </c>
      <c r="Y126" s="38"/>
      <c r="Z126" s="375"/>
      <c r="AA126" s="376"/>
      <c r="AB126" s="376"/>
      <c r="AC126" s="376"/>
      <c r="AD126" s="376"/>
      <c r="AE126" s="377"/>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row>
    <row r="127" spans="1:61" ht="15" customHeight="1" x14ac:dyDescent="0.25">
      <c r="A127" s="38"/>
      <c r="B127" s="355"/>
      <c r="C127" s="356"/>
      <c r="D127" s="357"/>
      <c r="E127" s="339"/>
      <c r="F127" s="338"/>
      <c r="G127" s="338"/>
      <c r="H127" s="338"/>
      <c r="I127" s="338"/>
      <c r="J127" s="164" t="str">
        <f ca="1">IF(AND('Mapa final'!$AB$112="Media",'Mapa final'!$AD$112="Leve"),CONCATENATE("R35C",'Mapa final'!$R$112),"")</f>
        <v/>
      </c>
      <c r="K127" s="193" t="str">
        <f>IF(AND('Mapa final'!$AB$113="Media",'Mapa final'!$AD$113="Leve"),CONCATENATE("R35C",'Mapa final'!$R$113),"")</f>
        <v/>
      </c>
      <c r="L127" s="165" t="str">
        <f>IF(AND('Mapa final'!$AB$114="Media",'Mapa final'!$AD$114="Leve"),CONCATENATE("R35C",'Mapa final'!$R$114),"")</f>
        <v/>
      </c>
      <c r="M127" s="164" t="str">
        <f ca="1">IF(AND('Mapa final'!$AB$112="Media",'Mapa final'!$AD$112="Menor"),CONCATENATE("R35C",'Mapa final'!$R$112),"")</f>
        <v/>
      </c>
      <c r="N127" s="193" t="str">
        <f>IF(AND('Mapa final'!$AB$113="Media",'Mapa final'!$AD$113="Menor"),CONCATENATE("R35C",'Mapa final'!$R$113),"")</f>
        <v/>
      </c>
      <c r="O127" s="165" t="str">
        <f>IF(AND('Mapa final'!$AB$114="Media",'Mapa final'!$AD$114="Menor"),CONCATENATE("R35C",'Mapa final'!$R$114),"")</f>
        <v/>
      </c>
      <c r="P127" s="164" t="str">
        <f ca="1">IF(AND('Mapa final'!$AB$112="Media",'Mapa final'!$AD$112="Moderado"),CONCATENATE("R35C",'Mapa final'!$R$112),"")</f>
        <v/>
      </c>
      <c r="Q127" s="193" t="str">
        <f>IF(AND('Mapa final'!$AB$113="Media",'Mapa final'!$AD$113="Moderado"),CONCATENATE("R35C",'Mapa final'!$R$113),"")</f>
        <v/>
      </c>
      <c r="R127" s="165" t="str">
        <f>IF(AND('Mapa final'!$AB$114="Media",'Mapa final'!$AD$114="Moderado"),CONCATENATE("R35C",'Mapa final'!$R$114),"")</f>
        <v/>
      </c>
      <c r="S127" s="83" t="str">
        <f ca="1">IF(AND('Mapa final'!$AB$112="Media",'Mapa final'!$AD$112="Mayor"),CONCATENATE("R35C",'Mapa final'!$R$112),"")</f>
        <v/>
      </c>
      <c r="T127" s="195" t="str">
        <f>IF(AND('Mapa final'!$AB$113="Media",'Mapa final'!$AD$113="Mayor"),CONCATENATE("R35C",'Mapa final'!$R$113),"")</f>
        <v/>
      </c>
      <c r="U127" s="84" t="str">
        <f>IF(AND('Mapa final'!$AB$114="Media",'Mapa final'!$AD$114="Mayor"),CONCATENATE("R35C",'Mapa final'!$R$114),"")</f>
        <v/>
      </c>
      <c r="V127" s="159" t="str">
        <f ca="1">IF(AND('Mapa final'!$AB$112="Media",'Mapa final'!$AD$112="Catastrófico"),CONCATENATE("R35C",'Mapa final'!$R$112),"")</f>
        <v/>
      </c>
      <c r="W127" s="194" t="str">
        <f>IF(AND('Mapa final'!$AB$113="Media",'Mapa final'!$AD$113="Catastrófico"),CONCATENATE("R35C",'Mapa final'!$R$113),"")</f>
        <v/>
      </c>
      <c r="X127" s="160" t="str">
        <f>IF(AND('Mapa final'!$AB$114="Media",'Mapa final'!$AD$114="Catastrófico"),CONCATENATE("R35C",'Mapa final'!$R$114),"")</f>
        <v/>
      </c>
      <c r="Y127" s="38"/>
      <c r="Z127" s="375"/>
      <c r="AA127" s="376"/>
      <c r="AB127" s="376"/>
      <c r="AC127" s="376"/>
      <c r="AD127" s="376"/>
      <c r="AE127" s="377"/>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row>
    <row r="128" spans="1:61" ht="15" customHeight="1" x14ac:dyDescent="0.25">
      <c r="A128" s="38"/>
      <c r="B128" s="355"/>
      <c r="C128" s="356"/>
      <c r="D128" s="357"/>
      <c r="E128" s="339"/>
      <c r="F128" s="338"/>
      <c r="G128" s="338"/>
      <c r="H128" s="338"/>
      <c r="I128" s="338"/>
      <c r="J128" s="164" t="str">
        <f ca="1">IF(AND('Mapa final'!$AB$115="Media",'Mapa final'!$AD$115="Leve"),CONCATENATE("R36C",'Mapa final'!$R$115),"")</f>
        <v/>
      </c>
      <c r="K128" s="193" t="str">
        <f>IF(AND('Mapa final'!$AB$116="Media",'Mapa final'!$AD$116="Leve"),CONCATENATE("R36C",'Mapa final'!$R$116),"")</f>
        <v/>
      </c>
      <c r="L128" s="165" t="str">
        <f>IF(AND('Mapa final'!$AB$117="Media",'Mapa final'!$AD$117="Leve"),CONCATENATE("R36C",'Mapa final'!$R$117),"")</f>
        <v/>
      </c>
      <c r="M128" s="164" t="str">
        <f ca="1">IF(AND('Mapa final'!$AB$115="Media",'Mapa final'!$AD$115="Menor"),CONCATENATE("R36C",'Mapa final'!$R$115),"")</f>
        <v/>
      </c>
      <c r="N128" s="193" t="str">
        <f>IF(AND('Mapa final'!$AB$116="Media",'Mapa final'!$AD$116="Menor"),CONCATENATE("R36C",'Mapa final'!$R$116),"")</f>
        <v/>
      </c>
      <c r="O128" s="165" t="str">
        <f>IF(AND('Mapa final'!$AB$117="Media",'Mapa final'!$AD$117="Menor"),CONCATENATE("R36C",'Mapa final'!$R$117),"")</f>
        <v/>
      </c>
      <c r="P128" s="164" t="str">
        <f ca="1">IF(AND('Mapa final'!$AB$115="Media",'Mapa final'!$AD$115="Moderado"),CONCATENATE("R36C",'Mapa final'!$R$115),"")</f>
        <v>R36C1</v>
      </c>
      <c r="Q128" s="193" t="str">
        <f>IF(AND('Mapa final'!$AB$116="Media",'Mapa final'!$AD$116="Moderado"),CONCATENATE("R36C",'Mapa final'!$R$116),"")</f>
        <v/>
      </c>
      <c r="R128" s="165" t="str">
        <f>IF(AND('Mapa final'!$AB$117="Media",'Mapa final'!$AD$117="Moderado"),CONCATENATE("R36C",'Mapa final'!$R$117),"")</f>
        <v/>
      </c>
      <c r="S128" s="83" t="str">
        <f ca="1">IF(AND('Mapa final'!$AB$115="Media",'Mapa final'!$AD$115="Mayor"),CONCATENATE("R36C",'Mapa final'!$R$115),"")</f>
        <v/>
      </c>
      <c r="T128" s="195" t="str">
        <f>IF(AND('Mapa final'!$AB$116="Media",'Mapa final'!$AD$116="Mayor"),CONCATENATE("R36C",'Mapa final'!$R$116),"")</f>
        <v/>
      </c>
      <c r="U128" s="84" t="str">
        <f>IF(AND('Mapa final'!$AB$117="Media",'Mapa final'!$AD$117="Mayor"),CONCATENATE("R36C",'Mapa final'!$R$117),"")</f>
        <v/>
      </c>
      <c r="V128" s="159" t="str">
        <f ca="1">IF(AND('Mapa final'!$AB$115="Media",'Mapa final'!$AD$115="Catastrófico"),CONCATENATE("R36C",'Mapa final'!$R$115),"")</f>
        <v/>
      </c>
      <c r="W128" s="194" t="str">
        <f>IF(AND('Mapa final'!$AB$116="Media",'Mapa final'!$AD$116="Catastrófico"),CONCATENATE("R36C",'Mapa final'!$R$116),"")</f>
        <v/>
      </c>
      <c r="X128" s="160" t="str">
        <f>IF(AND('Mapa final'!$AB$117="Media",'Mapa final'!$AD$117="Catastrófico"),CONCATENATE("R36C",'Mapa final'!$R$117),"")</f>
        <v/>
      </c>
      <c r="Y128" s="38"/>
      <c r="Z128" s="375"/>
      <c r="AA128" s="376"/>
      <c r="AB128" s="376"/>
      <c r="AC128" s="376"/>
      <c r="AD128" s="376"/>
      <c r="AE128" s="377"/>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row>
    <row r="129" spans="1:61" ht="15" customHeight="1" x14ac:dyDescent="0.25">
      <c r="A129" s="38"/>
      <c r="B129" s="355"/>
      <c r="C129" s="356"/>
      <c r="D129" s="357"/>
      <c r="E129" s="339"/>
      <c r="F129" s="338"/>
      <c r="G129" s="338"/>
      <c r="H129" s="338"/>
      <c r="I129" s="338"/>
      <c r="J129" s="164" t="str">
        <f ca="1">IF(AND('Mapa final'!$AB$118="Media",'Mapa final'!$AD$118="Leve"),CONCATENATE("R37C",'Mapa final'!$R$118),"")</f>
        <v/>
      </c>
      <c r="K129" s="193" t="str">
        <f>IF(AND('Mapa final'!$AB$119="Media",'Mapa final'!$AD$119="Leve"),CONCATENATE("R37C",'Mapa final'!$R$119),"")</f>
        <v/>
      </c>
      <c r="L129" s="165" t="str">
        <f>IF(AND('Mapa final'!$AB$120="Media",'Mapa final'!$AD$120="Leve"),CONCATENATE("R37C",'Mapa final'!$R$120),"")</f>
        <v/>
      </c>
      <c r="M129" s="164" t="str">
        <f ca="1">IF(AND('Mapa final'!$AB$118="Media",'Mapa final'!$AD$118="Menor"),CONCATENATE("R37C",'Mapa final'!$R$118),"")</f>
        <v/>
      </c>
      <c r="N129" s="193" t="str">
        <f>IF(AND('Mapa final'!$AB$119="Media",'Mapa final'!$AD$119="Menor"),CONCATENATE("R37C",'Mapa final'!$R$119),"")</f>
        <v/>
      </c>
      <c r="O129" s="165" t="str">
        <f>IF(AND('Mapa final'!$AB$120="Media",'Mapa final'!$AD$120="Menor"),CONCATENATE("R37C",'Mapa final'!$R$120),"")</f>
        <v/>
      </c>
      <c r="P129" s="164" t="str">
        <f ca="1">IF(AND('Mapa final'!$AB$118="Media",'Mapa final'!$AD$118="Moderado"),CONCATENATE("R37C",'Mapa final'!$R$118),"")</f>
        <v>R37C1</v>
      </c>
      <c r="Q129" s="193" t="str">
        <f>IF(AND('Mapa final'!$AB$119="Media",'Mapa final'!$AD$119="Moderado"),CONCATENATE("R37C",'Mapa final'!$R$119),"")</f>
        <v/>
      </c>
      <c r="R129" s="165" t="str">
        <f>IF(AND('Mapa final'!$AB$120="Media",'Mapa final'!$AD$120="Moderado"),CONCATENATE("R37C",'Mapa final'!$R$120),"")</f>
        <v/>
      </c>
      <c r="S129" s="83" t="str">
        <f ca="1">IF(AND('Mapa final'!$AB$118="Media",'Mapa final'!$AD$118="Mayor"),CONCATENATE("R37C",'Mapa final'!$R$118),"")</f>
        <v/>
      </c>
      <c r="T129" s="195" t="str">
        <f>IF(AND('Mapa final'!$AB$119="Media",'Mapa final'!$AD$119="Mayor"),CONCATENATE("R37C",'Mapa final'!$R$119),"")</f>
        <v/>
      </c>
      <c r="U129" s="84" t="str">
        <f>IF(AND('Mapa final'!$AB$120="Media",'Mapa final'!$AD$120="Mayor"),CONCATENATE("R37C",'Mapa final'!$R$120),"")</f>
        <v/>
      </c>
      <c r="V129" s="159" t="str">
        <f ca="1">IF(AND('Mapa final'!$AB$118="Media",'Mapa final'!$AD$118="Catastrófico"),CONCATENATE("R37C",'Mapa final'!$R$118),"")</f>
        <v/>
      </c>
      <c r="W129" s="194" t="str">
        <f>IF(AND('Mapa final'!$AB$119="Media",'Mapa final'!$AD$119="Catastrófico"),CONCATENATE("R37C",'Mapa final'!$R$119),"")</f>
        <v/>
      </c>
      <c r="X129" s="160" t="str">
        <f>IF(AND('Mapa final'!$AB$120="Media",'Mapa final'!$AD$120="Catastrófico"),CONCATENATE("R37C",'Mapa final'!$R$120),"")</f>
        <v/>
      </c>
      <c r="Y129" s="38"/>
      <c r="Z129" s="375"/>
      <c r="AA129" s="376"/>
      <c r="AB129" s="376"/>
      <c r="AC129" s="376"/>
      <c r="AD129" s="376"/>
      <c r="AE129" s="377"/>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row>
    <row r="130" spans="1:61" ht="15" customHeight="1" x14ac:dyDescent="0.25">
      <c r="A130" s="38"/>
      <c r="B130" s="355"/>
      <c r="C130" s="356"/>
      <c r="D130" s="357"/>
      <c r="E130" s="339"/>
      <c r="F130" s="338"/>
      <c r="G130" s="338"/>
      <c r="H130" s="338"/>
      <c r="I130" s="338"/>
      <c r="J130" s="164" t="str">
        <f ca="1">IF(AND('Mapa final'!$AB$121="Media",'Mapa final'!$AD$121="Leve"),CONCATENATE("R38C",'Mapa final'!$R$121),"")</f>
        <v/>
      </c>
      <c r="K130" s="193" t="str">
        <f>IF(AND('Mapa final'!$AB$122="Media",'Mapa final'!$AD$122="Leve"),CONCATENATE("R38C",'Mapa final'!$R$122),"")</f>
        <v/>
      </c>
      <c r="L130" s="165" t="str">
        <f>IF(AND('Mapa final'!$AB$123="Media",'Mapa final'!$AD$123="Leve"),CONCATENATE("R38C",'Mapa final'!$R$123),"")</f>
        <v/>
      </c>
      <c r="M130" s="164" t="str">
        <f ca="1">IF(AND('Mapa final'!$AB$121="Media",'Mapa final'!$AD$121="Menor"),CONCATENATE("R38C",'Mapa final'!$R$121),"")</f>
        <v/>
      </c>
      <c r="N130" s="193" t="str">
        <f>IF(AND('Mapa final'!$AB$122="Media",'Mapa final'!$AD$122="Menor"),CONCATENATE("R38C",'Mapa final'!$R$122),"")</f>
        <v/>
      </c>
      <c r="O130" s="165" t="str">
        <f>IF(AND('Mapa final'!$AB$123="Media",'Mapa final'!$AD$123="Menor"),CONCATENATE("R38C",'Mapa final'!$R$123),"")</f>
        <v/>
      </c>
      <c r="P130" s="164" t="str">
        <f ca="1">IF(AND('Mapa final'!$AB$121="Media",'Mapa final'!$AD$121="Moderado"),CONCATENATE("R38C",'Mapa final'!$R$121),"")</f>
        <v/>
      </c>
      <c r="Q130" s="193" t="str">
        <f>IF(AND('Mapa final'!$AB$122="Media",'Mapa final'!$AD$122="Moderado"),CONCATENATE("R38C",'Mapa final'!$R$122),"")</f>
        <v/>
      </c>
      <c r="R130" s="165" t="str">
        <f>IF(AND('Mapa final'!$AB$123="Media",'Mapa final'!$AD$123="Moderado"),CONCATENATE("R38C",'Mapa final'!$R$123),"")</f>
        <v/>
      </c>
      <c r="S130" s="83" t="str">
        <f ca="1">IF(AND('Mapa final'!$AB$121="Media",'Mapa final'!$AD$121="Mayor"),CONCATENATE("R38C",'Mapa final'!$R$121),"")</f>
        <v/>
      </c>
      <c r="T130" s="195" t="str">
        <f>IF(AND('Mapa final'!$AB$122="Media",'Mapa final'!$AD$122="Mayor"),CONCATENATE("R38C",'Mapa final'!$R$122),"")</f>
        <v/>
      </c>
      <c r="U130" s="84" t="str">
        <f>IF(AND('Mapa final'!$AB$123="Media",'Mapa final'!$AD$123="Mayor"),CONCATENATE("R38C",'Mapa final'!$R$123),"")</f>
        <v/>
      </c>
      <c r="V130" s="159" t="str">
        <f ca="1">IF(AND('Mapa final'!$AB$121="Media",'Mapa final'!$AD$121="Catastrófico"),CONCATENATE("R38C",'Mapa final'!$R$121),"")</f>
        <v/>
      </c>
      <c r="W130" s="194" t="str">
        <f>IF(AND('Mapa final'!$AB$122="Media",'Mapa final'!$AD$122="Catastrófico"),CONCATENATE("R38C",'Mapa final'!$R$122),"")</f>
        <v/>
      </c>
      <c r="X130" s="160" t="str">
        <f>IF(AND('Mapa final'!$AB$123="Media",'Mapa final'!$AD$123="Catastrófico"),CONCATENATE("R38C",'Mapa final'!$R$123),"")</f>
        <v/>
      </c>
      <c r="Y130" s="38"/>
      <c r="Z130" s="375"/>
      <c r="AA130" s="376"/>
      <c r="AB130" s="376"/>
      <c r="AC130" s="376"/>
      <c r="AD130" s="376"/>
      <c r="AE130" s="377"/>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row>
    <row r="131" spans="1:61" ht="15" customHeight="1" x14ac:dyDescent="0.25">
      <c r="A131" s="38"/>
      <c r="B131" s="355"/>
      <c r="C131" s="356"/>
      <c r="D131" s="357"/>
      <c r="E131" s="339"/>
      <c r="F131" s="338"/>
      <c r="G131" s="338"/>
      <c r="H131" s="338"/>
      <c r="I131" s="338"/>
      <c r="J131" s="164" t="str">
        <f ca="1">IF(AND('Mapa final'!$AB$124="Media",'Mapa final'!$AD$124="Leve"),CONCATENATE("R39C",'Mapa final'!$R$124),"")</f>
        <v/>
      </c>
      <c r="K131" s="193" t="str">
        <f>IF(AND('Mapa final'!$AB$125="Media",'Mapa final'!$AD$125="Leve"),CONCATENATE("R39C",'Mapa final'!$R$125),"")</f>
        <v/>
      </c>
      <c r="L131" s="165" t="str">
        <f>IF(AND('Mapa final'!$AB$126="Media",'Mapa final'!$AD$126="Leve"),CONCATENATE("R39C",'Mapa final'!$R$126),"")</f>
        <v/>
      </c>
      <c r="M131" s="164" t="str">
        <f ca="1">IF(AND('Mapa final'!$AB$124="Media",'Mapa final'!$AD$124="Menor"),CONCATENATE("R39C",'Mapa final'!$R$124),"")</f>
        <v/>
      </c>
      <c r="N131" s="193" t="str">
        <f>IF(AND('Mapa final'!$AB$125="Media",'Mapa final'!$AD$125="Menor"),CONCATENATE("R39C",'Mapa final'!$R$125),"")</f>
        <v/>
      </c>
      <c r="O131" s="165" t="str">
        <f>IF(AND('Mapa final'!$AB$126="Media",'Mapa final'!$AD$126="Menor"),CONCATENATE("R39C",'Mapa final'!$R$126),"")</f>
        <v/>
      </c>
      <c r="P131" s="164" t="str">
        <f ca="1">IF(AND('Mapa final'!$AB$124="Media",'Mapa final'!$AD$124="Moderado"),CONCATENATE("R39C",'Mapa final'!$R$124),"")</f>
        <v/>
      </c>
      <c r="Q131" s="193" t="str">
        <f>IF(AND('Mapa final'!$AB$125="Media",'Mapa final'!$AD$125="Moderado"),CONCATENATE("R39C",'Mapa final'!$R$125),"")</f>
        <v/>
      </c>
      <c r="R131" s="165" t="str">
        <f>IF(AND('Mapa final'!$AB$126="Media",'Mapa final'!$AD$126="Moderado"),CONCATENATE("R39C",'Mapa final'!$R$126),"")</f>
        <v/>
      </c>
      <c r="S131" s="83" t="str">
        <f ca="1">IF(AND('Mapa final'!$AB$124="Media",'Mapa final'!$AD$124="Mayor"),CONCATENATE("R39C",'Mapa final'!$R$124),"")</f>
        <v/>
      </c>
      <c r="T131" s="195" t="str">
        <f>IF(AND('Mapa final'!$AB$125="Media",'Mapa final'!$AD$125="Mayor"),CONCATENATE("R39C",'Mapa final'!$R$125),"")</f>
        <v/>
      </c>
      <c r="U131" s="84" t="str">
        <f>IF(AND('Mapa final'!$AB$126="Media",'Mapa final'!$AD$126="Mayor"),CONCATENATE("R39C",'Mapa final'!$R$126),"")</f>
        <v/>
      </c>
      <c r="V131" s="159" t="str">
        <f ca="1">IF(AND('Mapa final'!$AB$124="Media",'Mapa final'!$AD$124="Catastrófico"),CONCATENATE("R39C",'Mapa final'!$R$124),"")</f>
        <v/>
      </c>
      <c r="W131" s="194" t="str">
        <f>IF(AND('Mapa final'!$AB$125="Media",'Mapa final'!$AD$125="Catastrófico"),CONCATENATE("R39C",'Mapa final'!$R$125),"")</f>
        <v/>
      </c>
      <c r="X131" s="160" t="str">
        <f>IF(AND('Mapa final'!$AB$126="Media",'Mapa final'!$AD$126="Catastrófico"),CONCATENATE("R39C",'Mapa final'!$R$126),"")</f>
        <v/>
      </c>
      <c r="Y131" s="38"/>
      <c r="Z131" s="375"/>
      <c r="AA131" s="376"/>
      <c r="AB131" s="376"/>
      <c r="AC131" s="376"/>
      <c r="AD131" s="376"/>
      <c r="AE131" s="377"/>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row>
    <row r="132" spans="1:61" ht="15" customHeight="1" x14ac:dyDescent="0.25">
      <c r="A132" s="38"/>
      <c r="B132" s="355"/>
      <c r="C132" s="356"/>
      <c r="D132" s="357"/>
      <c r="E132" s="339"/>
      <c r="F132" s="338"/>
      <c r="G132" s="338"/>
      <c r="H132" s="338"/>
      <c r="I132" s="338"/>
      <c r="J132" s="164" t="str">
        <f ca="1">IF(AND('Mapa final'!$AB$127="Media",'Mapa final'!$AD$127="Leve"),CONCATENATE("R40C",'Mapa final'!$R$127),"")</f>
        <v/>
      </c>
      <c r="K132" s="193" t="str">
        <f>IF(AND('Mapa final'!$AB$128="Media",'Mapa final'!$AD$128="Leve"),CONCATENATE("R40C",'Mapa final'!$R$128),"")</f>
        <v/>
      </c>
      <c r="L132" s="165" t="str">
        <f>IF(AND('Mapa final'!$AB$129="Media",'Mapa final'!$AD$129="Leve"),CONCATENATE("R40C",'Mapa final'!$R$129),"")</f>
        <v/>
      </c>
      <c r="M132" s="164" t="str">
        <f ca="1">IF(AND('Mapa final'!$AB$127="Media",'Mapa final'!$AD$127="Menor"),CONCATENATE("R40C",'Mapa final'!$R$127),"")</f>
        <v/>
      </c>
      <c r="N132" s="193" t="str">
        <f>IF(AND('Mapa final'!$AB$128="Media",'Mapa final'!$AD$128="Menor"),CONCATENATE("R40C",'Mapa final'!$R$128),"")</f>
        <v/>
      </c>
      <c r="O132" s="165" t="str">
        <f>IF(AND('Mapa final'!$AB$129="Media",'Mapa final'!$AD$129="Menor"),CONCATENATE("R40C",'Mapa final'!$R$129),"")</f>
        <v/>
      </c>
      <c r="P132" s="164" t="str">
        <f ca="1">IF(AND('Mapa final'!$AB$127="Media",'Mapa final'!$AD$127="Moderado"),CONCATENATE("R40C",'Mapa final'!$R$127),"")</f>
        <v/>
      </c>
      <c r="Q132" s="193" t="str">
        <f>IF(AND('Mapa final'!$AB$128="Media",'Mapa final'!$AD$128="Moderado"),CONCATENATE("R40C",'Mapa final'!$R$128),"")</f>
        <v/>
      </c>
      <c r="R132" s="165" t="str">
        <f>IF(AND('Mapa final'!$AB$129="Media",'Mapa final'!$AD$129="Moderado"),CONCATENATE("R40C",'Mapa final'!$R$129),"")</f>
        <v/>
      </c>
      <c r="S132" s="83" t="str">
        <f ca="1">IF(AND('Mapa final'!$AB$127="Media",'Mapa final'!$AD$127="Mayor"),CONCATENATE("R40C",'Mapa final'!$R$127),"")</f>
        <v/>
      </c>
      <c r="T132" s="195" t="str">
        <f>IF(AND('Mapa final'!$AB$128="Media",'Mapa final'!$AD$128="Mayor"),CONCATENATE("R40C",'Mapa final'!$R$128),"")</f>
        <v/>
      </c>
      <c r="U132" s="84" t="str">
        <f>IF(AND('Mapa final'!$AB$129="Media",'Mapa final'!$AD$129="Mayor"),CONCATENATE("R40C",'Mapa final'!$R$129),"")</f>
        <v/>
      </c>
      <c r="V132" s="159" t="str">
        <f ca="1">IF(AND('Mapa final'!$AB$127="Media",'Mapa final'!$AD$127="Catastrófico"),CONCATENATE("R40C",'Mapa final'!$R$127),"")</f>
        <v/>
      </c>
      <c r="W132" s="194" t="str">
        <f>IF(AND('Mapa final'!$AB$128="Media",'Mapa final'!$AD$128="Catastrófico"),CONCATENATE("R40C",'Mapa final'!$R$128),"")</f>
        <v/>
      </c>
      <c r="X132" s="160" t="str">
        <f>IF(AND('Mapa final'!$AB$129="Media",'Mapa final'!$AD$129="Catastrófico"),CONCATENATE("R40C",'Mapa final'!$R$129),"")</f>
        <v/>
      </c>
      <c r="Y132" s="38"/>
      <c r="Z132" s="375"/>
      <c r="AA132" s="376"/>
      <c r="AB132" s="376"/>
      <c r="AC132" s="376"/>
      <c r="AD132" s="376"/>
      <c r="AE132" s="377"/>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row>
    <row r="133" spans="1:61" ht="15" customHeight="1" x14ac:dyDescent="0.25">
      <c r="A133" s="38"/>
      <c r="B133" s="355"/>
      <c r="C133" s="356"/>
      <c r="D133" s="357"/>
      <c r="E133" s="339"/>
      <c r="F133" s="338"/>
      <c r="G133" s="338"/>
      <c r="H133" s="338"/>
      <c r="I133" s="338"/>
      <c r="J133" s="164" t="str">
        <f ca="1">IF(AND('Mapa final'!$AB$130="Media",'Mapa final'!$AD$130="Leve"),CONCATENATE("R41C",'Mapa final'!$R$130),"")</f>
        <v/>
      </c>
      <c r="K133" s="193" t="str">
        <f>IF(AND('Mapa final'!$AB$131="Media",'Mapa final'!$AD$131="Leve"),CONCATENATE("R41C",'Mapa final'!$R$131),"")</f>
        <v/>
      </c>
      <c r="L133" s="165" t="str">
        <f>IF(AND('Mapa final'!$AB$132="Media",'Mapa final'!$AD$132="Leve"),CONCATENATE("R41C",'Mapa final'!$R$132),"")</f>
        <v/>
      </c>
      <c r="M133" s="164" t="str">
        <f ca="1">IF(AND('Mapa final'!$AB$130="Media",'Mapa final'!$AD$130="Menor"),CONCATENATE("R41C",'Mapa final'!$R$130),"")</f>
        <v/>
      </c>
      <c r="N133" s="193" t="str">
        <f>IF(AND('Mapa final'!$AB$131="Media",'Mapa final'!$AD$131="Menor"),CONCATENATE("R41C",'Mapa final'!$R$131),"")</f>
        <v/>
      </c>
      <c r="O133" s="165" t="str">
        <f>IF(AND('Mapa final'!$AB$132="Media",'Mapa final'!$AD$132="Menor"),CONCATENATE("R41C",'Mapa final'!$R$132),"")</f>
        <v/>
      </c>
      <c r="P133" s="164" t="str">
        <f ca="1">IF(AND('Mapa final'!$AB$130="Media",'Mapa final'!$AD$130="Moderado"),CONCATENATE("R41C",'Mapa final'!$R$130),"")</f>
        <v/>
      </c>
      <c r="Q133" s="193" t="str">
        <f>IF(AND('Mapa final'!$AB$131="Media",'Mapa final'!$AD$131="Moderado"),CONCATENATE("R41C",'Mapa final'!$R$131),"")</f>
        <v/>
      </c>
      <c r="R133" s="165" t="str">
        <f>IF(AND('Mapa final'!$AB$132="Media",'Mapa final'!$AD$132="Moderado"),CONCATENATE("R41C",'Mapa final'!$R$132),"")</f>
        <v/>
      </c>
      <c r="S133" s="83" t="str">
        <f ca="1">IF(AND('Mapa final'!$AB$130="Media",'Mapa final'!$AD$130="Mayor"),CONCATENATE("R41C",'Mapa final'!$R$130),"")</f>
        <v/>
      </c>
      <c r="T133" s="195" t="str">
        <f>IF(AND('Mapa final'!$AB$131="Media",'Mapa final'!$AD$131="Mayor"),CONCATENATE("R41C",'Mapa final'!$R$131),"")</f>
        <v/>
      </c>
      <c r="U133" s="84" t="str">
        <f>IF(AND('Mapa final'!$AB$132="Media",'Mapa final'!$AD$132="Mayor"),CONCATENATE("R41C",'Mapa final'!$R$132),"")</f>
        <v/>
      </c>
      <c r="V133" s="159" t="str">
        <f ca="1">IF(AND('Mapa final'!$AB$130="Media",'Mapa final'!$AD$130="Catastrófico"),CONCATENATE("R41C",'Mapa final'!$R$130),"")</f>
        <v/>
      </c>
      <c r="W133" s="194" t="str">
        <f>IF(AND('Mapa final'!$AB$131="Media",'Mapa final'!$AD$131="Catastrófico"),CONCATENATE("R41C",'Mapa final'!$R$131),"")</f>
        <v/>
      </c>
      <c r="X133" s="160" t="str">
        <f>IF(AND('Mapa final'!$AB$132="Media",'Mapa final'!$AD$132="Catastrófico"),CONCATENATE("R41C",'Mapa final'!$R$132),"")</f>
        <v/>
      </c>
      <c r="Y133" s="38"/>
      <c r="Z133" s="375"/>
      <c r="AA133" s="376"/>
      <c r="AB133" s="376"/>
      <c r="AC133" s="376"/>
      <c r="AD133" s="376"/>
      <c r="AE133" s="377"/>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row>
    <row r="134" spans="1:61" ht="15" customHeight="1" thickBot="1" x14ac:dyDescent="0.3">
      <c r="A134" s="38"/>
      <c r="B134" s="355"/>
      <c r="C134" s="356"/>
      <c r="D134" s="357"/>
      <c r="E134" s="339"/>
      <c r="F134" s="338"/>
      <c r="G134" s="338"/>
      <c r="H134" s="338"/>
      <c r="I134" s="338"/>
      <c r="J134" s="166" t="str">
        <f ca="1">IF(AND('Mapa final'!$AB$133="Media",'Mapa final'!$AD$133="Leve"),CONCATENATE("R42C",'Mapa final'!$R$133),"")</f>
        <v/>
      </c>
      <c r="K134" s="167" t="str">
        <f>IF(AND('Mapa final'!$AB$134="Media",'Mapa final'!$AD$134="Leve"),CONCATENATE("R42C",'Mapa final'!$R$134),"")</f>
        <v/>
      </c>
      <c r="L134" s="168" t="str">
        <f>IF(AND('Mapa final'!$AB$135="Media",'Mapa final'!$AD$135="Leve"),CONCATENATE("R42C",'Mapa final'!$R$135),"")</f>
        <v/>
      </c>
      <c r="M134" s="166" t="str">
        <f ca="1">IF(AND('Mapa final'!$AB$133="Media",'Mapa final'!$AD$133="Menor"),CONCATENATE("R42C",'Mapa final'!$R$133),"")</f>
        <v/>
      </c>
      <c r="N134" s="167" t="str">
        <f>IF(AND('Mapa final'!$AB$134="Media",'Mapa final'!$AD$134="Menor"),CONCATENATE("R42C",'Mapa final'!$R$134),"")</f>
        <v/>
      </c>
      <c r="O134" s="168" t="str">
        <f>IF(AND('Mapa final'!$AB$135="Media",'Mapa final'!$AD$135="Menor"),CONCATENATE("R42C",'Mapa final'!$R$135),"")</f>
        <v/>
      </c>
      <c r="P134" s="166" t="str">
        <f ca="1">IF(AND('Mapa final'!$AB$133="Media",'Mapa final'!$AD$133="Moderado"),CONCATENATE("R42C",'Mapa final'!$R$133),"")</f>
        <v/>
      </c>
      <c r="Q134" s="167" t="str">
        <f>IF(AND('Mapa final'!$AB$134="Media",'Mapa final'!$AD$134="Moderado"),CONCATENATE("R42C",'Mapa final'!$R$134),"")</f>
        <v/>
      </c>
      <c r="R134" s="168" t="str">
        <f>IF(AND('Mapa final'!$AB$135="Media",'Mapa final'!$AD$135="Moderado"),CONCATENATE("R42C",'Mapa final'!$R$135),"")</f>
        <v/>
      </c>
      <c r="S134" s="196" t="str">
        <f ca="1">IF(AND('Mapa final'!$AB$133="Media",'Mapa final'!$AD$133="Mayor"),CONCATENATE("R42C",'Mapa final'!$R$133),"")</f>
        <v/>
      </c>
      <c r="T134" s="197" t="str">
        <f>IF(AND('Mapa final'!$AB$134="Media",'Mapa final'!$AD$134="Mayor"),CONCATENATE("R42C",'Mapa final'!$R$134),"")</f>
        <v/>
      </c>
      <c r="U134" s="198" t="str">
        <f>IF(AND('Mapa final'!$AB$135="Media",'Mapa final'!$AD$135="Mayor"),CONCATENATE("R42C",'Mapa final'!$R$135),"")</f>
        <v/>
      </c>
      <c r="V134" s="177" t="str">
        <f ca="1">IF(AND('Mapa final'!$AB$133="Media",'Mapa final'!$AD$133="Catastrófico"),CONCATENATE("R42C",'Mapa final'!$R$133),"")</f>
        <v/>
      </c>
      <c r="W134" s="178" t="str">
        <f>IF(AND('Mapa final'!$AB$134="Media",'Mapa final'!$AD$134="Catastrófico"),CONCATENATE("R42C",'Mapa final'!$R$134),"")</f>
        <v/>
      </c>
      <c r="X134" s="179" t="str">
        <f>IF(AND('Mapa final'!$AB$135="Media",'Mapa final'!$AD$135="Catastrófico"),CONCATENATE("R42C",'Mapa final'!$R$135),"")</f>
        <v/>
      </c>
      <c r="Y134" s="38"/>
      <c r="Z134" s="378"/>
      <c r="AA134" s="379"/>
      <c r="AB134" s="379"/>
      <c r="AC134" s="379"/>
      <c r="AD134" s="379"/>
      <c r="AE134" s="380"/>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row>
    <row r="135" spans="1:61" ht="15" customHeight="1" x14ac:dyDescent="0.25">
      <c r="A135" s="38"/>
      <c r="B135" s="355"/>
      <c r="C135" s="356"/>
      <c r="D135" s="357"/>
      <c r="E135" s="335" t="s">
        <v>105</v>
      </c>
      <c r="F135" s="336"/>
      <c r="G135" s="336"/>
      <c r="H135" s="336"/>
      <c r="I135" s="336"/>
      <c r="J135" s="169" t="str">
        <f ca="1">IF(AND('Mapa final'!$AB$7="Baja",'Mapa final'!$AD$7="Leve"),CONCATENATE("R1C",'Mapa final'!$R$7),"")</f>
        <v/>
      </c>
      <c r="K135" s="170" t="str">
        <f ca="1">IF(AND('Mapa final'!$AB$8="Baja",'Mapa final'!$AD$8="Leve"),CONCATENATE("R1C",'Mapa final'!$R$8),"")</f>
        <v/>
      </c>
      <c r="L135" s="171" t="str">
        <f>IF(AND('Mapa final'!$AB$9="Baja",'Mapa final'!$AD$9="Leve"),CONCATENATE("R1C",'Mapa final'!$R$9),"")</f>
        <v/>
      </c>
      <c r="M135" s="161" t="str">
        <f ca="1">IF(AND('Mapa final'!$AB$7="Baja",'Mapa final'!$AD$7="Menor"),CONCATENATE("R1C",'Mapa final'!$R$7),"")</f>
        <v/>
      </c>
      <c r="N135" s="162" t="str">
        <f ca="1">IF(AND('Mapa final'!$AB$8="Baja",'Mapa final'!$AD$8="Menor"),CONCATENATE("R1C",'Mapa final'!$R$8),"")</f>
        <v/>
      </c>
      <c r="O135" s="163" t="str">
        <f>IF(AND('Mapa final'!$AB$9="Baja",'Mapa final'!$AD$9="Menor"),CONCATENATE("R1C",'Mapa final'!$R$9),"")</f>
        <v/>
      </c>
      <c r="P135" s="161" t="str">
        <f ca="1">IF(AND('Mapa final'!$AB$7="Baja",'Mapa final'!$AD$7="Moderado"),CONCATENATE("R1C",'Mapa final'!$R$7),"")</f>
        <v>R1C1</v>
      </c>
      <c r="Q135" s="162" t="str">
        <f ca="1">IF(AND('Mapa final'!$AB$8="Baja",'Mapa final'!$AD$8="Moderado"),CONCATENATE("R1C",'Mapa final'!$R$8),"")</f>
        <v>R1C2</v>
      </c>
      <c r="R135" s="163" t="str">
        <f>IF(AND('Mapa final'!$AB$9="Baja",'Mapa final'!$AD$9="Moderado"),CONCATENATE("R1C",'Mapa final'!$R$9),"")</f>
        <v/>
      </c>
      <c r="S135" s="80" t="str">
        <f ca="1">IF(AND('Mapa final'!$AB$7="Baja",'Mapa final'!$AD$7="Mayor"),CONCATENATE("R1C",'Mapa final'!$R$7),"")</f>
        <v/>
      </c>
      <c r="T135" s="81" t="str">
        <f ca="1">IF(AND('Mapa final'!$AB$8="Baja",'Mapa final'!$AD$8="Mayor"),CONCATENATE("R1C",'Mapa final'!$R$8),"")</f>
        <v/>
      </c>
      <c r="U135" s="82" t="str">
        <f>IF(AND('Mapa final'!$AB$9="Baja",'Mapa final'!$AD$9="Mayor"),CONCATENATE("R1C",'Mapa final'!$R$9),"")</f>
        <v/>
      </c>
      <c r="V135" s="156" t="str">
        <f ca="1">IF(AND('Mapa final'!$AB$7="Baja",'Mapa final'!$AD$7="Catastrófico"),CONCATENATE("R1C",'Mapa final'!$R$7),"")</f>
        <v/>
      </c>
      <c r="W135" s="157" t="str">
        <f ca="1">IF(AND('Mapa final'!$AB$8="Baja",'Mapa final'!$AD$8="Catastrófico"),CONCATENATE("R1C",'Mapa final'!$R$8),"")</f>
        <v/>
      </c>
      <c r="X135" s="158" t="str">
        <f>IF(AND('Mapa final'!$AB$9="Baja",'Mapa final'!$AD$9="Catastrófico"),CONCATENATE("R1C",'Mapa final'!$R$9),"")</f>
        <v/>
      </c>
      <c r="Y135" s="38"/>
      <c r="Z135" s="363" t="s">
        <v>76</v>
      </c>
      <c r="AA135" s="364"/>
      <c r="AB135" s="364"/>
      <c r="AC135" s="364"/>
      <c r="AD135" s="364"/>
      <c r="AE135" s="365"/>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row>
    <row r="136" spans="1:61" ht="15" customHeight="1" x14ac:dyDescent="0.25">
      <c r="A136" s="38"/>
      <c r="B136" s="355"/>
      <c r="C136" s="356"/>
      <c r="D136" s="357"/>
      <c r="E136" s="337"/>
      <c r="F136" s="338"/>
      <c r="G136" s="338"/>
      <c r="H136" s="338"/>
      <c r="I136" s="338"/>
      <c r="J136" s="172" t="str">
        <f ca="1">IF(AND('Mapa final'!$AB$10="Baja",'Mapa final'!$AD$10="Leve"),CONCATENATE("R2C",'Mapa final'!$R$10),"")</f>
        <v/>
      </c>
      <c r="K136" s="199" t="str">
        <f>IF(AND('Mapa final'!$AB$11="Baja",'Mapa final'!$AD$11="Leve"),CONCATENATE("R2C",'Mapa final'!$R$11),"")</f>
        <v/>
      </c>
      <c r="L136" s="173" t="str">
        <f>IF(AND('Mapa final'!$AB$12="Baja",'Mapa final'!$AD$12="Leve"),CONCATENATE("R2C",'Mapa final'!$R$12),"")</f>
        <v/>
      </c>
      <c r="M136" s="164" t="str">
        <f ca="1">IF(AND('Mapa final'!$AB$10="Baja",'Mapa final'!$AD$10="Menor"),CONCATENATE("R2C",'Mapa final'!$R$10),"")</f>
        <v/>
      </c>
      <c r="N136" s="193" t="str">
        <f>IF(AND('Mapa final'!$AB$11="Baja",'Mapa final'!$AD$11="Menor"),CONCATENATE("R2C",'Mapa final'!$R$11),"")</f>
        <v/>
      </c>
      <c r="O136" s="165" t="str">
        <f>IF(AND('Mapa final'!$AB$12="Baja",'Mapa final'!$AD$12="Menor"),CONCATENATE("R2C",'Mapa final'!$R$12),"")</f>
        <v/>
      </c>
      <c r="P136" s="164" t="str">
        <f ca="1">IF(AND('Mapa final'!$AB$10="Baja",'Mapa final'!$AD$10="Moderado"),CONCATENATE("R2C",'Mapa final'!$R$10),"")</f>
        <v>R2C1</v>
      </c>
      <c r="Q136" s="193" t="str">
        <f>IF(AND('Mapa final'!$AB$11="Baja",'Mapa final'!$AD$11="Moderado"),CONCATENATE("R2C",'Mapa final'!$R$11),"")</f>
        <v/>
      </c>
      <c r="R136" s="165" t="str">
        <f>IF(AND('Mapa final'!$AB$12="Baja",'Mapa final'!$AD$12="Moderado"),CONCATENATE("R2C",'Mapa final'!$R$12),"")</f>
        <v/>
      </c>
      <c r="S136" s="83" t="str">
        <f ca="1">IF(AND('Mapa final'!$AB$10="Baja",'Mapa final'!$AD$10="Mayor"),CONCATENATE("R2C",'Mapa final'!$R$10),"")</f>
        <v/>
      </c>
      <c r="T136" s="195" t="str">
        <f>IF(AND('Mapa final'!$AB$11="Baja",'Mapa final'!$AD$11="Mayor"),CONCATENATE("R2C",'Mapa final'!$R$11),"")</f>
        <v/>
      </c>
      <c r="U136" s="84" t="str">
        <f>IF(AND('Mapa final'!$AB$12="Baja",'Mapa final'!$AD$12="Mayor"),CONCATENATE("R2C",'Mapa final'!$R$12),"")</f>
        <v/>
      </c>
      <c r="V136" s="159" t="str">
        <f ca="1">IF(AND('Mapa final'!$AB$10="Baja",'Mapa final'!$AD$10="Catastrófico"),CONCATENATE("R2C",'Mapa final'!$R$10),"")</f>
        <v/>
      </c>
      <c r="W136" s="194" t="str">
        <f>IF(AND('Mapa final'!$AB$11="Baja",'Mapa final'!$AD$11="Catastrófico"),CONCATENATE("R2C",'Mapa final'!$R$11),"")</f>
        <v/>
      </c>
      <c r="X136" s="160" t="str">
        <f>IF(AND('Mapa final'!$AB$12="Baja",'Mapa final'!$AD$12="Catastrófico"),CONCATENATE("R2C",'Mapa final'!$R$12),"")</f>
        <v/>
      </c>
      <c r="Y136" s="38"/>
      <c r="Z136" s="366"/>
      <c r="AA136" s="367"/>
      <c r="AB136" s="367"/>
      <c r="AC136" s="367"/>
      <c r="AD136" s="367"/>
      <c r="AE136" s="36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row>
    <row r="137" spans="1:61" ht="15" customHeight="1" x14ac:dyDescent="0.25">
      <c r="A137" s="38"/>
      <c r="B137" s="355"/>
      <c r="C137" s="356"/>
      <c r="D137" s="357"/>
      <c r="E137" s="337"/>
      <c r="F137" s="338"/>
      <c r="G137" s="338"/>
      <c r="H137" s="338"/>
      <c r="I137" s="338"/>
      <c r="J137" s="172" t="str">
        <f ca="1">IF(AND('Mapa final'!$AB$13="Baja",'Mapa final'!$AD$13="Leve"),CONCATENATE("R3C",'Mapa final'!$R$13),"")</f>
        <v/>
      </c>
      <c r="K137" s="199" t="str">
        <f>IF(AND('Mapa final'!$AB$14="Baja",'Mapa final'!$AD$14="Leve"),CONCATENATE("R3C",'Mapa final'!$R$14),"")</f>
        <v/>
      </c>
      <c r="L137" s="173" t="str">
        <f>IF(AND('Mapa final'!$AB$15="Baja",'Mapa final'!$AD$15="Leve"),CONCATENATE("R3C",'Mapa final'!$R$15),"")</f>
        <v/>
      </c>
      <c r="M137" s="164" t="str">
        <f ca="1">IF(AND('Mapa final'!$AB$13="Baja",'Mapa final'!$AD$13="Menor"),CONCATENATE("R3C",'Mapa final'!$R$13),"")</f>
        <v/>
      </c>
      <c r="N137" s="193" t="str">
        <f>IF(AND('Mapa final'!$AB$14="Baja",'Mapa final'!$AD$14="Menor"),CONCATENATE("R3C",'Mapa final'!$R$14),"")</f>
        <v/>
      </c>
      <c r="O137" s="165" t="str">
        <f>IF(AND('Mapa final'!$AB$15="Baja",'Mapa final'!$AD$15="Menor"),CONCATENATE("R3C",'Mapa final'!$R$15),"")</f>
        <v/>
      </c>
      <c r="P137" s="164" t="str">
        <f ca="1">IF(AND('Mapa final'!$AB$13="Baja",'Mapa final'!$AD$13="Moderado"),CONCATENATE("R3C",'Mapa final'!$R$13),"")</f>
        <v/>
      </c>
      <c r="Q137" s="193" t="str">
        <f>IF(AND('Mapa final'!$AB$14="Baja",'Mapa final'!$AD$14="Moderado"),CONCATENATE("R3C",'Mapa final'!$R$14),"")</f>
        <v/>
      </c>
      <c r="R137" s="165" t="str">
        <f>IF(AND('Mapa final'!$AB$15="Baja",'Mapa final'!$AD$15="Moderado"),CONCATENATE("R3C",'Mapa final'!$R$15),"")</f>
        <v/>
      </c>
      <c r="S137" s="83" t="str">
        <f ca="1">IF(AND('Mapa final'!$AB$13="Baja",'Mapa final'!$AD$13="Mayor"),CONCATENATE("R3C",'Mapa final'!$R$13),"")</f>
        <v/>
      </c>
      <c r="T137" s="195" t="str">
        <f>IF(AND('Mapa final'!$AB$14="Baja",'Mapa final'!$AD$14="Mayor"),CONCATENATE("R3C",'Mapa final'!$R$14),"")</f>
        <v/>
      </c>
      <c r="U137" s="84" t="str">
        <f>IF(AND('Mapa final'!$AB$15="Baja",'Mapa final'!$AD$15="Mayor"),CONCATENATE("R3C",'Mapa final'!$R$15),"")</f>
        <v/>
      </c>
      <c r="V137" s="159" t="str">
        <f ca="1">IF(AND('Mapa final'!$AB$13="Baja",'Mapa final'!$AD$13="Catastrófico"),CONCATENATE("R3C",'Mapa final'!$R$13),"")</f>
        <v/>
      </c>
      <c r="W137" s="194" t="str">
        <f>IF(AND('Mapa final'!$AB$14="Baja",'Mapa final'!$AD$14="Catastrófico"),CONCATENATE("R3C",'Mapa final'!$R$14),"")</f>
        <v/>
      </c>
      <c r="X137" s="160" t="str">
        <f>IF(AND('Mapa final'!$AB$15="Baja",'Mapa final'!$AD$15="Catastrófico"),CONCATENATE("R3C",'Mapa final'!$R$15),"")</f>
        <v/>
      </c>
      <c r="Y137" s="38"/>
      <c r="Z137" s="366"/>
      <c r="AA137" s="367"/>
      <c r="AB137" s="367"/>
      <c r="AC137" s="367"/>
      <c r="AD137" s="367"/>
      <c r="AE137" s="36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row>
    <row r="138" spans="1:61" ht="15" customHeight="1" x14ac:dyDescent="0.25">
      <c r="A138" s="38"/>
      <c r="B138" s="355"/>
      <c r="C138" s="356"/>
      <c r="D138" s="357"/>
      <c r="E138" s="337"/>
      <c r="F138" s="338"/>
      <c r="G138" s="338"/>
      <c r="H138" s="338"/>
      <c r="I138" s="338"/>
      <c r="J138" s="172" t="str">
        <f ca="1">IF(AND('Mapa final'!$AB$16="Baja",'Mapa final'!$AD$16="Leve"),CONCATENATE("R4C",'Mapa final'!$R$16),"")</f>
        <v/>
      </c>
      <c r="K138" s="199" t="str">
        <f>IF(AND('Mapa final'!$AB$17="Baja",'Mapa final'!$AD$17="Leve"),CONCATENATE("R4C",'Mapa final'!$R$17),"")</f>
        <v/>
      </c>
      <c r="L138" s="173" t="str">
        <f>IF(AND('Mapa final'!$AB$18="Baja",'Mapa final'!$AD$18="Leve"),CONCATENATE("R4C",'Mapa final'!$R$18),"")</f>
        <v/>
      </c>
      <c r="M138" s="164" t="str">
        <f ca="1">IF(AND('Mapa final'!$AB$16="Baja",'Mapa final'!$AD$16="Menor"),CONCATENATE("R4C",'Mapa final'!$R$16),"")</f>
        <v/>
      </c>
      <c r="N138" s="193" t="str">
        <f>IF(AND('Mapa final'!$AB$17="Baja",'Mapa final'!$AD$17="Menor"),CONCATENATE("R4C",'Mapa final'!$R$17),"")</f>
        <v/>
      </c>
      <c r="O138" s="165" t="str">
        <f>IF(AND('Mapa final'!$AB$18="Baja",'Mapa final'!$AD$18="Menor"),CONCATENATE("R4C",'Mapa final'!$R$18),"")</f>
        <v/>
      </c>
      <c r="P138" s="164" t="str">
        <f ca="1">IF(AND('Mapa final'!$AB$16="Baja",'Mapa final'!$AD$16="Moderado"),CONCATENATE("R4C",'Mapa final'!$R$16),"")</f>
        <v/>
      </c>
      <c r="Q138" s="193" t="str">
        <f>IF(AND('Mapa final'!$AB$17="Baja",'Mapa final'!$AD$17="Moderado"),CONCATENATE("R4C",'Mapa final'!$R$17),"")</f>
        <v/>
      </c>
      <c r="R138" s="165" t="str">
        <f>IF(AND('Mapa final'!$AB$18="Baja",'Mapa final'!$AD$18="Moderado"),CONCATENATE("R4C",'Mapa final'!$R$18),"")</f>
        <v/>
      </c>
      <c r="S138" s="83" t="str">
        <f ca="1">IF(AND('Mapa final'!$AB$16="Baja",'Mapa final'!$AD$16="Mayor"),CONCATENATE("R4C",'Mapa final'!$R$16),"")</f>
        <v/>
      </c>
      <c r="T138" s="195" t="str">
        <f>IF(AND('Mapa final'!$AB$17="Baja",'Mapa final'!$AD$17="Mayor"),CONCATENATE("R4C",'Mapa final'!$R$17),"")</f>
        <v/>
      </c>
      <c r="U138" s="84" t="str">
        <f>IF(AND('Mapa final'!$AB$18="Baja",'Mapa final'!$AD$18="Mayor"),CONCATENATE("R4C",'Mapa final'!$R$18),"")</f>
        <v/>
      </c>
      <c r="V138" s="159" t="str">
        <f ca="1">IF(AND('Mapa final'!$AB$16="Baja",'Mapa final'!$AD$16="Catastrófico"),CONCATENATE("R4C",'Mapa final'!$R$16),"")</f>
        <v/>
      </c>
      <c r="W138" s="194" t="str">
        <f>IF(AND('Mapa final'!$AB$17="Baja",'Mapa final'!$AD$17="Catastrófico"),CONCATENATE("R4C",'Mapa final'!$R$17),"")</f>
        <v/>
      </c>
      <c r="X138" s="160" t="str">
        <f>IF(AND('Mapa final'!$AB$18="Baja",'Mapa final'!$AD$18="Catastrófico"),CONCATENATE("R4C",'Mapa final'!$R$18),"")</f>
        <v/>
      </c>
      <c r="Y138" s="38"/>
      <c r="Z138" s="366"/>
      <c r="AA138" s="367"/>
      <c r="AB138" s="367"/>
      <c r="AC138" s="367"/>
      <c r="AD138" s="367"/>
      <c r="AE138" s="36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row>
    <row r="139" spans="1:61" ht="15" customHeight="1" x14ac:dyDescent="0.25">
      <c r="A139" s="38"/>
      <c r="B139" s="355"/>
      <c r="C139" s="356"/>
      <c r="D139" s="357"/>
      <c r="E139" s="337"/>
      <c r="F139" s="338"/>
      <c r="G139" s="338"/>
      <c r="H139" s="338"/>
      <c r="I139" s="338"/>
      <c r="J139" s="172" t="str">
        <f ca="1">IF(AND('Mapa final'!$AB$19="Baja",'Mapa final'!$AD$19="Leve"),CONCATENATE("R5C",'Mapa final'!$R$19),"")</f>
        <v/>
      </c>
      <c r="K139" s="199" t="str">
        <f>IF(AND('Mapa final'!$AB$20="Baja",'Mapa final'!$AD$20="Leve"),CONCATENATE("R5C",'Mapa final'!$R$20),"")</f>
        <v/>
      </c>
      <c r="L139" s="173" t="str">
        <f>IF(AND('Mapa final'!$AB$21="Baja",'Mapa final'!$AD$21="Leve"),CONCATENATE("R5C",'Mapa final'!$R$21),"")</f>
        <v/>
      </c>
      <c r="M139" s="164" t="str">
        <f ca="1">IF(AND('Mapa final'!$AB$19="Baja",'Mapa final'!$AD$19="Menor"),CONCATENATE("R5C",'Mapa final'!$R$19),"")</f>
        <v/>
      </c>
      <c r="N139" s="193" t="str">
        <f>IF(AND('Mapa final'!$AB$20="Baja",'Mapa final'!$AD$20="Menor"),CONCATENATE("R5C",'Mapa final'!$R$20),"")</f>
        <v/>
      </c>
      <c r="O139" s="165" t="str">
        <f>IF(AND('Mapa final'!$AB$21="Baja",'Mapa final'!$AD$21="Menor"),CONCATENATE("R5C",'Mapa final'!$R$21),"")</f>
        <v/>
      </c>
      <c r="P139" s="164" t="str">
        <f ca="1">IF(AND('Mapa final'!$AB$19="Baja",'Mapa final'!$AD$19="Moderado"),CONCATENATE("R5C",'Mapa final'!$R$19),"")</f>
        <v/>
      </c>
      <c r="Q139" s="193" t="str">
        <f>IF(AND('Mapa final'!$AB$20="Baja",'Mapa final'!$AD$20="Moderado"),CONCATENATE("R5C",'Mapa final'!$R$20),"")</f>
        <v/>
      </c>
      <c r="R139" s="165" t="str">
        <f>IF(AND('Mapa final'!$AB$21="Baja",'Mapa final'!$AD$21="Moderado"),CONCATENATE("R5C",'Mapa final'!$R$21),"")</f>
        <v/>
      </c>
      <c r="S139" s="83" t="str">
        <f ca="1">IF(AND('Mapa final'!$AB$19="Baja",'Mapa final'!$AD$19="Mayor"),CONCATENATE("R5C",'Mapa final'!$R$19),"")</f>
        <v/>
      </c>
      <c r="T139" s="195" t="str">
        <f>IF(AND('Mapa final'!$AB$20="Baja",'Mapa final'!$AD$20="Mayor"),CONCATENATE("R5C",'Mapa final'!$R$20),"")</f>
        <v/>
      </c>
      <c r="U139" s="84" t="str">
        <f>IF(AND('Mapa final'!$AB$21="Baja",'Mapa final'!$AD$21="Mayor"),CONCATENATE("R5C",'Mapa final'!$R$21),"")</f>
        <v/>
      </c>
      <c r="V139" s="159" t="str">
        <f ca="1">IF(AND('Mapa final'!$AB$19="Baja",'Mapa final'!$AD$19="Catastrófico"),CONCATENATE("R5C",'Mapa final'!$R$19),"")</f>
        <v/>
      </c>
      <c r="W139" s="194" t="str">
        <f>IF(AND('Mapa final'!$AB$20="Baja",'Mapa final'!$AD$20="Catastrófico"),CONCATENATE("R5C",'Mapa final'!$R$20),"")</f>
        <v/>
      </c>
      <c r="X139" s="160" t="str">
        <f>IF(AND('Mapa final'!$AB$21="Baja",'Mapa final'!$AD$21="Catastrófico"),CONCATENATE("R5C",'Mapa final'!$R$21),"")</f>
        <v/>
      </c>
      <c r="Y139" s="38"/>
      <c r="Z139" s="366"/>
      <c r="AA139" s="367"/>
      <c r="AB139" s="367"/>
      <c r="AC139" s="367"/>
      <c r="AD139" s="367"/>
      <c r="AE139" s="36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row>
    <row r="140" spans="1:61" ht="15" customHeight="1" x14ac:dyDescent="0.25">
      <c r="A140" s="38"/>
      <c r="B140" s="355"/>
      <c r="C140" s="356"/>
      <c r="D140" s="357"/>
      <c r="E140" s="337"/>
      <c r="F140" s="338"/>
      <c r="G140" s="338"/>
      <c r="H140" s="338"/>
      <c r="I140" s="338"/>
      <c r="J140" s="172" t="str">
        <f ca="1">IF(AND('Mapa final'!$AB$22="Baja",'Mapa final'!$AD$22="Leve"),CONCATENATE("R6C",'Mapa final'!$R$22),"")</f>
        <v/>
      </c>
      <c r="K140" s="199" t="str">
        <f>IF(AND('Mapa final'!$AB$23="Baja",'Mapa final'!$AD$23="Leve"),CONCATENATE("R6C",'Mapa final'!$R$23),"")</f>
        <v/>
      </c>
      <c r="L140" s="173" t="str">
        <f>IF(AND('Mapa final'!$AB$24="Baja",'Mapa final'!$AD$24="Leve"),CONCATENATE("R6C",'Mapa final'!$R$24),"")</f>
        <v/>
      </c>
      <c r="M140" s="164" t="str">
        <f ca="1">IF(AND('Mapa final'!$AB$22="Baja",'Mapa final'!$AD$22="Menor"),CONCATENATE("R6C",'Mapa final'!$R$22),"")</f>
        <v/>
      </c>
      <c r="N140" s="193" t="str">
        <f>IF(AND('Mapa final'!$AB$23="Baja",'Mapa final'!$AD$23="Menor"),CONCATENATE("R6C",'Mapa final'!$R$23),"")</f>
        <v/>
      </c>
      <c r="O140" s="165" t="str">
        <f>IF(AND('Mapa final'!$AB$24="Baja",'Mapa final'!$AD$24="Menor"),CONCATENATE("R6C",'Mapa final'!$R$24),"")</f>
        <v/>
      </c>
      <c r="P140" s="164" t="str">
        <f ca="1">IF(AND('Mapa final'!$AB$22="Baja",'Mapa final'!$AD$22="Moderado"),CONCATENATE("R6C",'Mapa final'!$R$22),"")</f>
        <v/>
      </c>
      <c r="Q140" s="193" t="str">
        <f>IF(AND('Mapa final'!$AB$23="Baja",'Mapa final'!$AD$23="Moderado"),CONCATENATE("R6C",'Mapa final'!$R$23),"")</f>
        <v/>
      </c>
      <c r="R140" s="165" t="str">
        <f>IF(AND('Mapa final'!$AB$24="Baja",'Mapa final'!$AD$24="Moderado"),CONCATENATE("R6C",'Mapa final'!$R$24),"")</f>
        <v/>
      </c>
      <c r="S140" s="83" t="str">
        <f ca="1">IF(AND('Mapa final'!$AB$22="Baja",'Mapa final'!$AD$22="Mayor"),CONCATENATE("R6C",'Mapa final'!$R$22),"")</f>
        <v/>
      </c>
      <c r="T140" s="195" t="str">
        <f>IF(AND('Mapa final'!$AB$23="Baja",'Mapa final'!$AD$23="Mayor"),CONCATENATE("R6C",'Mapa final'!$R$23),"")</f>
        <v/>
      </c>
      <c r="U140" s="84" t="str">
        <f>IF(AND('Mapa final'!$AB$24="Baja",'Mapa final'!$AD$24="Mayor"),CONCATENATE("R6C",'Mapa final'!$R$24),"")</f>
        <v/>
      </c>
      <c r="V140" s="159" t="str">
        <f ca="1">IF(AND('Mapa final'!$AB$22="Baja",'Mapa final'!$AD$22="Catastrófico"),CONCATENATE("R6C",'Mapa final'!$R$22),"")</f>
        <v/>
      </c>
      <c r="W140" s="194" t="str">
        <f>IF(AND('Mapa final'!$AB$23="Baja",'Mapa final'!$AD$23="Catastrófico"),CONCATENATE("R6C",'Mapa final'!$R$23),"")</f>
        <v/>
      </c>
      <c r="X140" s="160" t="str">
        <f>IF(AND('Mapa final'!$AB$24="Baja",'Mapa final'!$AD$24="Catastrófico"),CONCATENATE("R6C",'Mapa final'!$R$24),"")</f>
        <v/>
      </c>
      <c r="Y140" s="38"/>
      <c r="Z140" s="366"/>
      <c r="AA140" s="367"/>
      <c r="AB140" s="367"/>
      <c r="AC140" s="367"/>
      <c r="AD140" s="367"/>
      <c r="AE140" s="36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row>
    <row r="141" spans="1:61" ht="15" customHeight="1" x14ac:dyDescent="0.25">
      <c r="A141" s="38"/>
      <c r="B141" s="355"/>
      <c r="C141" s="356"/>
      <c r="D141" s="357"/>
      <c r="E141" s="337"/>
      <c r="F141" s="338"/>
      <c r="G141" s="338"/>
      <c r="H141" s="338"/>
      <c r="I141" s="338"/>
      <c r="J141" s="172" t="str">
        <f ca="1">IF(AND('Mapa final'!$AB$25="Baja",'Mapa final'!$AD$25="Leve"),CONCATENATE("R7C",'Mapa final'!$R$25),"")</f>
        <v/>
      </c>
      <c r="K141" s="199" t="str">
        <f>IF(AND('Mapa final'!$AB$26="Baja",'Mapa final'!$AD$26="Leve"),CONCATENATE("R7C",'Mapa final'!$R$26),"")</f>
        <v/>
      </c>
      <c r="L141" s="173" t="str">
        <f>IF(AND('Mapa final'!$AB$27="Baja",'Mapa final'!$AD$27="Leve"),CONCATENATE("R7C",'Mapa final'!$R$27),"")</f>
        <v/>
      </c>
      <c r="M141" s="164" t="str">
        <f ca="1">IF(AND('Mapa final'!$AB$25="Baja",'Mapa final'!$AD$25="Menor"),CONCATENATE("R7C",'Mapa final'!$R$25),"")</f>
        <v/>
      </c>
      <c r="N141" s="193" t="str">
        <f>IF(AND('Mapa final'!$AB$26="Baja",'Mapa final'!$AD$26="Menor"),CONCATENATE("R7C",'Mapa final'!$R$26),"")</f>
        <v/>
      </c>
      <c r="O141" s="165" t="str">
        <f>IF(AND('Mapa final'!$AB$27="Baja",'Mapa final'!$AD$27="Menor"),CONCATENATE("R7C",'Mapa final'!$R$27),"")</f>
        <v/>
      </c>
      <c r="P141" s="164" t="str">
        <f ca="1">IF(AND('Mapa final'!$AB$25="Baja",'Mapa final'!$AD$25="Moderado"),CONCATENATE("R7C",'Mapa final'!$R$25),"")</f>
        <v/>
      </c>
      <c r="Q141" s="193" t="str">
        <f>IF(AND('Mapa final'!$AB$26="Baja",'Mapa final'!$AD$26="Moderado"),CONCATENATE("R7C",'Mapa final'!$R$26),"")</f>
        <v/>
      </c>
      <c r="R141" s="165" t="str">
        <f>IF(AND('Mapa final'!$AB$27="Baja",'Mapa final'!$AD$27="Moderado"),CONCATENATE("R7C",'Mapa final'!$R$27),"")</f>
        <v/>
      </c>
      <c r="S141" s="83" t="str">
        <f ca="1">IF(AND('Mapa final'!$AB$25="Baja",'Mapa final'!$AD$25="Mayor"),CONCATENATE("R7C",'Mapa final'!$R$25),"")</f>
        <v>R7C1</v>
      </c>
      <c r="T141" s="195" t="str">
        <f>IF(AND('Mapa final'!$AB$26="Baja",'Mapa final'!$AD$26="Mayor"),CONCATENATE("R7C",'Mapa final'!$R$26),"")</f>
        <v/>
      </c>
      <c r="U141" s="84" t="str">
        <f>IF(AND('Mapa final'!$AB$27="Baja",'Mapa final'!$AD$27="Mayor"),CONCATENATE("R7C",'Mapa final'!$R$27),"")</f>
        <v/>
      </c>
      <c r="V141" s="159" t="str">
        <f ca="1">IF(AND('Mapa final'!$AB$25="Baja",'Mapa final'!$AD$25="Catastrófico"),CONCATENATE("R7C",'Mapa final'!$R$25),"")</f>
        <v/>
      </c>
      <c r="W141" s="194" t="str">
        <f>IF(AND('Mapa final'!$AB$26="Baja",'Mapa final'!$AD$26="Catastrófico"),CONCATENATE("R7C",'Mapa final'!$R$26),"")</f>
        <v/>
      </c>
      <c r="X141" s="160" t="str">
        <f>IF(AND('Mapa final'!$AB$27="Baja",'Mapa final'!$AD$27="Catastrófico"),CONCATENATE("R7C",'Mapa final'!$R$27),"")</f>
        <v/>
      </c>
      <c r="Y141" s="38"/>
      <c r="Z141" s="366"/>
      <c r="AA141" s="367"/>
      <c r="AB141" s="367"/>
      <c r="AC141" s="367"/>
      <c r="AD141" s="367"/>
      <c r="AE141" s="36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row>
    <row r="142" spans="1:61" ht="15" customHeight="1" x14ac:dyDescent="0.25">
      <c r="A142" s="38"/>
      <c r="B142" s="355"/>
      <c r="C142" s="356"/>
      <c r="D142" s="357"/>
      <c r="E142" s="337"/>
      <c r="F142" s="338"/>
      <c r="G142" s="338"/>
      <c r="H142" s="338"/>
      <c r="I142" s="338"/>
      <c r="J142" s="172" t="str">
        <f ca="1">IF(AND('Mapa final'!$AB$28="Baja",'Mapa final'!$AD$28="Leve"),CONCATENATE("R8C",'Mapa final'!$R$28),"")</f>
        <v/>
      </c>
      <c r="K142" s="199" t="str">
        <f>IF(AND('Mapa final'!$AB$29="Baja",'Mapa final'!$AD$29="Leve"),CONCATENATE("R8C",'Mapa final'!$R$29),"")</f>
        <v/>
      </c>
      <c r="L142" s="173" t="str">
        <f>IF(AND('Mapa final'!$AB$30="Baja",'Mapa final'!$AD$30="Leve"),CONCATENATE("R8C",'Mapa final'!$R$30),"")</f>
        <v/>
      </c>
      <c r="M142" s="164" t="str">
        <f ca="1">IF(AND('Mapa final'!$AB$28="Baja",'Mapa final'!$AD$28="Menor"),CONCATENATE("R8C",'Mapa final'!$R$28),"")</f>
        <v/>
      </c>
      <c r="N142" s="193" t="str">
        <f>IF(AND('Mapa final'!$AB$29="Baja",'Mapa final'!$AD$29="Menor"),CONCATENATE("R8C",'Mapa final'!$R$29),"")</f>
        <v/>
      </c>
      <c r="O142" s="165" t="str">
        <f>IF(AND('Mapa final'!$AB$30="Baja",'Mapa final'!$AD$30="Menor"),CONCATENATE("R8C",'Mapa final'!$R$30),"")</f>
        <v/>
      </c>
      <c r="P142" s="164" t="str">
        <f ca="1">IF(AND('Mapa final'!$AB$28="Baja",'Mapa final'!$AD$28="Moderado"),CONCATENATE("R8C",'Mapa final'!$R$28),"")</f>
        <v>R8C1</v>
      </c>
      <c r="Q142" s="193" t="str">
        <f>IF(AND('Mapa final'!$AB$29="Baja",'Mapa final'!$AD$29="Moderado"),CONCATENATE("R8C",'Mapa final'!$R$29),"")</f>
        <v/>
      </c>
      <c r="R142" s="165" t="str">
        <f>IF(AND('Mapa final'!$AB$30="Baja",'Mapa final'!$AD$30="Moderado"),CONCATENATE("R8C",'Mapa final'!$R$30),"")</f>
        <v/>
      </c>
      <c r="S142" s="83" t="str">
        <f ca="1">IF(AND('Mapa final'!$AB$28="Baja",'Mapa final'!$AD$28="Mayor"),CONCATENATE("R8C",'Mapa final'!$R$28),"")</f>
        <v/>
      </c>
      <c r="T142" s="195" t="str">
        <f>IF(AND('Mapa final'!$AB$29="Baja",'Mapa final'!$AD$29="Mayor"),CONCATENATE("R8C",'Mapa final'!$R$29),"")</f>
        <v/>
      </c>
      <c r="U142" s="84" t="str">
        <f>IF(AND('Mapa final'!$AB$30="Baja",'Mapa final'!$AD$30="Mayor"),CONCATENATE("R8C",'Mapa final'!$R$30),"")</f>
        <v/>
      </c>
      <c r="V142" s="159" t="str">
        <f ca="1">IF(AND('Mapa final'!$AB$28="Baja",'Mapa final'!$AD$28="Catastrófico"),CONCATENATE("R8C",'Mapa final'!$R$28),"")</f>
        <v/>
      </c>
      <c r="W142" s="194" t="str">
        <f>IF(AND('Mapa final'!$AB$29="Baja",'Mapa final'!$AD$29="Catastrófico"),CONCATENATE("R8C",'Mapa final'!$R$29),"")</f>
        <v/>
      </c>
      <c r="X142" s="160" t="str">
        <f>IF(AND('Mapa final'!$AB$30="Baja",'Mapa final'!$AD$30="Catastrófico"),CONCATENATE("R8C",'Mapa final'!$R$30),"")</f>
        <v/>
      </c>
      <c r="Y142" s="38"/>
      <c r="Z142" s="366"/>
      <c r="AA142" s="367"/>
      <c r="AB142" s="367"/>
      <c r="AC142" s="367"/>
      <c r="AD142" s="367"/>
      <c r="AE142" s="36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row>
    <row r="143" spans="1:61" ht="15" customHeight="1" x14ac:dyDescent="0.25">
      <c r="A143" s="38"/>
      <c r="B143" s="355"/>
      <c r="C143" s="356"/>
      <c r="D143" s="357"/>
      <c r="E143" s="337"/>
      <c r="F143" s="338"/>
      <c r="G143" s="338"/>
      <c r="H143" s="338"/>
      <c r="I143" s="338"/>
      <c r="J143" s="172" t="str">
        <f ca="1">IF(AND('Mapa final'!$AB$31="Baja",'Mapa final'!$AD$31="Leve"),CONCATENATE("R9C",'Mapa final'!$R$31),"")</f>
        <v/>
      </c>
      <c r="K143" s="199" t="str">
        <f>IF(AND('Mapa final'!$AB$32="Baja",'Mapa final'!$AD$32="Leve"),CONCATENATE("R9C",'Mapa final'!$R$32),"")</f>
        <v/>
      </c>
      <c r="L143" s="173" t="str">
        <f>IF(AND('Mapa final'!$AB$33="Baja",'Mapa final'!$AD$33="Leve"),CONCATENATE("R9C",'Mapa final'!$R$33),"")</f>
        <v/>
      </c>
      <c r="M143" s="164" t="str">
        <f ca="1">IF(AND('Mapa final'!$AB$31="Baja",'Mapa final'!$AD$31="Menor"),CONCATENATE("R9C",'Mapa final'!$R$31),"")</f>
        <v/>
      </c>
      <c r="N143" s="193" t="str">
        <f>IF(AND('Mapa final'!$AB$32="Baja",'Mapa final'!$AD$32="Menor"),CONCATENATE("R9C",'Mapa final'!$R$32),"")</f>
        <v/>
      </c>
      <c r="O143" s="165" t="str">
        <f>IF(AND('Mapa final'!$AB$33="Baja",'Mapa final'!$AD$33="Menor"),CONCATENATE("R9C",'Mapa final'!$R$33),"")</f>
        <v/>
      </c>
      <c r="P143" s="164" t="str">
        <f ca="1">IF(AND('Mapa final'!$AB$31="Baja",'Mapa final'!$AD$31="Moderado"),CONCATENATE("R9C",'Mapa final'!$R$31),"")</f>
        <v>R9C1</v>
      </c>
      <c r="Q143" s="193" t="str">
        <f>IF(AND('Mapa final'!$AB$32="Baja",'Mapa final'!$AD$32="Moderado"),CONCATENATE("R9C",'Mapa final'!$R$32),"")</f>
        <v/>
      </c>
      <c r="R143" s="165" t="str">
        <f>IF(AND('Mapa final'!$AB$33="Baja",'Mapa final'!$AD$33="Moderado"),CONCATENATE("R9C",'Mapa final'!$R$33),"")</f>
        <v/>
      </c>
      <c r="S143" s="83" t="str">
        <f ca="1">IF(AND('Mapa final'!$AB$31="Baja",'Mapa final'!$AD$31="Mayor"),CONCATENATE("R9C",'Mapa final'!$R$31),"")</f>
        <v/>
      </c>
      <c r="T143" s="195" t="str">
        <f>IF(AND('Mapa final'!$AB$32="Baja",'Mapa final'!$AD$32="Mayor"),CONCATENATE("R9C",'Mapa final'!$R$32),"")</f>
        <v/>
      </c>
      <c r="U143" s="84" t="str">
        <f>IF(AND('Mapa final'!$AB$33="Baja",'Mapa final'!$AD$33="Mayor"),CONCATENATE("R9C",'Mapa final'!$R$33),"")</f>
        <v/>
      </c>
      <c r="V143" s="159" t="str">
        <f ca="1">IF(AND('Mapa final'!$AB$31="Baja",'Mapa final'!$AD$31="Catastrófico"),CONCATENATE("R9C",'Mapa final'!$R$31),"")</f>
        <v/>
      </c>
      <c r="W143" s="194" t="str">
        <f>IF(AND('Mapa final'!$AB$32="Baja",'Mapa final'!$AD$32="Catastrófico"),CONCATENATE("R9C",'Mapa final'!$R$32),"")</f>
        <v/>
      </c>
      <c r="X143" s="160" t="str">
        <f>IF(AND('Mapa final'!$AB$33="Baja",'Mapa final'!$AD$33="Catastrófico"),CONCATENATE("R9C",'Mapa final'!$R$33),"")</f>
        <v/>
      </c>
      <c r="Y143" s="38"/>
      <c r="Z143" s="366"/>
      <c r="AA143" s="367"/>
      <c r="AB143" s="367"/>
      <c r="AC143" s="367"/>
      <c r="AD143" s="367"/>
      <c r="AE143" s="36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row>
    <row r="144" spans="1:61" ht="15" customHeight="1" x14ac:dyDescent="0.25">
      <c r="A144" s="38"/>
      <c r="B144" s="355"/>
      <c r="C144" s="356"/>
      <c r="D144" s="357"/>
      <c r="E144" s="337"/>
      <c r="F144" s="338"/>
      <c r="G144" s="338"/>
      <c r="H144" s="338"/>
      <c r="I144" s="338"/>
      <c r="J144" s="172" t="str">
        <f ca="1">IF(AND('Mapa final'!$AB$34="Baja",'Mapa final'!$AD$34="Leve"),CONCATENATE("R10C",'Mapa final'!$R$34),"")</f>
        <v/>
      </c>
      <c r="K144" s="199" t="str">
        <f>IF(AND('Mapa final'!$AB$35="Baja",'Mapa final'!$AD$35="Leve"),CONCATENATE("R10C",'Mapa final'!$R$35),"")</f>
        <v/>
      </c>
      <c r="L144" s="173" t="str">
        <f>IF(AND('Mapa final'!$AB$36="Baja",'Mapa final'!$AD$36="Leve"),CONCATENATE("R10C",'Mapa final'!$R$36),"")</f>
        <v/>
      </c>
      <c r="M144" s="164" t="str">
        <f ca="1">IF(AND('Mapa final'!$AB$34="Baja",'Mapa final'!$AD$34="Menor"),CONCATENATE("R10C",'Mapa final'!$R$34),"")</f>
        <v/>
      </c>
      <c r="N144" s="193" t="str">
        <f>IF(AND('Mapa final'!$AB$35="Baja",'Mapa final'!$AD$35="Menor"),CONCATENATE("R10C",'Mapa final'!$R$35),"")</f>
        <v/>
      </c>
      <c r="O144" s="165" t="str">
        <f>IF(AND('Mapa final'!$AB$36="Baja",'Mapa final'!$AD$36="Menor"),CONCATENATE("R10C",'Mapa final'!$R$36),"")</f>
        <v/>
      </c>
      <c r="P144" s="164" t="str">
        <f ca="1">IF(AND('Mapa final'!$AB$34="Baja",'Mapa final'!$AD$34="Moderado"),CONCATENATE("R10C",'Mapa final'!$R$34),"")</f>
        <v/>
      </c>
      <c r="Q144" s="193" t="str">
        <f>IF(AND('Mapa final'!$AB$35="Baja",'Mapa final'!$AD$35="Moderado"),CONCATENATE("R10C",'Mapa final'!$R$35),"")</f>
        <v/>
      </c>
      <c r="R144" s="165" t="str">
        <f>IF(AND('Mapa final'!$AB$36="Baja",'Mapa final'!$AD$36="Moderado"),CONCATENATE("R10C",'Mapa final'!$R$36),"")</f>
        <v/>
      </c>
      <c r="S144" s="83" t="str">
        <f ca="1">IF(AND('Mapa final'!$AB$34="Baja",'Mapa final'!$AD$34="Mayor"),CONCATENATE("R10C",'Mapa final'!$R$34),"")</f>
        <v/>
      </c>
      <c r="T144" s="195" t="str">
        <f>IF(AND('Mapa final'!$AB$35="Baja",'Mapa final'!$AD$35="Mayor"),CONCATENATE("R10C",'Mapa final'!$R$35),"")</f>
        <v/>
      </c>
      <c r="U144" s="84" t="str">
        <f>IF(AND('Mapa final'!$AB$36="Baja",'Mapa final'!$AD$36="Mayor"),CONCATENATE("R10C",'Mapa final'!$R$36),"")</f>
        <v/>
      </c>
      <c r="V144" s="159" t="str">
        <f ca="1">IF(AND('Mapa final'!$AB$34="Baja",'Mapa final'!$AD$34="Catastrófico"),CONCATENATE("R10C",'Mapa final'!$R$34),"")</f>
        <v/>
      </c>
      <c r="W144" s="194" t="str">
        <f>IF(AND('Mapa final'!$AB$35="Baja",'Mapa final'!$AD$35="Catastrófico"),CONCATENATE("R10C",'Mapa final'!$R$35),"")</f>
        <v/>
      </c>
      <c r="X144" s="160" t="str">
        <f>IF(AND('Mapa final'!$AB$36="Baja",'Mapa final'!$AD$36="Catastrófico"),CONCATENATE("R10C",'Mapa final'!$R$36),"")</f>
        <v/>
      </c>
      <c r="Y144" s="38"/>
      <c r="Z144" s="366"/>
      <c r="AA144" s="367"/>
      <c r="AB144" s="367"/>
      <c r="AC144" s="367"/>
      <c r="AD144" s="367"/>
      <c r="AE144" s="36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row>
    <row r="145" spans="1:61" ht="15" customHeight="1" x14ac:dyDescent="0.25">
      <c r="A145" s="38"/>
      <c r="B145" s="355"/>
      <c r="C145" s="356"/>
      <c r="D145" s="357"/>
      <c r="E145" s="337"/>
      <c r="F145" s="338"/>
      <c r="G145" s="338"/>
      <c r="H145" s="338"/>
      <c r="I145" s="338"/>
      <c r="J145" s="172" t="str">
        <f ca="1">IF(AND('Mapa final'!$AB$37="Baja",'Mapa final'!$AD$37="Leve"),CONCATENATE("R11C",'Mapa final'!$R$37),"")</f>
        <v/>
      </c>
      <c r="K145" s="199" t="str">
        <f>IF(AND('Mapa final'!$AB$38="Baja",'Mapa final'!$AD$38="Leve"),CONCATENATE("R11C",'Mapa final'!$R$38),"")</f>
        <v/>
      </c>
      <c r="L145" s="173" t="str">
        <f>IF(AND('Mapa final'!$AB$39="Baja",'Mapa final'!$AD$39="Leve"),CONCATENATE("R11C",'Mapa final'!$R$39),"")</f>
        <v/>
      </c>
      <c r="M145" s="164" t="str">
        <f ca="1">IF(AND('Mapa final'!$AB$37="Baja",'Mapa final'!$AD$37="Menor"),CONCATENATE("R11C",'Mapa final'!$R$37),"")</f>
        <v/>
      </c>
      <c r="N145" s="193" t="str">
        <f>IF(AND('Mapa final'!$AB$38="Baja",'Mapa final'!$AD$38="Menor"),CONCATENATE("R11C",'Mapa final'!$R$38),"")</f>
        <v/>
      </c>
      <c r="O145" s="165" t="str">
        <f>IF(AND('Mapa final'!$AB$39="Baja",'Mapa final'!$AD$39="Menor"),CONCATENATE("R11C",'Mapa final'!$R$39),"")</f>
        <v/>
      </c>
      <c r="P145" s="164" t="str">
        <f ca="1">IF(AND('Mapa final'!$AB$37="Baja",'Mapa final'!$AD$37="Moderado"),CONCATENATE("R11C",'Mapa final'!$R$37),"")</f>
        <v>R11C1</v>
      </c>
      <c r="Q145" s="193" t="str">
        <f>IF(AND('Mapa final'!$AB$38="Baja",'Mapa final'!$AD$38="Moderado"),CONCATENATE("R11C",'Mapa final'!$R$38),"")</f>
        <v/>
      </c>
      <c r="R145" s="165" t="str">
        <f>IF(AND('Mapa final'!$AB$39="Baja",'Mapa final'!$AD$39="Moderado"),CONCATENATE("R11C",'Mapa final'!$R$39),"")</f>
        <v/>
      </c>
      <c r="S145" s="83" t="str">
        <f ca="1">IF(AND('Mapa final'!$AB$37="Baja",'Mapa final'!$AD$37="Mayor"),CONCATENATE("R11C",'Mapa final'!$R$37),"")</f>
        <v/>
      </c>
      <c r="T145" s="195" t="str">
        <f>IF(AND('Mapa final'!$AB$38="Baja",'Mapa final'!$AD$38="Mayor"),CONCATENATE("R11C",'Mapa final'!$R$38),"")</f>
        <v/>
      </c>
      <c r="U145" s="84" t="str">
        <f>IF(AND('Mapa final'!$AB$39="Baja",'Mapa final'!$AD$39="Mayor"),CONCATENATE("R11C",'Mapa final'!$R$39),"")</f>
        <v/>
      </c>
      <c r="V145" s="159" t="str">
        <f ca="1">IF(AND('Mapa final'!$AB$37="Baja",'Mapa final'!$AD$37="Catastrófico"),CONCATENATE("R11C",'Mapa final'!$R$37),"")</f>
        <v/>
      </c>
      <c r="W145" s="194" t="str">
        <f>IF(AND('Mapa final'!$AB$38="Baja",'Mapa final'!$AD$38="Catastrófico"),CONCATENATE("R11C",'Mapa final'!$R$38),"")</f>
        <v/>
      </c>
      <c r="X145" s="160" t="str">
        <f>IF(AND('Mapa final'!$AB$39="Baja",'Mapa final'!$AD$39="Catastrófico"),CONCATENATE("R11C",'Mapa final'!$R$39),"")</f>
        <v/>
      </c>
      <c r="Y145" s="38"/>
      <c r="Z145" s="366"/>
      <c r="AA145" s="367"/>
      <c r="AB145" s="367"/>
      <c r="AC145" s="367"/>
      <c r="AD145" s="367"/>
      <c r="AE145" s="36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row>
    <row r="146" spans="1:61" ht="15" customHeight="1" x14ac:dyDescent="0.25">
      <c r="A146" s="38"/>
      <c r="B146" s="355"/>
      <c r="C146" s="356"/>
      <c r="D146" s="357"/>
      <c r="E146" s="337"/>
      <c r="F146" s="338"/>
      <c r="G146" s="338"/>
      <c r="H146" s="338"/>
      <c r="I146" s="338"/>
      <c r="J146" s="172" t="str">
        <f>IF(AND('Mapa final'!$AB$40="Baja",'Mapa final'!$AD$40="Leve"),CONCATENATE("R11C",'Mapa final'!$R$40),"")</f>
        <v/>
      </c>
      <c r="K146" s="199" t="str">
        <f ca="1">IF(AND('Mapa final'!$AB$41="Baja",'Mapa final'!$AD$41="Leve"),CONCATENATE("R12C",'Mapa final'!$R$41),"")</f>
        <v/>
      </c>
      <c r="L146" s="173" t="str">
        <f>IF(AND('Mapa final'!$AB$42="Baja",'Mapa final'!$AD$42="Leve"),CONCATENATE("R12C",'Mapa final'!$R$42),"")</f>
        <v/>
      </c>
      <c r="M146" s="164" t="str">
        <f>IF(AND('Mapa final'!$AB$40="Baja",'Mapa final'!$AD$40="Menor"),CONCATENATE("R11C",'Mapa final'!$R$40),"")</f>
        <v/>
      </c>
      <c r="N146" s="193" t="str">
        <f ca="1">IF(AND('Mapa final'!$AB$41="Baja",'Mapa final'!$AD$41="Menor"),CONCATENATE("R12C",'Mapa final'!$R$41),"")</f>
        <v/>
      </c>
      <c r="O146" s="165" t="str">
        <f>IF(AND('Mapa final'!$AB$42="Baja",'Mapa final'!$AD$42="Menor"),CONCATENATE("R12C",'Mapa final'!$R$42),"")</f>
        <v/>
      </c>
      <c r="P146" s="164" t="str">
        <f>IF(AND('Mapa final'!$AB$40="Baja",'Mapa final'!$AD$40="Moderado"),CONCATENATE("R11C",'Mapa final'!$R$40),"")</f>
        <v/>
      </c>
      <c r="Q146" s="193" t="str">
        <f ca="1">IF(AND('Mapa final'!$AB$41="Baja",'Mapa final'!$AD$41="Moderado"),CONCATENATE("R12C",'Mapa final'!$R$41),"")</f>
        <v>R12C1</v>
      </c>
      <c r="R146" s="165" t="str">
        <f>IF(AND('Mapa final'!$AB$42="Baja",'Mapa final'!$AD$42="Moderado"),CONCATENATE("R12C",'Mapa final'!$R$42),"")</f>
        <v/>
      </c>
      <c r="S146" s="83" t="str">
        <f>IF(AND('Mapa final'!$AB$40="Baja",'Mapa final'!$AD$40="Mayor"),CONCATENATE("R11C",'Mapa final'!$R$40),"")</f>
        <v/>
      </c>
      <c r="T146" s="195" t="str">
        <f ca="1">IF(AND('Mapa final'!$AB$41="Baja",'Mapa final'!$AD$41="Mayor"),CONCATENATE("R12C",'Mapa final'!$R$41),"")</f>
        <v/>
      </c>
      <c r="U146" s="84" t="str">
        <f>IF(AND('Mapa final'!$AB$42="Baja",'Mapa final'!$AD$42="Mayor"),CONCATENATE("R12C",'Mapa final'!$R$42),"")</f>
        <v/>
      </c>
      <c r="V146" s="159" t="str">
        <f>IF(AND('Mapa final'!$AB$40="Baja",'Mapa final'!$AD$40="Catastrófico"),CONCATENATE("R11C",'Mapa final'!$R$40),"")</f>
        <v/>
      </c>
      <c r="W146" s="194" t="str">
        <f ca="1">IF(AND('Mapa final'!$AB$41="Baja",'Mapa final'!$AD$41="Catastrófico"),CONCATENATE("R12C",'Mapa final'!$R$41),"")</f>
        <v/>
      </c>
      <c r="X146" s="160" t="str">
        <f>IF(AND('Mapa final'!$AB$42="Baja",'Mapa final'!$AD$42="Catastrófico"),CONCATENATE("R12C",'Mapa final'!$R$42),"")</f>
        <v/>
      </c>
      <c r="Y146" s="38"/>
      <c r="Z146" s="366"/>
      <c r="AA146" s="367"/>
      <c r="AB146" s="367"/>
      <c r="AC146" s="367"/>
      <c r="AD146" s="367"/>
      <c r="AE146" s="36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row>
    <row r="147" spans="1:61" ht="15" customHeight="1" x14ac:dyDescent="0.25">
      <c r="A147" s="38"/>
      <c r="B147" s="355"/>
      <c r="C147" s="356"/>
      <c r="D147" s="357"/>
      <c r="E147" s="337"/>
      <c r="F147" s="338"/>
      <c r="G147" s="338"/>
      <c r="H147" s="338"/>
      <c r="I147" s="338"/>
      <c r="J147" s="172" t="str">
        <f>IF(AND('Mapa final'!$AB$43="Baja",'Mapa final'!$AD$43="Leve"),CONCATENATE("R12C",'Mapa final'!$R$43),"")</f>
        <v/>
      </c>
      <c r="K147" s="199" t="str">
        <f ca="1">IF(AND('Mapa final'!$AB$44="Baja",'Mapa final'!$AD$44="Leve"),CONCATENATE("R13C",'Mapa final'!$R$44),"")</f>
        <v/>
      </c>
      <c r="L147" s="173" t="str">
        <f>IF(AND('Mapa final'!$AB$45="Baja",'Mapa final'!$AD$45="Leve"),CONCATENATE("R13C",'Mapa final'!$R$45),"")</f>
        <v/>
      </c>
      <c r="M147" s="164" t="str">
        <f>IF(AND('Mapa final'!$AB$43="Baja",'Mapa final'!$AD$43="Menor"),CONCATENATE("R12C",'Mapa final'!$R$43),"")</f>
        <v/>
      </c>
      <c r="N147" s="193" t="str">
        <f ca="1">IF(AND('Mapa final'!$AB$44="Baja",'Mapa final'!$AD$44="Menor"),CONCATENATE("R13C",'Mapa final'!$R$44),"")</f>
        <v/>
      </c>
      <c r="O147" s="165" t="str">
        <f>IF(AND('Mapa final'!$AB$45="Baja",'Mapa final'!$AD$45="Menor"),CONCATENATE("R13C",'Mapa final'!$R$45),"")</f>
        <v/>
      </c>
      <c r="P147" s="164" t="str">
        <f>IF(AND('Mapa final'!$AB$43="Baja",'Mapa final'!$AD$43="Moderado"),CONCATENATE("R12C",'Mapa final'!$R$43),"")</f>
        <v/>
      </c>
      <c r="Q147" s="193" t="str">
        <f ca="1">IF(AND('Mapa final'!$AB$44="Baja",'Mapa final'!$AD$44="Moderado"),CONCATENATE("R13C",'Mapa final'!$R$44),"")</f>
        <v>R13C1</v>
      </c>
      <c r="R147" s="165" t="str">
        <f>IF(AND('Mapa final'!$AB$45="Baja",'Mapa final'!$AD$45="Moderado"),CONCATENATE("R13C",'Mapa final'!$R$45),"")</f>
        <v/>
      </c>
      <c r="S147" s="83" t="str">
        <f>IF(AND('Mapa final'!$AB$43="Baja",'Mapa final'!$AD$43="Mayor"),CONCATENATE("R12C",'Mapa final'!$R$43),"")</f>
        <v/>
      </c>
      <c r="T147" s="195" t="str">
        <f ca="1">IF(AND('Mapa final'!$AB$44="Baja",'Mapa final'!$AD$44="Mayor"),CONCATENATE("R13C",'Mapa final'!$R$44),"")</f>
        <v/>
      </c>
      <c r="U147" s="84" t="str">
        <f>IF(AND('Mapa final'!$AB$45="Baja",'Mapa final'!$AD$45="Mayor"),CONCATENATE("R13C",'Mapa final'!$R$45),"")</f>
        <v/>
      </c>
      <c r="V147" s="159" t="str">
        <f>IF(AND('Mapa final'!$AB$43="Baja",'Mapa final'!$AD$43="Catastrófico"),CONCATENATE("R12C",'Mapa final'!$R$43),"")</f>
        <v/>
      </c>
      <c r="W147" s="194" t="str">
        <f ca="1">IF(AND('Mapa final'!$AB$44="Baja",'Mapa final'!$AD$44="Catastrófico"),CONCATENATE("R13C",'Mapa final'!$R$44),"")</f>
        <v/>
      </c>
      <c r="X147" s="160" t="str">
        <f>IF(AND('Mapa final'!$AB$45="Baja",'Mapa final'!$AD$45="Catastrófico"),CONCATENATE("R13C",'Mapa final'!$R$45),"")</f>
        <v/>
      </c>
      <c r="Y147" s="38"/>
      <c r="Z147" s="366"/>
      <c r="AA147" s="367"/>
      <c r="AB147" s="367"/>
      <c r="AC147" s="367"/>
      <c r="AD147" s="367"/>
      <c r="AE147" s="36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row>
    <row r="148" spans="1:61" ht="15" customHeight="1" x14ac:dyDescent="0.25">
      <c r="A148" s="38"/>
      <c r="B148" s="355"/>
      <c r="C148" s="356"/>
      <c r="D148" s="357"/>
      <c r="E148" s="337"/>
      <c r="F148" s="338"/>
      <c r="G148" s="338"/>
      <c r="H148" s="338"/>
      <c r="I148" s="338"/>
      <c r="J148" s="172" t="str">
        <f>IF(AND('Mapa final'!$AB$46="Baja",'Mapa final'!$AD$46="Leve"),CONCATENATE("R13C",'Mapa final'!$R$46),"")</f>
        <v/>
      </c>
      <c r="K148" s="199" t="str">
        <f>IF(AND('Mapa final'!$AB$47="Baja",'Mapa final'!$AD$47="Leve"),CONCATENATE("R13C",'Mapa final'!$R$47),"")</f>
        <v/>
      </c>
      <c r="L148" s="173" t="str">
        <f>IF(AND('Mapa final'!$AB$48="Baja",'Mapa final'!$AD$48="Leve"),CONCATENATE("R13C",'Mapa final'!$R$48),"")</f>
        <v/>
      </c>
      <c r="M148" s="164" t="str">
        <f>IF(AND('Mapa final'!$AB$46="Baja",'Mapa final'!$AD$46="Menor"),CONCATENATE("R13C",'Mapa final'!$R$46),"")</f>
        <v/>
      </c>
      <c r="N148" s="193" t="str">
        <f>IF(AND('Mapa final'!$AB$47="Baja",'Mapa final'!$AD$47="Menor"),CONCATENATE("R13C",'Mapa final'!$R$47),"")</f>
        <v/>
      </c>
      <c r="O148" s="165" t="str">
        <f>IF(AND('Mapa final'!$AB$48="Baja",'Mapa final'!$AD$48="Menor"),CONCATENATE("R13C",'Mapa final'!$R$48),"")</f>
        <v/>
      </c>
      <c r="P148" s="164" t="str">
        <f>IF(AND('Mapa final'!$AB$46="Baja",'Mapa final'!$AD$46="Moderado"),CONCATENATE("R13C",'Mapa final'!$R$46),"")</f>
        <v/>
      </c>
      <c r="Q148" s="193" t="str">
        <f>IF(AND('Mapa final'!$AB$47="Baja",'Mapa final'!$AD$47="Moderado"),CONCATENATE("R13C",'Mapa final'!$R$47),"")</f>
        <v/>
      </c>
      <c r="R148" s="165" t="str">
        <f>IF(AND('Mapa final'!$AB$48="Baja",'Mapa final'!$AD$48="Moderado"),CONCATENATE("R13C",'Mapa final'!$R$48),"")</f>
        <v/>
      </c>
      <c r="S148" s="83" t="str">
        <f>IF(AND('Mapa final'!$AB$46="Baja",'Mapa final'!$AD$46="Mayor"),CONCATENATE("R13C",'Mapa final'!$R$46),"")</f>
        <v/>
      </c>
      <c r="T148" s="195" t="str">
        <f>IF(AND('Mapa final'!$AB$47="Baja",'Mapa final'!$AD$47="Mayor"),CONCATENATE("R13C",'Mapa final'!$R$47),"")</f>
        <v/>
      </c>
      <c r="U148" s="84" t="str">
        <f>IF(AND('Mapa final'!$AB$48="Baja",'Mapa final'!$AD$48="Mayor"),CONCATENATE("R13C",'Mapa final'!$R$48),"")</f>
        <v/>
      </c>
      <c r="V148" s="159" t="str">
        <f>IF(AND('Mapa final'!$AB$46="Baja",'Mapa final'!$AD$46="Catastrófico"),CONCATENATE("R13C",'Mapa final'!$R$46),"")</f>
        <v/>
      </c>
      <c r="W148" s="194" t="str">
        <f>IF(AND('Mapa final'!$AB$47="Baja",'Mapa final'!$AD$47="Catastrófico"),CONCATENATE("R13C",'Mapa final'!$R$47),"")</f>
        <v/>
      </c>
      <c r="X148" s="160" t="str">
        <f>IF(AND('Mapa final'!$AB$48="Baja",'Mapa final'!$AD$48="Catastrófico"),CONCATENATE("R13C",'Mapa final'!$R$48),"")</f>
        <v/>
      </c>
      <c r="Y148" s="38"/>
      <c r="Z148" s="366"/>
      <c r="AA148" s="367"/>
      <c r="AB148" s="367"/>
      <c r="AC148" s="367"/>
      <c r="AD148" s="367"/>
      <c r="AE148" s="36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row>
    <row r="149" spans="1:61" ht="15" customHeight="1" x14ac:dyDescent="0.25">
      <c r="A149" s="38"/>
      <c r="B149" s="355"/>
      <c r="C149" s="356"/>
      <c r="D149" s="357"/>
      <c r="E149" s="337"/>
      <c r="F149" s="338"/>
      <c r="G149" s="338"/>
      <c r="H149" s="338"/>
      <c r="I149" s="338"/>
      <c r="J149" s="172" t="str">
        <f ca="1">IF(AND('Mapa final'!$AB$49="Baja",'Mapa final'!$AD$49="Leve"),CONCATENATE("R14C",'Mapa final'!$R$49),"")</f>
        <v/>
      </c>
      <c r="K149" s="199" t="str">
        <f>IF(AND('Mapa final'!$AB$50="Baja",'Mapa final'!$AD$50="Leve"),CONCATENATE("R14C",'Mapa final'!$R$50),"")</f>
        <v/>
      </c>
      <c r="L149" s="173" t="str">
        <f>IF(AND('Mapa final'!$AB$51="Baja",'Mapa final'!$AD$51="Leve"),CONCATENATE("R14C",'Mapa final'!$R$51),"")</f>
        <v/>
      </c>
      <c r="M149" s="164" t="str">
        <f ca="1">IF(AND('Mapa final'!$AB$49="Baja",'Mapa final'!$AD$49="Menor"),CONCATENATE("R14C",'Mapa final'!$R$49),"")</f>
        <v/>
      </c>
      <c r="N149" s="193" t="str">
        <f>IF(AND('Mapa final'!$AB$50="Baja",'Mapa final'!$AD$50="Menor"),CONCATENATE("R14C",'Mapa final'!$R$50),"")</f>
        <v/>
      </c>
      <c r="O149" s="165" t="str">
        <f>IF(AND('Mapa final'!$AB$51="Baja",'Mapa final'!$AD$51="Menor"),CONCATENATE("R14C",'Mapa final'!$R$51),"")</f>
        <v/>
      </c>
      <c r="P149" s="164" t="str">
        <f ca="1">IF(AND('Mapa final'!$AB$49="Baja",'Mapa final'!$AD$49="Moderado"),CONCATENATE("R14C",'Mapa final'!$R$49),"")</f>
        <v/>
      </c>
      <c r="Q149" s="193" t="str">
        <f>IF(AND('Mapa final'!$AB$50="Baja",'Mapa final'!$AD$50="Moderado"),CONCATENATE("R14C",'Mapa final'!$R$50),"")</f>
        <v/>
      </c>
      <c r="R149" s="165" t="str">
        <f>IF(AND('Mapa final'!$AB$51="Baja",'Mapa final'!$AD$51="Moderado"),CONCATENATE("R14C",'Mapa final'!$R$51),"")</f>
        <v/>
      </c>
      <c r="S149" s="83" t="str">
        <f ca="1">IF(AND('Mapa final'!$AB$49="Baja",'Mapa final'!$AD$49="Mayor"),CONCATENATE("R14C",'Mapa final'!$R$49),"")</f>
        <v/>
      </c>
      <c r="T149" s="195" t="str">
        <f>IF(AND('Mapa final'!$AB$50="Baja",'Mapa final'!$AD$50="Mayor"),CONCATENATE("R14C",'Mapa final'!$R$50),"")</f>
        <v/>
      </c>
      <c r="U149" s="84" t="str">
        <f>IF(AND('Mapa final'!$AB$51="Baja",'Mapa final'!$AD$51="Mayor"),CONCATENATE("R14C",'Mapa final'!$R$51),"")</f>
        <v/>
      </c>
      <c r="V149" s="159" t="str">
        <f ca="1">IF(AND('Mapa final'!$AB$49="Baja",'Mapa final'!$AD$49="Catastrófico"),CONCATENATE("R14C",'Mapa final'!$R$49),"")</f>
        <v/>
      </c>
      <c r="W149" s="194" t="str">
        <f>IF(AND('Mapa final'!$AB$50="Baja",'Mapa final'!$AD$50="Catastrófico"),CONCATENATE("R14C",'Mapa final'!$R$50),"")</f>
        <v/>
      </c>
      <c r="X149" s="160" t="str">
        <f>IF(AND('Mapa final'!$AB$51="Baja",'Mapa final'!$AD$51="Catastrófico"),CONCATENATE("R14C",'Mapa final'!$R$51),"")</f>
        <v/>
      </c>
      <c r="Y149" s="38"/>
      <c r="Z149" s="366"/>
      <c r="AA149" s="367"/>
      <c r="AB149" s="367"/>
      <c r="AC149" s="367"/>
      <c r="AD149" s="367"/>
      <c r="AE149" s="36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row>
    <row r="150" spans="1:61" ht="15" customHeight="1" x14ac:dyDescent="0.25">
      <c r="A150" s="38"/>
      <c r="B150" s="355"/>
      <c r="C150" s="356"/>
      <c r="D150" s="357"/>
      <c r="E150" s="337"/>
      <c r="F150" s="338"/>
      <c r="G150" s="338"/>
      <c r="H150" s="338"/>
      <c r="I150" s="338"/>
      <c r="J150" s="172" t="str">
        <f ca="1">IF(AND('Mapa final'!$AB$52="Baja",'Mapa final'!$AD$52="Leve"),CONCATENATE("R15C",'Mapa final'!$R$52),"")</f>
        <v/>
      </c>
      <c r="K150" s="199" t="str">
        <f>IF(AND('Mapa final'!$AB$53="Baja",'Mapa final'!$AD$53="Leve"),CONCATENATE("R15C",'Mapa final'!$R$53),"")</f>
        <v/>
      </c>
      <c r="L150" s="173" t="str">
        <f>IF(AND('Mapa final'!$AB$54="Baja",'Mapa final'!$AD$54="Leve"),CONCATENATE("R15C",'Mapa final'!$R$54),"")</f>
        <v/>
      </c>
      <c r="M150" s="164" t="str">
        <f ca="1">IF(AND('Mapa final'!$AB$52="Baja",'Mapa final'!$AD$52="Menor"),CONCATENATE("R15C",'Mapa final'!$R$52),"")</f>
        <v/>
      </c>
      <c r="N150" s="193" t="str">
        <f>IF(AND('Mapa final'!$AB$53="Baja",'Mapa final'!$AD$53="Menor"),CONCATENATE("R15C",'Mapa final'!$R$53),"")</f>
        <v/>
      </c>
      <c r="O150" s="165" t="str">
        <f>IF(AND('Mapa final'!$AB$54="Baja",'Mapa final'!$AD$54="Menor"),CONCATENATE("R15C",'Mapa final'!$R$54),"")</f>
        <v/>
      </c>
      <c r="P150" s="164" t="str">
        <f ca="1">IF(AND('Mapa final'!$AB$52="Baja",'Mapa final'!$AD$52="Moderado"),CONCATENATE("R15C",'Mapa final'!$R$52),"")</f>
        <v>R15C1</v>
      </c>
      <c r="Q150" s="193" t="str">
        <f>IF(AND('Mapa final'!$AB$53="Baja",'Mapa final'!$AD$53="Moderado"),CONCATENATE("R15C",'Mapa final'!$R$53),"")</f>
        <v/>
      </c>
      <c r="R150" s="165" t="str">
        <f>IF(AND('Mapa final'!$AB$54="Baja",'Mapa final'!$AD$54="Moderado"),CONCATENATE("R15C",'Mapa final'!$R$54),"")</f>
        <v/>
      </c>
      <c r="S150" s="83" t="str">
        <f ca="1">IF(AND('Mapa final'!$AB$52="Baja",'Mapa final'!$AD$52="Mayor"),CONCATENATE("R15C",'Mapa final'!$R$52),"")</f>
        <v/>
      </c>
      <c r="T150" s="195" t="str">
        <f>IF(AND('Mapa final'!$AB$53="Baja",'Mapa final'!$AD$53="Mayor"),CONCATENATE("R15C",'Mapa final'!$R$53),"")</f>
        <v/>
      </c>
      <c r="U150" s="84" t="str">
        <f>IF(AND('Mapa final'!$AB$54="Baja",'Mapa final'!$AD$54="Mayor"),CONCATENATE("R15C",'Mapa final'!$R$54),"")</f>
        <v/>
      </c>
      <c r="V150" s="159" t="str">
        <f ca="1">IF(AND('Mapa final'!$AB$52="Baja",'Mapa final'!$AD$52="Catastrófico"),CONCATENATE("R15C",'Mapa final'!$R$52),"")</f>
        <v/>
      </c>
      <c r="W150" s="194" t="str">
        <f>IF(AND('Mapa final'!$AB$53="Baja",'Mapa final'!$AD$53="Catastrófico"),CONCATENATE("R15C",'Mapa final'!$R$53),"")</f>
        <v/>
      </c>
      <c r="X150" s="160" t="str">
        <f>IF(AND('Mapa final'!$AB$54="Baja",'Mapa final'!$AD$54="Catastrófico"),CONCATENATE("R15C",'Mapa final'!$R$54),"")</f>
        <v/>
      </c>
      <c r="Y150" s="38"/>
      <c r="Z150" s="366"/>
      <c r="AA150" s="367"/>
      <c r="AB150" s="367"/>
      <c r="AC150" s="367"/>
      <c r="AD150" s="367"/>
      <c r="AE150" s="36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row>
    <row r="151" spans="1:61" ht="15" customHeight="1" x14ac:dyDescent="0.25">
      <c r="A151" s="38"/>
      <c r="B151" s="355"/>
      <c r="C151" s="356"/>
      <c r="D151" s="357"/>
      <c r="E151" s="337"/>
      <c r="F151" s="338"/>
      <c r="G151" s="338"/>
      <c r="H151" s="338"/>
      <c r="I151" s="338"/>
      <c r="J151" s="172" t="str">
        <f ca="1">IF(AND('Mapa final'!$AB$55="Baja",'Mapa final'!$AD$55="Leve"),CONCATENATE("R16C",'Mapa final'!$R$55),"")</f>
        <v/>
      </c>
      <c r="K151" s="199" t="str">
        <f>IF(AND('Mapa final'!$AB$56="Baja",'Mapa final'!$AD$56="Leve"),CONCATENATE("R16C",'Mapa final'!$R$56),"")</f>
        <v/>
      </c>
      <c r="L151" s="173" t="str">
        <f>IF(AND('Mapa final'!$AB$57="Baja",'Mapa final'!$AD$57="Leve"),CONCATENATE("R16C",'Mapa final'!$R$57),"")</f>
        <v/>
      </c>
      <c r="M151" s="164" t="str">
        <f ca="1">IF(AND('Mapa final'!$AB$55="Baja",'Mapa final'!$AD$55="Menor"),CONCATENATE("R16C",'Mapa final'!$R$55),"")</f>
        <v/>
      </c>
      <c r="N151" s="193" t="str">
        <f>IF(AND('Mapa final'!$AB$56="Baja",'Mapa final'!$AD$56="Menor"),CONCATENATE("R16C",'Mapa final'!$R$56),"")</f>
        <v/>
      </c>
      <c r="O151" s="165" t="str">
        <f>IF(AND('Mapa final'!$AB$57="Baja",'Mapa final'!$AD$57="Menor"),CONCATENATE("R16C",'Mapa final'!$R$57),"")</f>
        <v/>
      </c>
      <c r="P151" s="164" t="str">
        <f ca="1">IF(AND('Mapa final'!$AB$55="Baja",'Mapa final'!$AD$55="Moderado"),CONCATENATE("R16C",'Mapa final'!$R$55),"")</f>
        <v/>
      </c>
      <c r="Q151" s="193" t="str">
        <f>IF(AND('Mapa final'!$AB$56="Baja",'Mapa final'!$AD$56="Moderado"),CONCATENATE("R16C",'Mapa final'!$R$56),"")</f>
        <v/>
      </c>
      <c r="R151" s="165" t="str">
        <f>IF(AND('Mapa final'!$AB$57="Baja",'Mapa final'!$AD$57="Moderado"),CONCATENATE("R16C",'Mapa final'!$R$57),"")</f>
        <v/>
      </c>
      <c r="S151" s="83" t="str">
        <f ca="1">IF(AND('Mapa final'!$AB$55="Baja",'Mapa final'!$AD$55="Mayor"),CONCATENATE("R16C",'Mapa final'!$R$55),"")</f>
        <v/>
      </c>
      <c r="T151" s="195" t="str">
        <f>IF(AND('Mapa final'!$AB$56="Baja",'Mapa final'!$AD$56="Mayor"),CONCATENATE("R16C",'Mapa final'!$R$56),"")</f>
        <v/>
      </c>
      <c r="U151" s="84" t="str">
        <f>IF(AND('Mapa final'!$AB$57="Baja",'Mapa final'!$AD$57="Mayor"),CONCATENATE("R16C",'Mapa final'!$R$57),"")</f>
        <v/>
      </c>
      <c r="V151" s="159" t="str">
        <f ca="1">IF(AND('Mapa final'!$AB$55="Baja",'Mapa final'!$AD$55="Catastrófico"),CONCATENATE("R16C",'Mapa final'!$R$55),"")</f>
        <v/>
      </c>
      <c r="W151" s="194" t="str">
        <f>IF(AND('Mapa final'!$AB$56="Baja",'Mapa final'!$AD$56="Catastrófico"),CONCATENATE("R16C",'Mapa final'!$R$56),"")</f>
        <v/>
      </c>
      <c r="X151" s="160" t="str">
        <f>IF(AND('Mapa final'!$AB$57="Baja",'Mapa final'!$AD$57="Catastrófico"),CONCATENATE("R16C",'Mapa final'!$R$57),"")</f>
        <v/>
      </c>
      <c r="Y151" s="38"/>
      <c r="Z151" s="366"/>
      <c r="AA151" s="367"/>
      <c r="AB151" s="367"/>
      <c r="AC151" s="367"/>
      <c r="AD151" s="367"/>
      <c r="AE151" s="36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row>
    <row r="152" spans="1:61" ht="15" customHeight="1" x14ac:dyDescent="0.25">
      <c r="A152" s="38"/>
      <c r="B152" s="355"/>
      <c r="C152" s="356"/>
      <c r="D152" s="357"/>
      <c r="E152" s="337"/>
      <c r="F152" s="338"/>
      <c r="G152" s="338"/>
      <c r="H152" s="338"/>
      <c r="I152" s="338"/>
      <c r="J152" s="172" t="str">
        <f ca="1">IF(AND('Mapa final'!$AB$58="Baja",'Mapa final'!$AD$58="Leve"),CONCATENATE("R17C",'Mapa final'!$R$58),"")</f>
        <v/>
      </c>
      <c r="K152" s="199" t="str">
        <f>IF(AND('Mapa final'!$AB$59="Baja",'Mapa final'!$AD$59="Leve"),CONCATENATE("R17C",'Mapa final'!$R$59),"")</f>
        <v/>
      </c>
      <c r="L152" s="173" t="str">
        <f>IF(AND('Mapa final'!$AB$60="Baja",'Mapa final'!$AD$60="Leve"),CONCATENATE("R17C",'Mapa final'!$R$60),"")</f>
        <v/>
      </c>
      <c r="M152" s="164" t="str">
        <f ca="1">IF(AND('Mapa final'!$AB$58="Baja",'Mapa final'!$AD$58="Menor"),CONCATENATE("R17C",'Mapa final'!$R$58),"")</f>
        <v/>
      </c>
      <c r="N152" s="193" t="str">
        <f>IF(AND('Mapa final'!$AB$59="Baja",'Mapa final'!$AD$59="Menor"),CONCATENATE("R17C",'Mapa final'!$R$59),"")</f>
        <v/>
      </c>
      <c r="O152" s="165" t="str">
        <f>IF(AND('Mapa final'!$AB$60="Baja",'Mapa final'!$AD$60="Menor"),CONCATENATE("R17C",'Mapa final'!$R$60),"")</f>
        <v/>
      </c>
      <c r="P152" s="164" t="str">
        <f ca="1">IF(AND('Mapa final'!$AB$58="Baja",'Mapa final'!$AD$58="Moderado"),CONCATENATE("R17C",'Mapa final'!$R$58),"")</f>
        <v>R17C1</v>
      </c>
      <c r="Q152" s="193" t="str">
        <f>IF(AND('Mapa final'!$AB$59="Baja",'Mapa final'!$AD$59="Moderado"),CONCATENATE("R17C",'Mapa final'!$R$59),"")</f>
        <v/>
      </c>
      <c r="R152" s="165" t="str">
        <f>IF(AND('Mapa final'!$AB$60="Baja",'Mapa final'!$AD$60="Moderado"),CONCATENATE("R17C",'Mapa final'!$R$60),"")</f>
        <v/>
      </c>
      <c r="S152" s="83" t="str">
        <f ca="1">IF(AND('Mapa final'!$AB$58="Baja",'Mapa final'!$AD$58="Mayor"),CONCATENATE("R17C",'Mapa final'!$R$58),"")</f>
        <v/>
      </c>
      <c r="T152" s="195" t="str">
        <f>IF(AND('Mapa final'!$AB$59="Baja",'Mapa final'!$AD$59="Mayor"),CONCATENATE("R17C",'Mapa final'!$R$59),"")</f>
        <v/>
      </c>
      <c r="U152" s="84" t="str">
        <f>IF(AND('Mapa final'!$AB$60="Baja",'Mapa final'!$AD$60="Mayor"),CONCATENATE("R17C",'Mapa final'!$R$60),"")</f>
        <v/>
      </c>
      <c r="V152" s="159" t="str">
        <f ca="1">IF(AND('Mapa final'!$AB$58="Baja",'Mapa final'!$AD$58="Catastrófico"),CONCATENATE("R17C",'Mapa final'!$R$58),"")</f>
        <v/>
      </c>
      <c r="W152" s="194" t="str">
        <f>IF(AND('Mapa final'!$AB$59="Baja",'Mapa final'!$AD$59="Catastrófico"),CONCATENATE("R17C",'Mapa final'!$R$59),"")</f>
        <v/>
      </c>
      <c r="X152" s="160" t="str">
        <f>IF(AND('Mapa final'!$AB$60="Baja",'Mapa final'!$AD$60="Catastrófico"),CONCATENATE("R17C",'Mapa final'!$R$60),"")</f>
        <v/>
      </c>
      <c r="Y152" s="38"/>
      <c r="Z152" s="366"/>
      <c r="AA152" s="367"/>
      <c r="AB152" s="367"/>
      <c r="AC152" s="367"/>
      <c r="AD152" s="367"/>
      <c r="AE152" s="36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row>
    <row r="153" spans="1:61" ht="15" customHeight="1" x14ac:dyDescent="0.25">
      <c r="A153" s="38"/>
      <c r="B153" s="355"/>
      <c r="C153" s="356"/>
      <c r="D153" s="357"/>
      <c r="E153" s="337"/>
      <c r="F153" s="338"/>
      <c r="G153" s="338"/>
      <c r="H153" s="338"/>
      <c r="I153" s="338"/>
      <c r="J153" s="172" t="str">
        <f ca="1">IF(AND('Mapa final'!$AB$61="Baja",'Mapa final'!$AD$61="Leve"),CONCATENATE("R18C",'Mapa final'!$R$61),"")</f>
        <v/>
      </c>
      <c r="K153" s="199" t="str">
        <f>IF(AND('Mapa final'!$AB$62="Baja",'Mapa final'!$AD$62="Leve"),CONCATENATE("R18C",'Mapa final'!$R$62),"")</f>
        <v>R18C2</v>
      </c>
      <c r="L153" s="173" t="str">
        <f>IF(AND('Mapa final'!$AB$63="Baja",'Mapa final'!$AD$63="Leve"),CONCATENATE("R18C",'Mapa final'!$R$63),"")</f>
        <v/>
      </c>
      <c r="M153" s="164" t="str">
        <f ca="1">IF(AND('Mapa final'!$AB$61="Baja",'Mapa final'!$AD$61="Menor"),CONCATENATE("R18C",'Mapa final'!$R$61),"")</f>
        <v/>
      </c>
      <c r="N153" s="193" t="str">
        <f>IF(AND('Mapa final'!$AB$62="Baja",'Mapa final'!$AD$62="Menor"),CONCATENATE("R18C",'Mapa final'!$R$62),"")</f>
        <v/>
      </c>
      <c r="O153" s="165" t="str">
        <f>IF(AND('Mapa final'!$AB$63="Baja",'Mapa final'!$AD$63="Menor"),CONCATENATE("R18C",'Mapa final'!$R$63),"")</f>
        <v/>
      </c>
      <c r="P153" s="164" t="str">
        <f ca="1">IF(AND('Mapa final'!$AB$61="Baja",'Mapa final'!$AD$61="Moderado"),CONCATENATE("R18C",'Mapa final'!$R$61),"")</f>
        <v/>
      </c>
      <c r="Q153" s="193" t="str">
        <f>IF(AND('Mapa final'!$AB$62="Baja",'Mapa final'!$AD$62="Moderado"),CONCATENATE("R18C",'Mapa final'!$R$62),"")</f>
        <v/>
      </c>
      <c r="R153" s="165" t="str">
        <f>IF(AND('Mapa final'!$AB$63="Baja",'Mapa final'!$AD$63="Moderado"),CONCATENATE("R18C",'Mapa final'!$R$63),"")</f>
        <v/>
      </c>
      <c r="S153" s="83" t="str">
        <f ca="1">IF(AND('Mapa final'!$AB$61="Baja",'Mapa final'!$AD$61="Mayor"),CONCATENATE("R18C",'Mapa final'!$R$61),"")</f>
        <v>R18C1</v>
      </c>
      <c r="T153" s="195" t="str">
        <f>IF(AND('Mapa final'!$AB$62="Baja",'Mapa final'!$AD$62="Mayor"),CONCATENATE("R18C",'Mapa final'!$R$62),"")</f>
        <v/>
      </c>
      <c r="U153" s="84" t="str">
        <f>IF(AND('Mapa final'!$AB$63="Baja",'Mapa final'!$AD$63="Mayor"),CONCATENATE("R18C",'Mapa final'!$R$63),"")</f>
        <v/>
      </c>
      <c r="V153" s="159" t="str">
        <f ca="1">IF(AND('Mapa final'!$AB$61="Baja",'Mapa final'!$AD$61="Catastrófico"),CONCATENATE("R18C",'Mapa final'!$R$61),"")</f>
        <v/>
      </c>
      <c r="W153" s="194" t="str">
        <f>IF(AND('Mapa final'!$AB$62="Baja",'Mapa final'!$AD$62="Catastrófico"),CONCATENATE("R18C",'Mapa final'!$R$62),"")</f>
        <v/>
      </c>
      <c r="X153" s="160" t="str">
        <f>IF(AND('Mapa final'!$AB$63="Baja",'Mapa final'!$AD$63="Catastrófico"),CONCATENATE("R18C",'Mapa final'!$R$63),"")</f>
        <v/>
      </c>
      <c r="Y153" s="38"/>
      <c r="Z153" s="366"/>
      <c r="AA153" s="367"/>
      <c r="AB153" s="367"/>
      <c r="AC153" s="367"/>
      <c r="AD153" s="367"/>
      <c r="AE153" s="36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row>
    <row r="154" spans="1:61" ht="15" customHeight="1" x14ac:dyDescent="0.25">
      <c r="A154" s="38"/>
      <c r="B154" s="355"/>
      <c r="C154" s="356"/>
      <c r="D154" s="357"/>
      <c r="E154" s="337"/>
      <c r="F154" s="338"/>
      <c r="G154" s="338"/>
      <c r="H154" s="338"/>
      <c r="I154" s="338"/>
      <c r="J154" s="172" t="str">
        <f ca="1">IF(AND('Mapa final'!$AB$64="Baja",'Mapa final'!$AD$64="Leve"),CONCATENATE("R19C",'Mapa final'!$R$64),"")</f>
        <v/>
      </c>
      <c r="K154" s="199" t="str">
        <f>IF(AND('Mapa final'!$AB$65="Baja",'Mapa final'!$AD$65="Leve"),CONCATENATE("R19C",'Mapa final'!$R$65),"")</f>
        <v>R19C2</v>
      </c>
      <c r="L154" s="173" t="str">
        <f>IF(AND('Mapa final'!$AB$66="Baja",'Mapa final'!$AD$66="Leve"),CONCATENATE("R19C",'Mapa final'!$R$66),"")</f>
        <v/>
      </c>
      <c r="M154" s="164" t="str">
        <f ca="1">IF(AND('Mapa final'!$AB$64="Baja",'Mapa final'!$AD$64="Menor"),CONCATENATE("R19C",'Mapa final'!$R$64),"")</f>
        <v/>
      </c>
      <c r="N154" s="193" t="str">
        <f>IF(AND('Mapa final'!$AB$65="Baja",'Mapa final'!$AD$65="Menor"),CONCATENATE("R19C",'Mapa final'!$R$65),"")</f>
        <v/>
      </c>
      <c r="O154" s="165" t="str">
        <f>IF(AND('Mapa final'!$AB$66="Baja",'Mapa final'!$AD$66="Menor"),CONCATENATE("R19C",'Mapa final'!$R$66),"")</f>
        <v/>
      </c>
      <c r="P154" s="164" t="str">
        <f ca="1">IF(AND('Mapa final'!$AB$64="Baja",'Mapa final'!$AD$64="Moderado"),CONCATENATE("R19C",'Mapa final'!$R$64),"")</f>
        <v/>
      </c>
      <c r="Q154" s="193" t="str">
        <f>IF(AND('Mapa final'!$AB$65="Baja",'Mapa final'!$AD$65="Moderado"),CONCATENATE("R19C",'Mapa final'!$R$65),"")</f>
        <v/>
      </c>
      <c r="R154" s="165" t="str">
        <f>IF(AND('Mapa final'!$AB$66="Baja",'Mapa final'!$AD$66="Moderado"),CONCATENATE("R19C",'Mapa final'!$R$66),"")</f>
        <v/>
      </c>
      <c r="S154" s="83" t="str">
        <f ca="1">IF(AND('Mapa final'!$AB$64="Baja",'Mapa final'!$AD$64="Mayor"),CONCATENATE("R19C",'Mapa final'!$R$64),"")</f>
        <v>R19C1</v>
      </c>
      <c r="T154" s="195" t="str">
        <f>IF(AND('Mapa final'!$AB$65="Baja",'Mapa final'!$AD$65="Mayor"),CONCATENATE("R19C",'Mapa final'!$R$65),"")</f>
        <v/>
      </c>
      <c r="U154" s="84" t="str">
        <f>IF(AND('Mapa final'!$AB$66="Baja",'Mapa final'!$AD$66="Mayor"),CONCATENATE("R19C",'Mapa final'!$R$66),"")</f>
        <v/>
      </c>
      <c r="V154" s="159" t="str">
        <f ca="1">IF(AND('Mapa final'!$AB$64="Baja",'Mapa final'!$AD$64="Catastrófico"),CONCATENATE("R19C",'Mapa final'!$R$64),"")</f>
        <v/>
      </c>
      <c r="W154" s="194" t="str">
        <f>IF(AND('Mapa final'!$AB$65="Baja",'Mapa final'!$AD$65="Catastrófico"),CONCATENATE("R19C",'Mapa final'!$R$65),"")</f>
        <v/>
      </c>
      <c r="X154" s="160" t="str">
        <f>IF(AND('Mapa final'!$AB$66="Baja",'Mapa final'!$AD$66="Catastrófico"),CONCATENATE("R19C",'Mapa final'!$R$66),"")</f>
        <v/>
      </c>
      <c r="Y154" s="38"/>
      <c r="Z154" s="366"/>
      <c r="AA154" s="367"/>
      <c r="AB154" s="367"/>
      <c r="AC154" s="367"/>
      <c r="AD154" s="367"/>
      <c r="AE154" s="36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row>
    <row r="155" spans="1:61" ht="15" customHeight="1" x14ac:dyDescent="0.25">
      <c r="A155" s="38"/>
      <c r="B155" s="355"/>
      <c r="C155" s="356"/>
      <c r="D155" s="357"/>
      <c r="E155" s="337"/>
      <c r="F155" s="338"/>
      <c r="G155" s="338"/>
      <c r="H155" s="338"/>
      <c r="I155" s="338"/>
      <c r="J155" s="172" t="str">
        <f ca="1">IF(AND('Mapa final'!$AB$67="Baja",'Mapa final'!$AD$67="Leve"),CONCATENATE("R20C",'Mapa final'!$R$67),"")</f>
        <v/>
      </c>
      <c r="K155" s="199" t="str">
        <f>IF(AND('Mapa final'!$AB$68="Baja",'Mapa final'!$AD$68="Leve"),CONCATENATE("R20C",'Mapa final'!$R$68),"")</f>
        <v/>
      </c>
      <c r="L155" s="173" t="str">
        <f>IF(AND('Mapa final'!$AB$69="Baja",'Mapa final'!$AD$69="Leve"),CONCATENATE("R20C",'Mapa final'!$R$69),"")</f>
        <v/>
      </c>
      <c r="M155" s="164" t="str">
        <f ca="1">IF(AND('Mapa final'!$AB$67="Baja",'Mapa final'!$AD$67="Menor"),CONCATENATE("R20C",'Mapa final'!$R$67),"")</f>
        <v/>
      </c>
      <c r="N155" s="193" t="str">
        <f>IF(AND('Mapa final'!$AB$68="Baja",'Mapa final'!$AD$68="Menor"),CONCATENATE("R20C",'Mapa final'!$R$68),"")</f>
        <v/>
      </c>
      <c r="O155" s="165" t="str">
        <f>IF(AND('Mapa final'!$AB$69="Baja",'Mapa final'!$AD$69="Menor"),CONCATENATE("R20C",'Mapa final'!$R$69),"")</f>
        <v/>
      </c>
      <c r="P155" s="164" t="str">
        <f ca="1">IF(AND('Mapa final'!$AB$67="Baja",'Mapa final'!$AD$67="Moderado"),CONCATENATE("R20C",'Mapa final'!$R$67),"")</f>
        <v/>
      </c>
      <c r="Q155" s="193" t="str">
        <f>IF(AND('Mapa final'!$AB$68="Baja",'Mapa final'!$AD$68="Moderado"),CONCATENATE("R20C",'Mapa final'!$R$68),"")</f>
        <v/>
      </c>
      <c r="R155" s="165" t="str">
        <f>IF(AND('Mapa final'!$AB$69="Baja",'Mapa final'!$AD$69="Moderado"),CONCATENATE("R20C",'Mapa final'!$R$69),"")</f>
        <v/>
      </c>
      <c r="S155" s="83" t="str">
        <f ca="1">IF(AND('Mapa final'!$AB$67="Baja",'Mapa final'!$AD$67="Mayor"),CONCATENATE("R20C",'Mapa final'!$R$67),"")</f>
        <v/>
      </c>
      <c r="T155" s="195" t="str">
        <f>IF(AND('Mapa final'!$AB$68="Baja",'Mapa final'!$AD$68="Mayor"),CONCATENATE("R20C",'Mapa final'!$R$68),"")</f>
        <v>R20C2</v>
      </c>
      <c r="U155" s="84" t="str">
        <f>IF(AND('Mapa final'!$AB$69="Baja",'Mapa final'!$AD$69="Mayor"),CONCATENATE("R20C",'Mapa final'!$R$69),"")</f>
        <v/>
      </c>
      <c r="V155" s="159" t="str">
        <f ca="1">IF(AND('Mapa final'!$AB$67="Baja",'Mapa final'!$AD$67="Catastrófico"),CONCATENATE("R20C",'Mapa final'!$R$67),"")</f>
        <v/>
      </c>
      <c r="W155" s="194" t="str">
        <f>IF(AND('Mapa final'!$AB$68="Baja",'Mapa final'!$AD$68="Catastrófico"),CONCATENATE("R20C",'Mapa final'!$R$68),"")</f>
        <v/>
      </c>
      <c r="X155" s="160" t="str">
        <f>IF(AND('Mapa final'!$AB$69="Baja",'Mapa final'!$AD$69="Catastrófico"),CONCATENATE("R20C",'Mapa final'!$R$69),"")</f>
        <v/>
      </c>
      <c r="Y155" s="38"/>
      <c r="Z155" s="366"/>
      <c r="AA155" s="367"/>
      <c r="AB155" s="367"/>
      <c r="AC155" s="367"/>
      <c r="AD155" s="367"/>
      <c r="AE155" s="36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row>
    <row r="156" spans="1:61" ht="15" customHeight="1" x14ac:dyDescent="0.25">
      <c r="A156" s="38"/>
      <c r="B156" s="355"/>
      <c r="C156" s="356"/>
      <c r="D156" s="357"/>
      <c r="E156" s="337"/>
      <c r="F156" s="338"/>
      <c r="G156" s="338"/>
      <c r="H156" s="338"/>
      <c r="I156" s="338"/>
      <c r="J156" s="172" t="str">
        <f ca="1">IF(AND('Mapa final'!$AB$70="Baja",'Mapa final'!$AD$70="Leve"),CONCATENATE("R21C",'Mapa final'!$R$70),"")</f>
        <v/>
      </c>
      <c r="K156" s="199" t="str">
        <f>IF(AND('Mapa final'!$AB$71="Baja",'Mapa final'!$AD$71="Leve"),CONCATENATE("R21C",'Mapa final'!$R$71),"")</f>
        <v/>
      </c>
      <c r="L156" s="173" t="str">
        <f>IF(AND('Mapa final'!$AB$72="Baja",'Mapa final'!$AD$72="Leve"),CONCATENATE("R21C",'Mapa final'!$R$72),"")</f>
        <v/>
      </c>
      <c r="M156" s="164" t="str">
        <f ca="1">IF(AND('Mapa final'!$AB$70="Baja",'Mapa final'!$AD$70="Menor"),CONCATENATE("R21C",'Mapa final'!$R$70),"")</f>
        <v>R21C1</v>
      </c>
      <c r="N156" s="193" t="str">
        <f>IF(AND('Mapa final'!$AB$71="Baja",'Mapa final'!$AD$71="Menor"),CONCATENATE("R21C",'Mapa final'!$R$71),"")</f>
        <v/>
      </c>
      <c r="O156" s="165" t="str">
        <f>IF(AND('Mapa final'!$AB$72="Baja",'Mapa final'!$AD$72="Menor"),CONCATENATE("R21C",'Mapa final'!$R$72),"")</f>
        <v/>
      </c>
      <c r="P156" s="164" t="str">
        <f ca="1">IF(AND('Mapa final'!$AB$70="Baja",'Mapa final'!$AD$70="Moderado"),CONCATENATE("R21C",'Mapa final'!$R$70),"")</f>
        <v/>
      </c>
      <c r="Q156" s="193" t="str">
        <f>IF(AND('Mapa final'!$AB$71="Baja",'Mapa final'!$AD$71="Moderado"),CONCATENATE("R21C",'Mapa final'!$R$71),"")</f>
        <v/>
      </c>
      <c r="R156" s="165" t="str">
        <f>IF(AND('Mapa final'!$AB$72="Baja",'Mapa final'!$AD$72="Moderado"),CONCATENATE("R21C",'Mapa final'!$R$72),"")</f>
        <v/>
      </c>
      <c r="S156" s="83" t="str">
        <f ca="1">IF(AND('Mapa final'!$AB$70="Baja",'Mapa final'!$AD$70="Mayor"),CONCATENATE("R21C",'Mapa final'!$R$70),"")</f>
        <v/>
      </c>
      <c r="T156" s="195" t="str">
        <f>IF(AND('Mapa final'!$AB$71="Baja",'Mapa final'!$AD$71="Mayor"),CONCATENATE("R21C",'Mapa final'!$R$71),"")</f>
        <v/>
      </c>
      <c r="U156" s="84" t="str">
        <f>IF(AND('Mapa final'!$AB$72="Baja",'Mapa final'!$AD$72="Mayor"),CONCATENATE("R21C",'Mapa final'!$R$72),"")</f>
        <v/>
      </c>
      <c r="V156" s="159" t="str">
        <f ca="1">IF(AND('Mapa final'!$AB$70="Baja",'Mapa final'!$AD$70="Catastrófico"),CONCATENATE("R21C",'Mapa final'!$R$70),"")</f>
        <v/>
      </c>
      <c r="W156" s="194" t="str">
        <f>IF(AND('Mapa final'!$AB$71="Baja",'Mapa final'!$AD$71="Catastrófico"),CONCATENATE("R21C",'Mapa final'!$R$71),"")</f>
        <v/>
      </c>
      <c r="X156" s="160" t="str">
        <f>IF(AND('Mapa final'!$AB$72="Baja",'Mapa final'!$AD$72="Catastrófico"),CONCATENATE("R21C",'Mapa final'!$R$72),"")</f>
        <v/>
      </c>
      <c r="Y156" s="38"/>
      <c r="Z156" s="366"/>
      <c r="AA156" s="367"/>
      <c r="AB156" s="367"/>
      <c r="AC156" s="367"/>
      <c r="AD156" s="367"/>
      <c r="AE156" s="36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row>
    <row r="157" spans="1:61" ht="15" customHeight="1" x14ac:dyDescent="0.25">
      <c r="A157" s="38"/>
      <c r="B157" s="355"/>
      <c r="C157" s="356"/>
      <c r="D157" s="357"/>
      <c r="E157" s="337"/>
      <c r="F157" s="338"/>
      <c r="G157" s="338"/>
      <c r="H157" s="338"/>
      <c r="I157" s="338"/>
      <c r="J157" s="172" t="str">
        <f ca="1">IF(AND('Mapa final'!$AB$73="Baja",'Mapa final'!$AD$73="Leve"),CONCATENATE("R22C",'Mapa final'!$R$73),"")</f>
        <v/>
      </c>
      <c r="K157" s="199" t="str">
        <f>IF(AND('Mapa final'!$AB$74="Baja",'Mapa final'!$AD$74="Leve"),CONCATENATE("R22C",'Mapa final'!$R$74),"")</f>
        <v/>
      </c>
      <c r="L157" s="173" t="str">
        <f>IF(AND('Mapa final'!$AB$75="Baja",'Mapa final'!$AD$75="Leve"),CONCATENATE("R22C",'Mapa final'!$R$75),"")</f>
        <v/>
      </c>
      <c r="M157" s="164" t="str">
        <f ca="1">IF(AND('Mapa final'!$AB$73="Baja",'Mapa final'!$AD$73="Menor"),CONCATENATE("R22C",'Mapa final'!$R$73),"")</f>
        <v>R22C1</v>
      </c>
      <c r="N157" s="193" t="str">
        <f>IF(AND('Mapa final'!$AB$74="Baja",'Mapa final'!$AD$74="Menor"),CONCATENATE("R22C",'Mapa final'!$R$74),"")</f>
        <v>R22C2</v>
      </c>
      <c r="O157" s="165" t="str">
        <f>IF(AND('Mapa final'!$AB$75="Baja",'Mapa final'!$AD$75="Menor"),CONCATENATE("R22C",'Mapa final'!$R$75),"")</f>
        <v/>
      </c>
      <c r="P157" s="164" t="str">
        <f ca="1">IF(AND('Mapa final'!$AB$73="Baja",'Mapa final'!$AD$73="Moderado"),CONCATENATE("R22C",'Mapa final'!$R$73),"")</f>
        <v/>
      </c>
      <c r="Q157" s="193" t="str">
        <f>IF(AND('Mapa final'!$AB$74="Baja",'Mapa final'!$AD$74="Moderado"),CONCATENATE("R22C",'Mapa final'!$R$74),"")</f>
        <v/>
      </c>
      <c r="R157" s="165" t="str">
        <f>IF(AND('Mapa final'!$AB$75="Baja",'Mapa final'!$AD$75="Moderado"),CONCATENATE("R22C",'Mapa final'!$R$75),"")</f>
        <v/>
      </c>
      <c r="S157" s="83" t="str">
        <f ca="1">IF(AND('Mapa final'!$AB$73="Baja",'Mapa final'!$AD$73="Mayor"),CONCATENATE("R22C",'Mapa final'!$R$73),"")</f>
        <v/>
      </c>
      <c r="T157" s="195" t="str">
        <f>IF(AND('Mapa final'!$AB$74="Baja",'Mapa final'!$AD$74="Mayor"),CONCATENATE("R22C",'Mapa final'!$R$74),"")</f>
        <v/>
      </c>
      <c r="U157" s="84" t="str">
        <f>IF(AND('Mapa final'!$AB$75="Baja",'Mapa final'!$AD$75="Mayor"),CONCATENATE("R22C",'Mapa final'!$R$75),"")</f>
        <v/>
      </c>
      <c r="V157" s="159" t="str">
        <f ca="1">IF(AND('Mapa final'!$AB$73="Baja",'Mapa final'!$AD$73="Catastrófico"),CONCATENATE("R22C",'Mapa final'!$R$73),"")</f>
        <v/>
      </c>
      <c r="W157" s="194" t="str">
        <f>IF(AND('Mapa final'!$AB$74="Baja",'Mapa final'!$AD$74="Catastrófico"),CONCATENATE("R22C",'Mapa final'!$R$74),"")</f>
        <v/>
      </c>
      <c r="X157" s="160" t="str">
        <f>IF(AND('Mapa final'!$AB$75="Baja",'Mapa final'!$AD$75="Catastrófico"),CONCATENATE("R22C",'Mapa final'!$R$75),"")</f>
        <v/>
      </c>
      <c r="Y157" s="38"/>
      <c r="Z157" s="366"/>
      <c r="AA157" s="367"/>
      <c r="AB157" s="367"/>
      <c r="AC157" s="367"/>
      <c r="AD157" s="367"/>
      <c r="AE157" s="36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row>
    <row r="158" spans="1:61" ht="15" customHeight="1" x14ac:dyDescent="0.25">
      <c r="A158" s="38"/>
      <c r="B158" s="355"/>
      <c r="C158" s="356"/>
      <c r="D158" s="357"/>
      <c r="E158" s="337"/>
      <c r="F158" s="338"/>
      <c r="G158" s="338"/>
      <c r="H158" s="338"/>
      <c r="I158" s="338"/>
      <c r="J158" s="172" t="str">
        <f ca="1">IF(AND('Mapa final'!$AB$76="Baja",'Mapa final'!$AD$76="Leve"),CONCATENATE("R23C",'Mapa final'!$R$76),"")</f>
        <v/>
      </c>
      <c r="K158" s="199" t="str">
        <f>IF(AND('Mapa final'!$AB$77="Baja",'Mapa final'!$AD$77="Leve"),CONCATENATE("R23C",'Mapa final'!$R$77),"")</f>
        <v/>
      </c>
      <c r="L158" s="173" t="str">
        <f>IF(AND('Mapa final'!$AB$78="Baja",'Mapa final'!$AD$78="Leve"),CONCATENATE("R23C",'Mapa final'!$R$78),"")</f>
        <v/>
      </c>
      <c r="M158" s="164" t="str">
        <f ca="1">IF(AND('Mapa final'!$AB$76="Baja",'Mapa final'!$AD$76="Menor"),CONCATENATE("R23C",'Mapa final'!$R$76),"")</f>
        <v>R23C1</v>
      </c>
      <c r="N158" s="193" t="str">
        <f>IF(AND('Mapa final'!$AB$77="Baja",'Mapa final'!$AD$77="Menor"),CONCATENATE("R23C",'Mapa final'!$R$77),"")</f>
        <v/>
      </c>
      <c r="O158" s="165" t="str">
        <f>IF(AND('Mapa final'!$AB$78="Baja",'Mapa final'!$AD$78="Menor"),CONCATENATE("R23C",'Mapa final'!$R$78),"")</f>
        <v/>
      </c>
      <c r="P158" s="164" t="str">
        <f ca="1">IF(AND('Mapa final'!$AB$76="Baja",'Mapa final'!$AD$76="Moderado"),CONCATENATE("R23C",'Mapa final'!$R$76),"")</f>
        <v/>
      </c>
      <c r="Q158" s="193" t="str">
        <f>IF(AND('Mapa final'!$AB$77="Baja",'Mapa final'!$AD$77="Moderado"),CONCATENATE("R23C",'Mapa final'!$R$77),"")</f>
        <v/>
      </c>
      <c r="R158" s="165" t="str">
        <f>IF(AND('Mapa final'!$AB$78="Baja",'Mapa final'!$AD$78="Moderado"),CONCATENATE("R23C",'Mapa final'!$R$78),"")</f>
        <v/>
      </c>
      <c r="S158" s="83" t="str">
        <f ca="1">IF(AND('Mapa final'!$AB$76="Baja",'Mapa final'!$AD$76="Mayor"),CONCATENATE("R23C",'Mapa final'!$R$76),"")</f>
        <v/>
      </c>
      <c r="T158" s="195" t="str">
        <f>IF(AND('Mapa final'!$AB$77="Baja",'Mapa final'!$AD$77="Mayor"),CONCATENATE("R23C",'Mapa final'!$R$77),"")</f>
        <v/>
      </c>
      <c r="U158" s="84" t="str">
        <f>IF(AND('Mapa final'!$AB$78="Baja",'Mapa final'!$AD$78="Mayor"),CONCATENATE("R23C",'Mapa final'!$R$78),"")</f>
        <v/>
      </c>
      <c r="V158" s="159" t="str">
        <f ca="1">IF(AND('Mapa final'!$AB$76="Baja",'Mapa final'!$AD$76="Catastrófico"),CONCATENATE("R23C",'Mapa final'!$R$76),"")</f>
        <v/>
      </c>
      <c r="W158" s="194" t="str">
        <f>IF(AND('Mapa final'!$AB$77="Baja",'Mapa final'!$AD$77="Catastrófico"),CONCATENATE("R23C",'Mapa final'!$R$77),"")</f>
        <v/>
      </c>
      <c r="X158" s="160" t="str">
        <f>IF(AND('Mapa final'!$AB$78="Baja",'Mapa final'!$AD$78="Catastrófico"),CONCATENATE("R23C",'Mapa final'!$R$78),"")</f>
        <v/>
      </c>
      <c r="Y158" s="38"/>
      <c r="Z158" s="366"/>
      <c r="AA158" s="367"/>
      <c r="AB158" s="367"/>
      <c r="AC158" s="367"/>
      <c r="AD158" s="367"/>
      <c r="AE158" s="36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row>
    <row r="159" spans="1:61" ht="15" customHeight="1" x14ac:dyDescent="0.25">
      <c r="A159" s="38"/>
      <c r="B159" s="355"/>
      <c r="C159" s="356"/>
      <c r="D159" s="357"/>
      <c r="E159" s="337"/>
      <c r="F159" s="338"/>
      <c r="G159" s="338"/>
      <c r="H159" s="338"/>
      <c r="I159" s="338"/>
      <c r="J159" s="172" t="str">
        <f ca="1">IF(AND('Mapa final'!$AB$79="Baja",'Mapa final'!$AD$79="Leve"),CONCATENATE("R24C",'Mapa final'!$R$79),"")</f>
        <v/>
      </c>
      <c r="K159" s="199" t="str">
        <f>IF(AND('Mapa final'!$AB$80="Baja",'Mapa final'!$AD$80="Leve"),CONCATENATE("R24C",'Mapa final'!$R$80),"")</f>
        <v/>
      </c>
      <c r="L159" s="173" t="str">
        <f>IF(AND('Mapa final'!$AB$81="Baja",'Mapa final'!$AD$81="Leve"),CONCATENATE("R24C",'Mapa final'!$R$81),"")</f>
        <v/>
      </c>
      <c r="M159" s="164" t="str">
        <f ca="1">IF(AND('Mapa final'!$AB$79="Baja",'Mapa final'!$AD$79="Menor"),CONCATENATE("R24C",'Mapa final'!$R$79),"")</f>
        <v/>
      </c>
      <c r="N159" s="193" t="str">
        <f>IF(AND('Mapa final'!$AB$80="Baja",'Mapa final'!$AD$80="Menor"),CONCATENATE("R24C",'Mapa final'!$R$80),"")</f>
        <v/>
      </c>
      <c r="O159" s="165" t="str">
        <f>IF(AND('Mapa final'!$AB$81="Baja",'Mapa final'!$AD$81="Menor"),CONCATENATE("R24C",'Mapa final'!$R$81),"")</f>
        <v/>
      </c>
      <c r="P159" s="164" t="str">
        <f ca="1">IF(AND('Mapa final'!$AB$79="Baja",'Mapa final'!$AD$79="Moderado"),CONCATENATE("R24C",'Mapa final'!$R$79),"")</f>
        <v/>
      </c>
      <c r="Q159" s="193" t="str">
        <f>IF(AND('Mapa final'!$AB$80="Baja",'Mapa final'!$AD$80="Moderado"),CONCATENATE("R24C",'Mapa final'!$R$80),"")</f>
        <v/>
      </c>
      <c r="R159" s="165" t="str">
        <f>IF(AND('Mapa final'!$AB$81="Baja",'Mapa final'!$AD$81="Moderado"),CONCATENATE("R24C",'Mapa final'!$R$81),"")</f>
        <v/>
      </c>
      <c r="S159" s="83" t="str">
        <f ca="1">IF(AND('Mapa final'!$AB$79="Baja",'Mapa final'!$AD$79="Mayor"),CONCATENATE("R24C",'Mapa final'!$R$79),"")</f>
        <v/>
      </c>
      <c r="T159" s="195" t="str">
        <f>IF(AND('Mapa final'!$AB$80="Baja",'Mapa final'!$AD$80="Mayor"),CONCATENATE("R24C",'Mapa final'!$R$80),"")</f>
        <v/>
      </c>
      <c r="U159" s="84" t="str">
        <f>IF(AND('Mapa final'!$AB$81="Baja",'Mapa final'!$AD$81="Mayor"),CONCATENATE("R24C",'Mapa final'!$R$81),"")</f>
        <v/>
      </c>
      <c r="V159" s="159" t="str">
        <f ca="1">IF(AND('Mapa final'!$AB$79="Baja",'Mapa final'!$AD$79="Catastrófico"),CONCATENATE("R24C",'Mapa final'!$R$79),"")</f>
        <v/>
      </c>
      <c r="W159" s="194" t="str">
        <f>IF(AND('Mapa final'!$AB$80="Baja",'Mapa final'!$AD$80="Catastrófico"),CONCATENATE("R24C",'Mapa final'!$R$80),"")</f>
        <v/>
      </c>
      <c r="X159" s="160" t="str">
        <f>IF(AND('Mapa final'!$AB$81="Baja",'Mapa final'!$AD$81="Catastrófico"),CONCATENATE("R24C",'Mapa final'!$R$81),"")</f>
        <v/>
      </c>
      <c r="Y159" s="38"/>
      <c r="Z159" s="366"/>
      <c r="AA159" s="367"/>
      <c r="AB159" s="367"/>
      <c r="AC159" s="367"/>
      <c r="AD159" s="367"/>
      <c r="AE159" s="36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row>
    <row r="160" spans="1:61" ht="15" customHeight="1" x14ac:dyDescent="0.25">
      <c r="A160" s="38"/>
      <c r="B160" s="355"/>
      <c r="C160" s="356"/>
      <c r="D160" s="357"/>
      <c r="E160" s="337"/>
      <c r="F160" s="338"/>
      <c r="G160" s="338"/>
      <c r="H160" s="338"/>
      <c r="I160" s="338"/>
      <c r="J160" s="172" t="str">
        <f ca="1">IF(AND('Mapa final'!$AB$82="Baja",'Mapa final'!$AD$82="Leve"),CONCATENATE("R25C",'Mapa final'!$R$82),"")</f>
        <v/>
      </c>
      <c r="K160" s="199" t="str">
        <f>IF(AND('Mapa final'!$AB$83="Baja",'Mapa final'!$AD$83="Leve"),CONCATENATE("R25C",'Mapa final'!$R$83),"")</f>
        <v/>
      </c>
      <c r="L160" s="173" t="str">
        <f>IF(AND('Mapa final'!$AB$84="Baja",'Mapa final'!$AD$84="Leve"),CONCATENATE("R25C",'Mapa final'!$R$84),"")</f>
        <v/>
      </c>
      <c r="M160" s="164" t="str">
        <f ca="1">IF(AND('Mapa final'!$AB$82="Baja",'Mapa final'!$AD$82="Menor"),CONCATENATE("R25C",'Mapa final'!$R$82),"")</f>
        <v/>
      </c>
      <c r="N160" s="193" t="str">
        <f>IF(AND('Mapa final'!$AB$83="Baja",'Mapa final'!$AD$83="Menor"),CONCATENATE("R25C",'Mapa final'!$R$83),"")</f>
        <v/>
      </c>
      <c r="O160" s="165" t="str">
        <f>IF(AND('Mapa final'!$AB$84="Baja",'Mapa final'!$AD$84="Menor"),CONCATENATE("R25C",'Mapa final'!$R$84),"")</f>
        <v/>
      </c>
      <c r="P160" s="164" t="str">
        <f ca="1">IF(AND('Mapa final'!$AB$82="Baja",'Mapa final'!$AD$82="Moderado"),CONCATENATE("R25C",'Mapa final'!$R$82),"")</f>
        <v/>
      </c>
      <c r="Q160" s="193" t="str">
        <f>IF(AND('Mapa final'!$AB$83="Baja",'Mapa final'!$AD$83="Moderado"),CONCATENATE("R25C",'Mapa final'!$R$83),"")</f>
        <v/>
      </c>
      <c r="R160" s="165" t="str">
        <f>IF(AND('Mapa final'!$AB$84="Baja",'Mapa final'!$AD$84="Moderado"),CONCATENATE("R25C",'Mapa final'!$R$84),"")</f>
        <v/>
      </c>
      <c r="S160" s="83" t="str">
        <f ca="1">IF(AND('Mapa final'!$AB$82="Baja",'Mapa final'!$AD$82="Mayor"),CONCATENATE("R25C",'Mapa final'!$R$82),"")</f>
        <v/>
      </c>
      <c r="T160" s="195" t="str">
        <f>IF(AND('Mapa final'!$AB$83="Baja",'Mapa final'!$AD$83="Mayor"),CONCATENATE("R25C",'Mapa final'!$R$83),"")</f>
        <v/>
      </c>
      <c r="U160" s="84" t="str">
        <f>IF(AND('Mapa final'!$AB$84="Baja",'Mapa final'!$AD$84="Mayor"),CONCATENATE("R25C",'Mapa final'!$R$84),"")</f>
        <v/>
      </c>
      <c r="V160" s="159" t="str">
        <f ca="1">IF(AND('Mapa final'!$AB$82="Baja",'Mapa final'!$AD$82="Catastrófico"),CONCATENATE("R25C",'Mapa final'!$R$82),"")</f>
        <v/>
      </c>
      <c r="W160" s="194" t="str">
        <f>IF(AND('Mapa final'!$AB$83="Baja",'Mapa final'!$AD$83="Catastrófico"),CONCATENATE("R25C",'Mapa final'!$R$83),"")</f>
        <v/>
      </c>
      <c r="X160" s="160" t="str">
        <f>IF(AND('Mapa final'!$AB$84="Baja",'Mapa final'!$AD$84="Catastrófico"),CONCATENATE("R25C",'Mapa final'!$R$84),"")</f>
        <v/>
      </c>
      <c r="Y160" s="38"/>
      <c r="Z160" s="366"/>
      <c r="AA160" s="367"/>
      <c r="AB160" s="367"/>
      <c r="AC160" s="367"/>
      <c r="AD160" s="367"/>
      <c r="AE160" s="36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row>
    <row r="161" spans="1:61" ht="15" customHeight="1" x14ac:dyDescent="0.25">
      <c r="A161" s="38"/>
      <c r="B161" s="355"/>
      <c r="C161" s="356"/>
      <c r="D161" s="357"/>
      <c r="E161" s="337"/>
      <c r="F161" s="338"/>
      <c r="G161" s="338"/>
      <c r="H161" s="338"/>
      <c r="I161" s="338"/>
      <c r="J161" s="172" t="str">
        <f ca="1">IF(AND('Mapa final'!$AB$85="Baja",'Mapa final'!$AD$85="Leve"),CONCATENATE("R26C",'Mapa final'!$R$85),"")</f>
        <v/>
      </c>
      <c r="K161" s="199" t="str">
        <f>IF(AND('Mapa final'!$AB$86="Baja",'Mapa final'!$AD$86="Leve"),CONCATENATE("R26C",'Mapa final'!$R$86),"")</f>
        <v>R26C2</v>
      </c>
      <c r="L161" s="173" t="str">
        <f>IF(AND('Mapa final'!$AB$87="Baja",'Mapa final'!$AD$87="Leve"),CONCATENATE("R26C",'Mapa final'!$R$87),"")</f>
        <v/>
      </c>
      <c r="M161" s="164" t="str">
        <f ca="1">IF(AND('Mapa final'!$AB$85="Baja",'Mapa final'!$AD$85="Menor"),CONCATENATE("R26C",'Mapa final'!$R$85),"")</f>
        <v/>
      </c>
      <c r="N161" s="193" t="str">
        <f>IF(AND('Mapa final'!$AB$86="Baja",'Mapa final'!$AD$86="Menor"),CONCATENATE("R26C",'Mapa final'!$R$86),"")</f>
        <v/>
      </c>
      <c r="O161" s="165" t="str">
        <f>IF(AND('Mapa final'!$AB$87="Baja",'Mapa final'!$AD$87="Menor"),CONCATENATE("R26C",'Mapa final'!$R$87),"")</f>
        <v/>
      </c>
      <c r="P161" s="164" t="str">
        <f ca="1">IF(AND('Mapa final'!$AB$85="Baja",'Mapa final'!$AD$85="Moderado"),CONCATENATE("R26C",'Mapa final'!$R$85),"")</f>
        <v/>
      </c>
      <c r="Q161" s="193" t="str">
        <f>IF(AND('Mapa final'!$AB$86="Baja",'Mapa final'!$AD$86="Moderado"),CONCATENATE("R26C",'Mapa final'!$R$86),"")</f>
        <v/>
      </c>
      <c r="R161" s="165" t="str">
        <f>IF(AND('Mapa final'!$AB$87="Baja",'Mapa final'!$AD$87="Moderado"),CONCATENATE("R26C",'Mapa final'!$R$87),"")</f>
        <v/>
      </c>
      <c r="S161" s="83" t="str">
        <f ca="1">IF(AND('Mapa final'!$AB$85="Baja",'Mapa final'!$AD$85="Mayor"),CONCATENATE("R26C",'Mapa final'!$R$85),"")</f>
        <v/>
      </c>
      <c r="T161" s="195" t="str">
        <f>IF(AND('Mapa final'!$AB$86="Baja",'Mapa final'!$AD$86="Mayor"),CONCATENATE("R26C",'Mapa final'!$R$86),"")</f>
        <v/>
      </c>
      <c r="U161" s="84" t="str">
        <f>IF(AND('Mapa final'!$AB$87="Baja",'Mapa final'!$AD$87="Mayor"),CONCATENATE("R26C",'Mapa final'!$R$87),"")</f>
        <v/>
      </c>
      <c r="V161" s="159" t="str">
        <f ca="1">IF(AND('Mapa final'!$AB$85="Baja",'Mapa final'!$AD$85="Catastrófico"),CONCATENATE("R26C",'Mapa final'!$R$85),"")</f>
        <v/>
      </c>
      <c r="W161" s="194" t="str">
        <f>IF(AND('Mapa final'!$AB$86="Baja",'Mapa final'!$AD$86="Catastrófico"),CONCATENATE("R26C",'Mapa final'!$R$86),"")</f>
        <v/>
      </c>
      <c r="X161" s="160" t="str">
        <f>IF(AND('Mapa final'!$AB$87="Baja",'Mapa final'!$AD$87="Catastrófico"),CONCATENATE("R26C",'Mapa final'!$R$87),"")</f>
        <v/>
      </c>
      <c r="Y161" s="38"/>
      <c r="Z161" s="366"/>
      <c r="AA161" s="367"/>
      <c r="AB161" s="367"/>
      <c r="AC161" s="367"/>
      <c r="AD161" s="367"/>
      <c r="AE161" s="36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row>
    <row r="162" spans="1:61" ht="15" customHeight="1" x14ac:dyDescent="0.25">
      <c r="A162" s="38"/>
      <c r="B162" s="355"/>
      <c r="C162" s="356"/>
      <c r="D162" s="357"/>
      <c r="E162" s="339"/>
      <c r="F162" s="338"/>
      <c r="G162" s="338"/>
      <c r="H162" s="338"/>
      <c r="I162" s="338"/>
      <c r="J162" s="172" t="str">
        <f ca="1">IF(AND('Mapa final'!$AB$88="Baja",'Mapa final'!$AD$88="Leve"),CONCATENATE("R27C",'Mapa final'!$R$88),"")</f>
        <v>R27C1</v>
      </c>
      <c r="K162" s="199" t="str">
        <f>IF(AND('Mapa final'!$AB$89="Baja",'Mapa final'!$AD$89="Leve"),CONCATENATE("R27C",'Mapa final'!$R$89),"")</f>
        <v/>
      </c>
      <c r="L162" s="173" t="str">
        <f>IF(AND('Mapa final'!$AB$90="Baja",'Mapa final'!$AD$90="Leve"),CONCATENATE("R27C",'Mapa final'!$R$90),"")</f>
        <v/>
      </c>
      <c r="M162" s="164" t="str">
        <f ca="1">IF(AND('Mapa final'!$AB$88="Baja",'Mapa final'!$AD$88="Menor"),CONCATENATE("R27C",'Mapa final'!$R$88),"")</f>
        <v/>
      </c>
      <c r="N162" s="193" t="str">
        <f>IF(AND('Mapa final'!$AB$89="Baja",'Mapa final'!$AD$89="Menor"),CONCATENATE("R27C",'Mapa final'!$R$89),"")</f>
        <v/>
      </c>
      <c r="O162" s="165" t="str">
        <f>IF(AND('Mapa final'!$AB$90="Baja",'Mapa final'!$AD$90="Menor"),CONCATENATE("R27C",'Mapa final'!$R$90),"")</f>
        <v/>
      </c>
      <c r="P162" s="164" t="str">
        <f ca="1">IF(AND('Mapa final'!$AB$88="Baja",'Mapa final'!$AD$88="Moderado"),CONCATENATE("R27C",'Mapa final'!$R$88),"")</f>
        <v/>
      </c>
      <c r="Q162" s="193" t="str">
        <f>IF(AND('Mapa final'!$AB$89="Baja",'Mapa final'!$AD$89="Moderado"),CONCATENATE("R27C",'Mapa final'!$R$89),"")</f>
        <v/>
      </c>
      <c r="R162" s="165" t="str">
        <f>IF(AND('Mapa final'!$AB$90="Baja",'Mapa final'!$AD$90="Moderado"),CONCATENATE("R27C",'Mapa final'!$R$90),"")</f>
        <v/>
      </c>
      <c r="S162" s="83" t="str">
        <f ca="1">IF(AND('Mapa final'!$AB$88="Baja",'Mapa final'!$AD$88="Mayor"),CONCATENATE("R27C",'Mapa final'!$R$88),"")</f>
        <v/>
      </c>
      <c r="T162" s="195" t="str">
        <f>IF(AND('Mapa final'!$AB$89="Baja",'Mapa final'!$AD$89="Mayor"),CONCATENATE("R27C",'Mapa final'!$R$89),"")</f>
        <v/>
      </c>
      <c r="U162" s="84" t="str">
        <f>IF(AND('Mapa final'!$AB$90="Baja",'Mapa final'!$AD$90="Mayor"),CONCATENATE("R27C",'Mapa final'!$R$90),"")</f>
        <v/>
      </c>
      <c r="V162" s="159" t="str">
        <f ca="1">IF(AND('Mapa final'!$AB$88="Baja",'Mapa final'!$AD$88="Catastrófico"),CONCATENATE("R27C",'Mapa final'!$R$88),"")</f>
        <v/>
      </c>
      <c r="W162" s="194" t="str">
        <f>IF(AND('Mapa final'!$AB$89="Baja",'Mapa final'!$AD$89="Catastrófico"),CONCATENATE("R27C",'Mapa final'!$R$89),"")</f>
        <v/>
      </c>
      <c r="X162" s="160" t="str">
        <f>IF(AND('Mapa final'!$AB$90="Baja",'Mapa final'!$AD$90="Catastrófico"),CONCATENATE("R27C",'Mapa final'!$R$90),"")</f>
        <v/>
      </c>
      <c r="Y162" s="38"/>
      <c r="Z162" s="366"/>
      <c r="AA162" s="367"/>
      <c r="AB162" s="367"/>
      <c r="AC162" s="367"/>
      <c r="AD162" s="367"/>
      <c r="AE162" s="36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row>
    <row r="163" spans="1:61" ht="15" customHeight="1" x14ac:dyDescent="0.25">
      <c r="A163" s="38"/>
      <c r="B163" s="355"/>
      <c r="C163" s="356"/>
      <c r="D163" s="357"/>
      <c r="E163" s="339"/>
      <c r="F163" s="338"/>
      <c r="G163" s="338"/>
      <c r="H163" s="338"/>
      <c r="I163" s="338"/>
      <c r="J163" s="172" t="str">
        <f ca="1">IF(AND('Mapa final'!$AB$91="Baja",'Mapa final'!$AD$91="Leve"),CONCATENATE("R28C",'Mapa final'!$R$91),"")</f>
        <v/>
      </c>
      <c r="K163" s="199" t="str">
        <f>IF(AND('Mapa final'!$AB$92="Baja",'Mapa final'!$AD$92="Leve"),CONCATENATE("R28C",'Mapa final'!$R$92),"")</f>
        <v/>
      </c>
      <c r="L163" s="173" t="str">
        <f>IF(AND('Mapa final'!$AB$93="Baja",'Mapa final'!$AD$93="Leve"),CONCATENATE("R28C",'Mapa final'!$R$93),"")</f>
        <v/>
      </c>
      <c r="M163" s="164" t="str">
        <f ca="1">IF(AND('Mapa final'!$AB$91="Baja",'Mapa final'!$AD$91="Menor"),CONCATENATE("R28C",'Mapa final'!$R$91),"")</f>
        <v/>
      </c>
      <c r="N163" s="193" t="str">
        <f>IF(AND('Mapa final'!$AB$92="Baja",'Mapa final'!$AD$92="Menor"),CONCATENATE("R28C",'Mapa final'!$R$92),"")</f>
        <v/>
      </c>
      <c r="O163" s="165" t="str">
        <f>IF(AND('Mapa final'!$AB$93="Baja",'Mapa final'!$AD$93="Menor"),CONCATENATE("R28C",'Mapa final'!$R$93),"")</f>
        <v/>
      </c>
      <c r="P163" s="164" t="str">
        <f ca="1">IF(AND('Mapa final'!$AB$91="Baja",'Mapa final'!$AD$91="Moderado"),CONCATENATE("R28C",'Mapa final'!$R$91),"")</f>
        <v/>
      </c>
      <c r="Q163" s="193" t="str">
        <f>IF(AND('Mapa final'!$AB$92="Baja",'Mapa final'!$AD$92="Moderado"),CONCATENATE("R28C",'Mapa final'!$R$92),"")</f>
        <v/>
      </c>
      <c r="R163" s="165" t="str">
        <f>IF(AND('Mapa final'!$AB$93="Baja",'Mapa final'!$AD$93="Moderado"),CONCATENATE("R28C",'Mapa final'!$R$93),"")</f>
        <v/>
      </c>
      <c r="S163" s="83" t="str">
        <f ca="1">IF(AND('Mapa final'!$AB$91="Baja",'Mapa final'!$AD$91="Mayor"),CONCATENATE("R28C",'Mapa final'!$R$91),"")</f>
        <v/>
      </c>
      <c r="T163" s="195" t="str">
        <f>IF(AND('Mapa final'!$AB$92="Baja",'Mapa final'!$AD$92="Mayor"),CONCATENATE("R28C",'Mapa final'!$R$92),"")</f>
        <v/>
      </c>
      <c r="U163" s="84" t="str">
        <f>IF(AND('Mapa final'!$AB$93="Baja",'Mapa final'!$AD$93="Mayor"),CONCATENATE("R28C",'Mapa final'!$R$93),"")</f>
        <v/>
      </c>
      <c r="V163" s="159" t="str">
        <f ca="1">IF(AND('Mapa final'!$AB$91="Baja",'Mapa final'!$AD$91="Catastrófico"),CONCATENATE("R28C",'Mapa final'!$R$91),"")</f>
        <v/>
      </c>
      <c r="W163" s="194" t="str">
        <f>IF(AND('Mapa final'!$AB$92="Baja",'Mapa final'!$AD$92="Catastrófico"),CONCATENATE("R28C",'Mapa final'!$R$92),"")</f>
        <v/>
      </c>
      <c r="X163" s="160" t="str">
        <f>IF(AND('Mapa final'!$AB$93="Baja",'Mapa final'!$AD$93="Catastrófico"),CONCATENATE("R28C",'Mapa final'!$R$93),"")</f>
        <v/>
      </c>
      <c r="Y163" s="38"/>
      <c r="Z163" s="366"/>
      <c r="AA163" s="367"/>
      <c r="AB163" s="367"/>
      <c r="AC163" s="367"/>
      <c r="AD163" s="367"/>
      <c r="AE163" s="36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row>
    <row r="164" spans="1:61" ht="15" customHeight="1" x14ac:dyDescent="0.25">
      <c r="A164" s="38"/>
      <c r="B164" s="355"/>
      <c r="C164" s="356"/>
      <c r="D164" s="357"/>
      <c r="E164" s="339"/>
      <c r="F164" s="338"/>
      <c r="G164" s="338"/>
      <c r="H164" s="338"/>
      <c r="I164" s="338"/>
      <c r="J164" s="172" t="str">
        <f ca="1">IF(AND('Mapa final'!$AB$94="Baja",'Mapa final'!$AD$94="Leve"),CONCATENATE("R29C",'Mapa final'!$R$94),"")</f>
        <v/>
      </c>
      <c r="K164" s="199" t="str">
        <f>IF(AND('Mapa final'!$AB$95="Baja",'Mapa final'!$AD$95="Leve"),CONCATENATE("R29C",'Mapa final'!$R$95),"")</f>
        <v/>
      </c>
      <c r="L164" s="173" t="str">
        <f>IF(AND('Mapa final'!$AB$96="Baja",'Mapa final'!$AD$96="Leve"),CONCATENATE("R29C",'Mapa final'!$R$96),"")</f>
        <v/>
      </c>
      <c r="M164" s="164" t="str">
        <f ca="1">IF(AND('Mapa final'!$AB$94="Baja",'Mapa final'!$AD$94="Menor"),CONCATENATE("R29C",'Mapa final'!$R$94),"")</f>
        <v/>
      </c>
      <c r="N164" s="193" t="str">
        <f>IF(AND('Mapa final'!$AB$95="Baja",'Mapa final'!$AD$95="Menor"),CONCATENATE("R29C",'Mapa final'!$R$95),"")</f>
        <v/>
      </c>
      <c r="O164" s="165" t="str">
        <f>IF(AND('Mapa final'!$AB$96="Baja",'Mapa final'!$AD$96="Menor"),CONCATENATE("R29C",'Mapa final'!$R$96),"")</f>
        <v/>
      </c>
      <c r="P164" s="164" t="str">
        <f ca="1">IF(AND('Mapa final'!$AB$94="Baja",'Mapa final'!$AD$94="Moderado"),CONCATENATE("R29C",'Mapa final'!$R$94),"")</f>
        <v/>
      </c>
      <c r="Q164" s="193" t="str">
        <f>IF(AND('Mapa final'!$AB$95="Baja",'Mapa final'!$AD$95="Moderado"),CONCATENATE("R29C",'Mapa final'!$R$95),"")</f>
        <v/>
      </c>
      <c r="R164" s="165" t="str">
        <f>IF(AND('Mapa final'!$AB$96="Baja",'Mapa final'!$AD$96="Moderado"),CONCATENATE("R29C",'Mapa final'!$R$96),"")</f>
        <v/>
      </c>
      <c r="S164" s="83" t="str">
        <f ca="1">IF(AND('Mapa final'!$AB$94="Baja",'Mapa final'!$AD$94="Mayor"),CONCATENATE("R29C",'Mapa final'!$R$94),"")</f>
        <v/>
      </c>
      <c r="T164" s="195" t="str">
        <f>IF(AND('Mapa final'!$AB$95="Baja",'Mapa final'!$AD$95="Mayor"),CONCATENATE("R29C",'Mapa final'!$R$95),"")</f>
        <v/>
      </c>
      <c r="U164" s="84" t="str">
        <f>IF(AND('Mapa final'!$AB$96="Baja",'Mapa final'!$AD$96="Mayor"),CONCATENATE("R29C",'Mapa final'!$R$96),"")</f>
        <v/>
      </c>
      <c r="V164" s="159" t="str">
        <f ca="1">IF(AND('Mapa final'!$AB$94="Baja",'Mapa final'!$AD$94="Catastrófico"),CONCATENATE("R29C",'Mapa final'!$R$94),"")</f>
        <v/>
      </c>
      <c r="W164" s="194" t="str">
        <f>IF(AND('Mapa final'!$AB$95="Baja",'Mapa final'!$AD$95="Catastrófico"),CONCATENATE("R29C",'Mapa final'!$R$95),"")</f>
        <v/>
      </c>
      <c r="X164" s="160" t="str">
        <f>IF(AND('Mapa final'!$AB$96="Baja",'Mapa final'!$AD$96="Catastrófico"),CONCATENATE("R29C",'Mapa final'!$R$96),"")</f>
        <v/>
      </c>
      <c r="Y164" s="38"/>
      <c r="Z164" s="366"/>
      <c r="AA164" s="367"/>
      <c r="AB164" s="367"/>
      <c r="AC164" s="367"/>
      <c r="AD164" s="367"/>
      <c r="AE164" s="36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row>
    <row r="165" spans="1:61" ht="15" customHeight="1" x14ac:dyDescent="0.25">
      <c r="A165" s="38"/>
      <c r="B165" s="355"/>
      <c r="C165" s="356"/>
      <c r="D165" s="357"/>
      <c r="E165" s="339"/>
      <c r="F165" s="338"/>
      <c r="G165" s="338"/>
      <c r="H165" s="338"/>
      <c r="I165" s="338"/>
      <c r="J165" s="172" t="str">
        <f ca="1">IF(AND('Mapa final'!$AB$97="Baja",'Mapa final'!$AD$97="Leve"),CONCATENATE("R30C",'Mapa final'!$R$97),"")</f>
        <v/>
      </c>
      <c r="K165" s="199" t="str">
        <f>IF(AND('Mapa final'!$AB$98="Baja",'Mapa final'!$AD$98="Leve"),CONCATENATE("R30C",'Mapa final'!$R$98),"")</f>
        <v/>
      </c>
      <c r="L165" s="173" t="str">
        <f>IF(AND('Mapa final'!$AB$99="Baja",'Mapa final'!$AD$99="Leve"),CONCATENATE("R30C",'Mapa final'!$R$99),"")</f>
        <v/>
      </c>
      <c r="M165" s="164" t="str">
        <f ca="1">IF(AND('Mapa final'!$AB$97="Baja",'Mapa final'!$AD$97="Menor"),CONCATENATE("R30C",'Mapa final'!$R$97),"")</f>
        <v/>
      </c>
      <c r="N165" s="193" t="str">
        <f>IF(AND('Mapa final'!$AB$98="Baja",'Mapa final'!$AD$98="Menor"),CONCATENATE("R30C",'Mapa final'!$R$98),"")</f>
        <v/>
      </c>
      <c r="O165" s="165" t="str">
        <f>IF(AND('Mapa final'!$AB$99="Baja",'Mapa final'!$AD$99="Menor"),CONCATENATE("R30C",'Mapa final'!$R$99),"")</f>
        <v/>
      </c>
      <c r="P165" s="164" t="str">
        <f ca="1">IF(AND('Mapa final'!$AB$97="Baja",'Mapa final'!$AD$97="Moderado"),CONCATENATE("R30C",'Mapa final'!$R$97),"")</f>
        <v/>
      </c>
      <c r="Q165" s="193" t="str">
        <f>IF(AND('Mapa final'!$AB$98="Baja",'Mapa final'!$AD$98="Moderado"),CONCATENATE("R30C",'Mapa final'!$R$98),"")</f>
        <v/>
      </c>
      <c r="R165" s="165" t="str">
        <f>IF(AND('Mapa final'!$AB$99="Baja",'Mapa final'!$AD$99="Moderado"),CONCATENATE("R30C",'Mapa final'!$R$99),"")</f>
        <v/>
      </c>
      <c r="S165" s="83" t="str">
        <f ca="1">IF(AND('Mapa final'!$AB$97="Baja",'Mapa final'!$AD$97="Mayor"),CONCATENATE("R30C",'Mapa final'!$R$97),"")</f>
        <v>R30C1</v>
      </c>
      <c r="T165" s="195" t="str">
        <f>IF(AND('Mapa final'!$AB$98="Baja",'Mapa final'!$AD$98="Mayor"),CONCATENATE("R30C",'Mapa final'!$R$98),"")</f>
        <v/>
      </c>
      <c r="U165" s="84" t="str">
        <f>IF(AND('Mapa final'!$AB$99="Baja",'Mapa final'!$AD$99="Mayor"),CONCATENATE("R30C",'Mapa final'!$R$99),"")</f>
        <v/>
      </c>
      <c r="V165" s="159" t="str">
        <f ca="1">IF(AND('Mapa final'!$AB$97="Baja",'Mapa final'!$AD$97="Catastrófico"),CONCATENATE("R30C",'Mapa final'!$R$97),"")</f>
        <v/>
      </c>
      <c r="W165" s="194" t="str">
        <f>IF(AND('Mapa final'!$AB$98="Baja",'Mapa final'!$AD$98="Catastrófico"),CONCATENATE("R30C",'Mapa final'!$R$98),"")</f>
        <v/>
      </c>
      <c r="X165" s="160" t="str">
        <f>IF(AND('Mapa final'!$AB$99="Baja",'Mapa final'!$AD$99="Catastrófico"),CONCATENATE("R30C",'Mapa final'!$R$99),"")</f>
        <v/>
      </c>
      <c r="Y165" s="38"/>
      <c r="Z165" s="366"/>
      <c r="AA165" s="367"/>
      <c r="AB165" s="367"/>
      <c r="AC165" s="367"/>
      <c r="AD165" s="367"/>
      <c r="AE165" s="36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row>
    <row r="166" spans="1:61" ht="15" customHeight="1" x14ac:dyDescent="0.25">
      <c r="A166" s="38"/>
      <c r="B166" s="355"/>
      <c r="C166" s="356"/>
      <c r="D166" s="357"/>
      <c r="E166" s="339"/>
      <c r="F166" s="338"/>
      <c r="G166" s="338"/>
      <c r="H166" s="338"/>
      <c r="I166" s="338"/>
      <c r="J166" s="172" t="str">
        <f ca="1">IF(AND('Mapa final'!$AB$100="Baja",'Mapa final'!$AD$100="Leve"),CONCATENATE("R31C",'Mapa final'!$R$100),"")</f>
        <v/>
      </c>
      <c r="K166" s="199" t="str">
        <f>IF(AND('Mapa final'!$AB$101="Baja",'Mapa final'!$AD$101="Leve"),CONCATENATE("R31C",'Mapa final'!$R$101),"")</f>
        <v/>
      </c>
      <c r="L166" s="173" t="str">
        <f>IF(AND('Mapa final'!$AB$102="Baja",'Mapa final'!$AD$102="Leve"),CONCATENATE("R31C",'Mapa final'!$R$102),"")</f>
        <v/>
      </c>
      <c r="M166" s="164" t="str">
        <f ca="1">IF(AND('Mapa final'!$AB$100="Baja",'Mapa final'!$AD$100="Menor"),CONCATENATE("R31C",'Mapa final'!$R$100),"")</f>
        <v/>
      </c>
      <c r="N166" s="193" t="str">
        <f>IF(AND('Mapa final'!$AB$101="Baja",'Mapa final'!$AD$101="Menor"),CONCATENATE("R31C",'Mapa final'!$R$101),"")</f>
        <v/>
      </c>
      <c r="O166" s="165" t="str">
        <f>IF(AND('Mapa final'!$AB$102="Baja",'Mapa final'!$AD$102="Menor"),CONCATENATE("R31C",'Mapa final'!$R$102),"")</f>
        <v/>
      </c>
      <c r="P166" s="164" t="str">
        <f ca="1">IF(AND('Mapa final'!$AB$100="Baja",'Mapa final'!$AD$100="Moderado"),CONCATENATE("R31C",'Mapa final'!$R$100),"")</f>
        <v>R31C1</v>
      </c>
      <c r="Q166" s="193" t="str">
        <f>IF(AND('Mapa final'!$AB$101="Baja",'Mapa final'!$AD$101="Moderado"),CONCATENATE("R31C",'Mapa final'!$R$101),"")</f>
        <v/>
      </c>
      <c r="R166" s="165" t="str">
        <f>IF(AND('Mapa final'!$AB$102="Baja",'Mapa final'!$AD$102="Moderado"),CONCATENATE("R31C",'Mapa final'!$R$102),"")</f>
        <v/>
      </c>
      <c r="S166" s="83" t="str">
        <f ca="1">IF(AND('Mapa final'!$AB$100="Baja",'Mapa final'!$AD$100="Mayor"),CONCATENATE("R31C",'Mapa final'!$R$100),"")</f>
        <v/>
      </c>
      <c r="T166" s="195" t="str">
        <f>IF(AND('Mapa final'!$AB$101="Baja",'Mapa final'!$AD$101="Mayor"),CONCATENATE("R31C",'Mapa final'!$R$101),"")</f>
        <v/>
      </c>
      <c r="U166" s="84" t="str">
        <f>IF(AND('Mapa final'!$AB$102="Baja",'Mapa final'!$AD$102="Mayor"),CONCATENATE("R31C",'Mapa final'!$R$102),"")</f>
        <v/>
      </c>
      <c r="V166" s="159" t="str">
        <f ca="1">IF(AND('Mapa final'!$AB$100="Baja",'Mapa final'!$AD$100="Catastrófico"),CONCATENATE("R31C",'Mapa final'!$R$100),"")</f>
        <v/>
      </c>
      <c r="W166" s="194" t="str">
        <f>IF(AND('Mapa final'!$AB$101="Baja",'Mapa final'!$AD$101="Catastrófico"),CONCATENATE("R31C",'Mapa final'!$R$101),"")</f>
        <v/>
      </c>
      <c r="X166" s="160" t="str">
        <f>IF(AND('Mapa final'!$AB$102="Baja",'Mapa final'!$AD$102="Catastrófico"),CONCATENATE("R31C",'Mapa final'!$R$102),"")</f>
        <v/>
      </c>
      <c r="Y166" s="38"/>
      <c r="Z166" s="366"/>
      <c r="AA166" s="367"/>
      <c r="AB166" s="367"/>
      <c r="AC166" s="367"/>
      <c r="AD166" s="367"/>
      <c r="AE166" s="36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row>
    <row r="167" spans="1:61" ht="15" customHeight="1" x14ac:dyDescent="0.25">
      <c r="A167" s="38"/>
      <c r="B167" s="355"/>
      <c r="C167" s="356"/>
      <c r="D167" s="357"/>
      <c r="E167" s="339"/>
      <c r="F167" s="338"/>
      <c r="G167" s="338"/>
      <c r="H167" s="338"/>
      <c r="I167" s="338"/>
      <c r="J167" s="172" t="str">
        <f ca="1">IF(AND('Mapa final'!$AB$103="Baja",'Mapa final'!$AD$103="Leve"),CONCATENATE("R32C",'Mapa final'!$R$103),"")</f>
        <v/>
      </c>
      <c r="K167" s="199" t="str">
        <f>IF(AND('Mapa final'!$AB$104="Baja",'Mapa final'!$AD$104="Leve"),CONCATENATE("R32C",'Mapa final'!$R$104),"")</f>
        <v/>
      </c>
      <c r="L167" s="173" t="str">
        <f>IF(AND('Mapa final'!$AB$105="Baja",'Mapa final'!$AD$105="Leve"),CONCATENATE("R32C",'Mapa final'!$R$105),"")</f>
        <v/>
      </c>
      <c r="M167" s="164" t="str">
        <f ca="1">IF(AND('Mapa final'!$AB$103="Baja",'Mapa final'!$AD$103="Menor"),CONCATENATE("R32C",'Mapa final'!$R$103),"")</f>
        <v/>
      </c>
      <c r="N167" s="193" t="str">
        <f>IF(AND('Mapa final'!$AB$104="Baja",'Mapa final'!$AD$104="Menor"),CONCATENATE("R32C",'Mapa final'!$R$104),"")</f>
        <v/>
      </c>
      <c r="O167" s="165" t="str">
        <f>IF(AND('Mapa final'!$AB$105="Baja",'Mapa final'!$AD$105="Menor"),CONCATENATE("R32C",'Mapa final'!$R$105),"")</f>
        <v/>
      </c>
      <c r="P167" s="164" t="str">
        <f ca="1">IF(AND('Mapa final'!$AB$103="Baja",'Mapa final'!$AD$103="Moderado"),CONCATENATE("R32C",'Mapa final'!$R$103),"")</f>
        <v>R32C1</v>
      </c>
      <c r="Q167" s="193" t="str">
        <f>IF(AND('Mapa final'!$AB$104="Baja",'Mapa final'!$AD$104="Moderado"),CONCATENATE("R32C",'Mapa final'!$R$104),"")</f>
        <v/>
      </c>
      <c r="R167" s="165" t="str">
        <f>IF(AND('Mapa final'!$AB$105="Baja",'Mapa final'!$AD$105="Moderado"),CONCATENATE("R32C",'Mapa final'!$R$105),"")</f>
        <v/>
      </c>
      <c r="S167" s="83" t="str">
        <f ca="1">IF(AND('Mapa final'!$AB$103="Baja",'Mapa final'!$AD$103="Mayor"),CONCATENATE("R32C",'Mapa final'!$R$103),"")</f>
        <v/>
      </c>
      <c r="T167" s="195" t="str">
        <f>IF(AND('Mapa final'!$AB$104="Baja",'Mapa final'!$AD$104="Mayor"),CONCATENATE("R32C",'Mapa final'!$R$104),"")</f>
        <v/>
      </c>
      <c r="U167" s="84" t="str">
        <f>IF(AND('Mapa final'!$AB$105="Baja",'Mapa final'!$AD$105="Mayor"),CONCATENATE("R32C",'Mapa final'!$R$105),"")</f>
        <v/>
      </c>
      <c r="V167" s="159" t="str">
        <f ca="1">IF(AND('Mapa final'!$AB$103="Baja",'Mapa final'!$AD$103="Catastrófico"),CONCATENATE("R32C",'Mapa final'!$R$103),"")</f>
        <v/>
      </c>
      <c r="W167" s="194" t="str">
        <f>IF(AND('Mapa final'!$AB$104="Baja",'Mapa final'!$AD$104="Catastrófico"),CONCATENATE("R32C",'Mapa final'!$R$104),"")</f>
        <v/>
      </c>
      <c r="X167" s="160" t="str">
        <f>IF(AND('Mapa final'!$AB$105="Baja",'Mapa final'!$AD$105="Catastrófico"),CONCATENATE("R32C",'Mapa final'!$R$105),"")</f>
        <v/>
      </c>
      <c r="Y167" s="38"/>
      <c r="Z167" s="366"/>
      <c r="AA167" s="367"/>
      <c r="AB167" s="367"/>
      <c r="AC167" s="367"/>
      <c r="AD167" s="367"/>
      <c r="AE167" s="36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row>
    <row r="168" spans="1:61" ht="15" customHeight="1" x14ac:dyDescent="0.25">
      <c r="A168" s="38"/>
      <c r="B168" s="355"/>
      <c r="C168" s="356"/>
      <c r="D168" s="357"/>
      <c r="E168" s="339"/>
      <c r="F168" s="338"/>
      <c r="G168" s="338"/>
      <c r="H168" s="338"/>
      <c r="I168" s="338"/>
      <c r="J168" s="172" t="str">
        <f ca="1">IF(AND('Mapa final'!$AB$106="Baja",'Mapa final'!$AD$106="Leve"),CONCATENATE("R33C",'Mapa final'!$R$106),"")</f>
        <v/>
      </c>
      <c r="K168" s="199" t="str">
        <f>IF(AND('Mapa final'!$AB$107="Baja",'Mapa final'!$AD$107="Leve"),CONCATENATE("R33C",'Mapa final'!$R$107),"")</f>
        <v/>
      </c>
      <c r="L168" s="173" t="str">
        <f>IF(AND('Mapa final'!$AB$108="Baja",'Mapa final'!$AD$108="Leve"),CONCATENATE("R33C",'Mapa final'!$R$108),"")</f>
        <v/>
      </c>
      <c r="M168" s="164" t="str">
        <f ca="1">IF(AND('Mapa final'!$AB$106="Baja",'Mapa final'!$AD$106="Menor"),CONCATENATE("R33C",'Mapa final'!$R$106),"")</f>
        <v/>
      </c>
      <c r="N168" s="193" t="str">
        <f>IF(AND('Mapa final'!$AB$107="Baja",'Mapa final'!$AD$107="Menor"),CONCATENATE("R33C",'Mapa final'!$R$107),"")</f>
        <v/>
      </c>
      <c r="O168" s="165" t="str">
        <f>IF(AND('Mapa final'!$AB$108="Baja",'Mapa final'!$AD$108="Menor"),CONCATENATE("R33C",'Mapa final'!$R$108),"")</f>
        <v/>
      </c>
      <c r="P168" s="164" t="str">
        <f ca="1">IF(AND('Mapa final'!$AB$106="Baja",'Mapa final'!$AD$106="Moderado"),CONCATENATE("R33C",'Mapa final'!$R$106),"")</f>
        <v/>
      </c>
      <c r="Q168" s="193" t="str">
        <f>IF(AND('Mapa final'!$AB$107="Baja",'Mapa final'!$AD$107="Moderado"),CONCATENATE("R33C",'Mapa final'!$R$107),"")</f>
        <v>R33C2</v>
      </c>
      <c r="R168" s="165" t="str">
        <f>IF(AND('Mapa final'!$AB$108="Baja",'Mapa final'!$AD$108="Moderado"),CONCATENATE("R33C",'Mapa final'!$R$108),"")</f>
        <v/>
      </c>
      <c r="S168" s="83" t="str">
        <f ca="1">IF(AND('Mapa final'!$AB$106="Baja",'Mapa final'!$AD$106="Mayor"),CONCATENATE("R33C",'Mapa final'!$R$106),"")</f>
        <v/>
      </c>
      <c r="T168" s="195" t="str">
        <f>IF(AND('Mapa final'!$AB$107="Baja",'Mapa final'!$AD$107="Mayor"),CONCATENATE("R33C",'Mapa final'!$R$107),"")</f>
        <v/>
      </c>
      <c r="U168" s="84" t="str">
        <f>IF(AND('Mapa final'!$AB$108="Baja",'Mapa final'!$AD$108="Mayor"),CONCATENATE("R33C",'Mapa final'!$R$108),"")</f>
        <v/>
      </c>
      <c r="V168" s="159" t="str">
        <f ca="1">IF(AND('Mapa final'!$AB$106="Baja",'Mapa final'!$AD$106="Catastrófico"),CONCATENATE("R33C",'Mapa final'!$R$106),"")</f>
        <v/>
      </c>
      <c r="W168" s="194" t="str">
        <f>IF(AND('Mapa final'!$AB$107="Baja",'Mapa final'!$AD$107="Catastrófico"),CONCATENATE("R33C",'Mapa final'!$R$107),"")</f>
        <v/>
      </c>
      <c r="X168" s="160" t="str">
        <f>IF(AND('Mapa final'!$AB$108="Baja",'Mapa final'!$AD$108="Catastrófico"),CONCATENATE("R33C",'Mapa final'!$R$108),"")</f>
        <v/>
      </c>
      <c r="Y168" s="38"/>
      <c r="Z168" s="366"/>
      <c r="AA168" s="367"/>
      <c r="AB168" s="367"/>
      <c r="AC168" s="367"/>
      <c r="AD168" s="367"/>
      <c r="AE168" s="36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row>
    <row r="169" spans="1:61" ht="15" customHeight="1" x14ac:dyDescent="0.25">
      <c r="A169" s="38"/>
      <c r="B169" s="355"/>
      <c r="C169" s="356"/>
      <c r="D169" s="357"/>
      <c r="E169" s="339"/>
      <c r="F169" s="338"/>
      <c r="G169" s="338"/>
      <c r="H169" s="338"/>
      <c r="I169" s="338"/>
      <c r="J169" s="172" t="str">
        <f ca="1">IF(AND('Mapa final'!$AB$109="Baja",'Mapa final'!$AD$109="Leve"),CONCATENATE("R34C",'Mapa final'!$R$109),"")</f>
        <v/>
      </c>
      <c r="K169" s="199" t="str">
        <f>IF(AND('Mapa final'!$AB$110="Baja",'Mapa final'!$AD$110="Leve"),CONCATENATE("R34C",'Mapa final'!$R$110),"")</f>
        <v/>
      </c>
      <c r="L169" s="173" t="str">
        <f>IF(AND('Mapa final'!$AB$111="Baja",'Mapa final'!$AD$111="Leve"),CONCATENATE("R34C",'Mapa final'!$R$111),"")</f>
        <v/>
      </c>
      <c r="M169" s="164" t="str">
        <f ca="1">IF(AND('Mapa final'!$AB$109="Baja",'Mapa final'!$AD$109="Menor"),CONCATENATE("R34C",'Mapa final'!$R$109),"")</f>
        <v/>
      </c>
      <c r="N169" s="193" t="str">
        <f>IF(AND('Mapa final'!$AB$110="Baja",'Mapa final'!$AD$110="Menor"),CONCATENATE("R34C",'Mapa final'!$R$110),"")</f>
        <v/>
      </c>
      <c r="O169" s="165" t="str">
        <f>IF(AND('Mapa final'!$AB$111="Baja",'Mapa final'!$AD$111="Menor"),CONCATENATE("R34C",'Mapa final'!$R$111),"")</f>
        <v/>
      </c>
      <c r="P169" s="164" t="str">
        <f ca="1">IF(AND('Mapa final'!$AB$109="Baja",'Mapa final'!$AD$109="Moderado"),CONCATENATE("R34C",'Mapa final'!$R$109),"")</f>
        <v>R34C1</v>
      </c>
      <c r="Q169" s="193" t="str">
        <f>IF(AND('Mapa final'!$AB$110="Baja",'Mapa final'!$AD$110="Moderado"),CONCATENATE("R34C",'Mapa final'!$R$110),"")</f>
        <v>R34C2</v>
      </c>
      <c r="R169" s="165" t="str">
        <f>IF(AND('Mapa final'!$AB$111="Baja",'Mapa final'!$AD$111="Moderado"),CONCATENATE("R34C",'Mapa final'!$R$111),"")</f>
        <v/>
      </c>
      <c r="S169" s="83" t="str">
        <f ca="1">IF(AND('Mapa final'!$AB$109="Baja",'Mapa final'!$AD$109="Mayor"),CONCATENATE("R34C",'Mapa final'!$R$109),"")</f>
        <v/>
      </c>
      <c r="T169" s="195" t="str">
        <f>IF(AND('Mapa final'!$AB$110="Baja",'Mapa final'!$AD$110="Mayor"),CONCATENATE("R34C",'Mapa final'!$R$110),"")</f>
        <v/>
      </c>
      <c r="U169" s="84" t="str">
        <f>IF(AND('Mapa final'!$AB$111="Baja",'Mapa final'!$AD$111="Mayor"),CONCATENATE("R34C",'Mapa final'!$R$111),"")</f>
        <v/>
      </c>
      <c r="V169" s="159" t="str">
        <f ca="1">IF(AND('Mapa final'!$AB$109="Baja",'Mapa final'!$AD$109="Catastrófico"),CONCATENATE("R34C",'Mapa final'!$R$109),"")</f>
        <v/>
      </c>
      <c r="W169" s="194" t="str">
        <f>IF(AND('Mapa final'!$AB$110="Baja",'Mapa final'!$AD$110="Catastrófico"),CONCATENATE("R34C",'Mapa final'!$R$110),"")</f>
        <v/>
      </c>
      <c r="X169" s="160" t="str">
        <f>IF(AND('Mapa final'!$AB$111="Baja",'Mapa final'!$AD$111="Catastrófico"),CONCATENATE("R34C",'Mapa final'!$R$111),"")</f>
        <v/>
      </c>
      <c r="Y169" s="38"/>
      <c r="Z169" s="366"/>
      <c r="AA169" s="367"/>
      <c r="AB169" s="367"/>
      <c r="AC169" s="367"/>
      <c r="AD169" s="367"/>
      <c r="AE169" s="36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row>
    <row r="170" spans="1:61" ht="15" customHeight="1" x14ac:dyDescent="0.25">
      <c r="A170" s="38"/>
      <c r="B170" s="355"/>
      <c r="C170" s="356"/>
      <c r="D170" s="357"/>
      <c r="E170" s="339"/>
      <c r="F170" s="338"/>
      <c r="G170" s="338"/>
      <c r="H170" s="338"/>
      <c r="I170" s="338"/>
      <c r="J170" s="172" t="str">
        <f ca="1">IF(AND('Mapa final'!$AB$112="Baja",'Mapa final'!$AD$112="Leve"),CONCATENATE("R35C",'Mapa final'!$R$112),"")</f>
        <v/>
      </c>
      <c r="K170" s="199" t="str">
        <f>IF(AND('Mapa final'!$AB$113="Baja",'Mapa final'!$AD$113="Leve"),CONCATENATE("R35C",'Mapa final'!$R$113),"")</f>
        <v/>
      </c>
      <c r="L170" s="173" t="str">
        <f>IF(AND('Mapa final'!$AB$114="Baja",'Mapa final'!$AD$114="Leve"),CONCATENATE("R35C",'Mapa final'!$R$114),"")</f>
        <v/>
      </c>
      <c r="M170" s="164" t="str">
        <f ca="1">IF(AND('Mapa final'!$AB$112="Baja",'Mapa final'!$AD$112="Menor"),CONCATENATE("R35C",'Mapa final'!$R$112),"")</f>
        <v/>
      </c>
      <c r="N170" s="193" t="str">
        <f>IF(AND('Mapa final'!$AB$113="Baja",'Mapa final'!$AD$113="Menor"),CONCATENATE("R35C",'Mapa final'!$R$113),"")</f>
        <v/>
      </c>
      <c r="O170" s="165" t="str">
        <f>IF(AND('Mapa final'!$AB$114="Baja",'Mapa final'!$AD$114="Menor"),CONCATENATE("R35C",'Mapa final'!$R$114),"")</f>
        <v/>
      </c>
      <c r="P170" s="164" t="str">
        <f ca="1">IF(AND('Mapa final'!$AB$112="Baja",'Mapa final'!$AD$112="Moderado"),CONCATENATE("R35C",'Mapa final'!$R$112),"")</f>
        <v/>
      </c>
      <c r="Q170" s="193" t="str">
        <f>IF(AND('Mapa final'!$AB$113="Baja",'Mapa final'!$AD$113="Moderado"),CONCATENATE("R35C",'Mapa final'!$R$113),"")</f>
        <v/>
      </c>
      <c r="R170" s="165" t="str">
        <f>IF(AND('Mapa final'!$AB$114="Baja",'Mapa final'!$AD$114="Moderado"),CONCATENATE("R35C",'Mapa final'!$R$114),"")</f>
        <v/>
      </c>
      <c r="S170" s="83" t="str">
        <f ca="1">IF(AND('Mapa final'!$AB$112="Baja",'Mapa final'!$AD$112="Mayor"),CONCATENATE("R35C",'Mapa final'!$R$112),"")</f>
        <v>R35C1</v>
      </c>
      <c r="T170" s="195" t="str">
        <f>IF(AND('Mapa final'!$AB$113="Baja",'Mapa final'!$AD$113="Mayor"),CONCATENATE("R35C",'Mapa final'!$R$113),"")</f>
        <v>R35C2</v>
      </c>
      <c r="U170" s="84" t="str">
        <f>IF(AND('Mapa final'!$AB$114="Baja",'Mapa final'!$AD$114="Mayor"),CONCATENATE("R35C",'Mapa final'!$R$114),"")</f>
        <v/>
      </c>
      <c r="V170" s="159" t="str">
        <f ca="1">IF(AND('Mapa final'!$AB$112="Baja",'Mapa final'!$AD$112="Catastrófico"),CONCATENATE("R35C",'Mapa final'!$R$112),"")</f>
        <v/>
      </c>
      <c r="W170" s="194" t="str">
        <f>IF(AND('Mapa final'!$AB$113="Baja",'Mapa final'!$AD$113="Catastrófico"),CONCATENATE("R35C",'Mapa final'!$R$113),"")</f>
        <v/>
      </c>
      <c r="X170" s="160" t="str">
        <f>IF(AND('Mapa final'!$AB$114="Baja",'Mapa final'!$AD$114="Catastrófico"),CONCATENATE("R35C",'Mapa final'!$R$114),"")</f>
        <v/>
      </c>
      <c r="Y170" s="38"/>
      <c r="Z170" s="366"/>
      <c r="AA170" s="367"/>
      <c r="AB170" s="367"/>
      <c r="AC170" s="367"/>
      <c r="AD170" s="367"/>
      <c r="AE170" s="36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row>
    <row r="171" spans="1:61" ht="15" customHeight="1" x14ac:dyDescent="0.25">
      <c r="A171" s="38"/>
      <c r="B171" s="355"/>
      <c r="C171" s="356"/>
      <c r="D171" s="357"/>
      <c r="E171" s="339"/>
      <c r="F171" s="338"/>
      <c r="G171" s="338"/>
      <c r="H171" s="338"/>
      <c r="I171" s="338"/>
      <c r="J171" s="172" t="str">
        <f ca="1">IF(AND('Mapa final'!$AB$115="Baja",'Mapa final'!$AD$115="Leve"),CONCATENATE("R36C",'Mapa final'!$R$115),"")</f>
        <v/>
      </c>
      <c r="K171" s="199" t="str">
        <f>IF(AND('Mapa final'!$AB$116="Baja",'Mapa final'!$AD$116="Leve"),CONCATENATE("R36C",'Mapa final'!$R$116),"")</f>
        <v/>
      </c>
      <c r="L171" s="173" t="str">
        <f>IF(AND('Mapa final'!$AB$117="Baja",'Mapa final'!$AD$117="Leve"),CONCATENATE("R36C",'Mapa final'!$R$117),"")</f>
        <v/>
      </c>
      <c r="M171" s="164" t="str">
        <f ca="1">IF(AND('Mapa final'!$AB$115="Baja",'Mapa final'!$AD$115="Menor"),CONCATENATE("R36C",'Mapa final'!$R$115),"")</f>
        <v/>
      </c>
      <c r="N171" s="193" t="str">
        <f>IF(AND('Mapa final'!$AB$116="Baja",'Mapa final'!$AD$116="Menor"),CONCATENATE("R36C",'Mapa final'!$R$116),"")</f>
        <v/>
      </c>
      <c r="O171" s="165" t="str">
        <f>IF(AND('Mapa final'!$AB$117="Baja",'Mapa final'!$AD$117="Menor"),CONCATENATE("R36C",'Mapa final'!$R$117),"")</f>
        <v/>
      </c>
      <c r="P171" s="164" t="str">
        <f ca="1">IF(AND('Mapa final'!$AB$115="Baja",'Mapa final'!$AD$115="Moderado"),CONCATENATE("R36C",'Mapa final'!$R$115),"")</f>
        <v/>
      </c>
      <c r="Q171" s="193" t="str">
        <f>IF(AND('Mapa final'!$AB$116="Baja",'Mapa final'!$AD$116="Moderado"),CONCATENATE("R36C",'Mapa final'!$R$116),"")</f>
        <v/>
      </c>
      <c r="R171" s="165" t="str">
        <f>IF(AND('Mapa final'!$AB$117="Baja",'Mapa final'!$AD$117="Moderado"),CONCATENATE("R36C",'Mapa final'!$R$117),"")</f>
        <v/>
      </c>
      <c r="S171" s="83" t="str">
        <f ca="1">IF(AND('Mapa final'!$AB$115="Baja",'Mapa final'!$AD$115="Mayor"),CONCATENATE("R36C",'Mapa final'!$R$115),"")</f>
        <v/>
      </c>
      <c r="T171" s="195" t="str">
        <f>IF(AND('Mapa final'!$AB$116="Baja",'Mapa final'!$AD$116="Mayor"),CONCATENATE("R36C",'Mapa final'!$R$116),"")</f>
        <v/>
      </c>
      <c r="U171" s="84" t="str">
        <f>IF(AND('Mapa final'!$AB$117="Baja",'Mapa final'!$AD$117="Mayor"),CONCATENATE("R36C",'Mapa final'!$R$117),"")</f>
        <v/>
      </c>
      <c r="V171" s="159" t="str">
        <f ca="1">IF(AND('Mapa final'!$AB$115="Baja",'Mapa final'!$AD$115="Catastrófico"),CONCATENATE("R36C",'Mapa final'!$R$115),"")</f>
        <v/>
      </c>
      <c r="W171" s="194" t="str">
        <f>IF(AND('Mapa final'!$AB$116="Baja",'Mapa final'!$AD$116="Catastrófico"),CONCATENATE("R36C",'Mapa final'!$R$116),"")</f>
        <v/>
      </c>
      <c r="X171" s="160" t="str">
        <f>IF(AND('Mapa final'!$AB$117="Baja",'Mapa final'!$AD$117="Catastrófico"),CONCATENATE("R36C",'Mapa final'!$R$117),"")</f>
        <v/>
      </c>
      <c r="Y171" s="38"/>
      <c r="Z171" s="366"/>
      <c r="AA171" s="367"/>
      <c r="AB171" s="367"/>
      <c r="AC171" s="367"/>
      <c r="AD171" s="367"/>
      <c r="AE171" s="36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row>
    <row r="172" spans="1:61" ht="15" customHeight="1" x14ac:dyDescent="0.25">
      <c r="A172" s="38"/>
      <c r="B172" s="355"/>
      <c r="C172" s="356"/>
      <c r="D172" s="357"/>
      <c r="E172" s="339"/>
      <c r="F172" s="338"/>
      <c r="G172" s="338"/>
      <c r="H172" s="338"/>
      <c r="I172" s="338"/>
      <c r="J172" s="172" t="str">
        <f ca="1">IF(AND('Mapa final'!$AB$118="Baja",'Mapa final'!$AD$118="Leve"),CONCATENATE("R37C",'Mapa final'!$R$118),"")</f>
        <v/>
      </c>
      <c r="K172" s="199" t="str">
        <f>IF(AND('Mapa final'!$AB$119="Baja",'Mapa final'!$AD$119="Leve"),CONCATENATE("R37C",'Mapa final'!$R$119),"")</f>
        <v/>
      </c>
      <c r="L172" s="173" t="str">
        <f>IF(AND('Mapa final'!$AB$120="Baja",'Mapa final'!$AD$120="Leve"),CONCATENATE("R37C",'Mapa final'!$R$120),"")</f>
        <v/>
      </c>
      <c r="M172" s="164" t="str">
        <f ca="1">IF(AND('Mapa final'!$AB$118="Baja",'Mapa final'!$AD$118="Menor"),CONCATENATE("R37C",'Mapa final'!$R$118),"")</f>
        <v/>
      </c>
      <c r="N172" s="193" t="str">
        <f>IF(AND('Mapa final'!$AB$119="Baja",'Mapa final'!$AD$119="Menor"),CONCATENATE("R37C",'Mapa final'!$R$119),"")</f>
        <v/>
      </c>
      <c r="O172" s="165" t="str">
        <f>IF(AND('Mapa final'!$AB$120="Baja",'Mapa final'!$AD$120="Menor"),CONCATENATE("R37C",'Mapa final'!$R$120),"")</f>
        <v/>
      </c>
      <c r="P172" s="164" t="str">
        <f ca="1">IF(AND('Mapa final'!$AB$118="Baja",'Mapa final'!$AD$118="Moderado"),CONCATENATE("R37C",'Mapa final'!$R$118),"")</f>
        <v/>
      </c>
      <c r="Q172" s="193" t="str">
        <f>IF(AND('Mapa final'!$AB$119="Baja",'Mapa final'!$AD$119="Moderado"),CONCATENATE("R37C",'Mapa final'!$R$119),"")</f>
        <v/>
      </c>
      <c r="R172" s="165" t="str">
        <f>IF(AND('Mapa final'!$AB$120="Baja",'Mapa final'!$AD$120="Moderado"),CONCATENATE("R37C",'Mapa final'!$R$120),"")</f>
        <v/>
      </c>
      <c r="S172" s="83" t="str">
        <f ca="1">IF(AND('Mapa final'!$AB$118="Baja",'Mapa final'!$AD$118="Mayor"),CONCATENATE("R37C",'Mapa final'!$R$118),"")</f>
        <v/>
      </c>
      <c r="T172" s="195" t="str">
        <f>IF(AND('Mapa final'!$AB$119="Baja",'Mapa final'!$AD$119="Mayor"),CONCATENATE("R37C",'Mapa final'!$R$119),"")</f>
        <v/>
      </c>
      <c r="U172" s="84" t="str">
        <f>IF(AND('Mapa final'!$AB$120="Baja",'Mapa final'!$AD$120="Mayor"),CONCATENATE("R37C",'Mapa final'!$R$120),"")</f>
        <v/>
      </c>
      <c r="V172" s="159" t="str">
        <f ca="1">IF(AND('Mapa final'!$AB$118="Baja",'Mapa final'!$AD$118="Catastrófico"),CONCATENATE("R37C",'Mapa final'!$R$118),"")</f>
        <v/>
      </c>
      <c r="W172" s="194" t="str">
        <f>IF(AND('Mapa final'!$AB$119="Baja",'Mapa final'!$AD$119="Catastrófico"),CONCATENATE("R37C",'Mapa final'!$R$119),"")</f>
        <v/>
      </c>
      <c r="X172" s="160" t="str">
        <f>IF(AND('Mapa final'!$AB$120="Baja",'Mapa final'!$AD$120="Catastrófico"),CONCATENATE("R37C",'Mapa final'!$R$120),"")</f>
        <v/>
      </c>
      <c r="Y172" s="38"/>
      <c r="Z172" s="366"/>
      <c r="AA172" s="367"/>
      <c r="AB172" s="367"/>
      <c r="AC172" s="367"/>
      <c r="AD172" s="367"/>
      <c r="AE172" s="36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row>
    <row r="173" spans="1:61" ht="15" customHeight="1" x14ac:dyDescent="0.25">
      <c r="A173" s="38"/>
      <c r="B173" s="355"/>
      <c r="C173" s="356"/>
      <c r="D173" s="357"/>
      <c r="E173" s="339"/>
      <c r="F173" s="338"/>
      <c r="G173" s="338"/>
      <c r="H173" s="338"/>
      <c r="I173" s="338"/>
      <c r="J173" s="172" t="str">
        <f ca="1">IF(AND('Mapa final'!$AB$121="Baja",'Mapa final'!$AD$121="Leve"),CONCATENATE("R38C",'Mapa final'!$R$121),"")</f>
        <v/>
      </c>
      <c r="K173" s="199" t="str">
        <f>IF(AND('Mapa final'!$AB$122="Baja",'Mapa final'!$AD$122="Leve"),CONCATENATE("R38C",'Mapa final'!$R$122),"")</f>
        <v/>
      </c>
      <c r="L173" s="173" t="str">
        <f>IF(AND('Mapa final'!$AB$123="Baja",'Mapa final'!$AD$123="Leve"),CONCATENATE("R38C",'Mapa final'!$R$123),"")</f>
        <v/>
      </c>
      <c r="M173" s="164" t="str">
        <f ca="1">IF(AND('Mapa final'!$AB$121="Baja",'Mapa final'!$AD$121="Menor"),CONCATENATE("R38C",'Mapa final'!$R$121),"")</f>
        <v/>
      </c>
      <c r="N173" s="193" t="str">
        <f>IF(AND('Mapa final'!$AB$122="Baja",'Mapa final'!$AD$122="Menor"),CONCATENATE("R38C",'Mapa final'!$R$122),"")</f>
        <v/>
      </c>
      <c r="O173" s="165" t="str">
        <f>IF(AND('Mapa final'!$AB$123="Baja",'Mapa final'!$AD$123="Menor"),CONCATENATE("R38C",'Mapa final'!$R$123),"")</f>
        <v/>
      </c>
      <c r="P173" s="164" t="str">
        <f ca="1">IF(AND('Mapa final'!$AB$121="Baja",'Mapa final'!$AD$121="Moderado"),CONCATENATE("R38C",'Mapa final'!$R$121),"")</f>
        <v/>
      </c>
      <c r="Q173" s="193" t="str">
        <f>IF(AND('Mapa final'!$AB$122="Baja",'Mapa final'!$AD$122="Moderado"),CONCATENATE("R38C",'Mapa final'!$R$122),"")</f>
        <v/>
      </c>
      <c r="R173" s="165" t="str">
        <f>IF(AND('Mapa final'!$AB$123="Baja",'Mapa final'!$AD$123="Moderado"),CONCATENATE("R38C",'Mapa final'!$R$123),"")</f>
        <v/>
      </c>
      <c r="S173" s="83" t="str">
        <f ca="1">IF(AND('Mapa final'!$AB$121="Baja",'Mapa final'!$AD$121="Mayor"),CONCATENATE("R38C",'Mapa final'!$R$121),"")</f>
        <v>R38C1</v>
      </c>
      <c r="T173" s="195" t="str">
        <f>IF(AND('Mapa final'!$AB$122="Baja",'Mapa final'!$AD$122="Mayor"),CONCATENATE("R38C",'Mapa final'!$R$122),"")</f>
        <v/>
      </c>
      <c r="U173" s="84" t="str">
        <f>IF(AND('Mapa final'!$AB$123="Baja",'Mapa final'!$AD$123="Mayor"),CONCATENATE("R38C",'Mapa final'!$R$123),"")</f>
        <v/>
      </c>
      <c r="V173" s="159" t="str">
        <f ca="1">IF(AND('Mapa final'!$AB$121="Baja",'Mapa final'!$AD$121="Catastrófico"),CONCATENATE("R38C",'Mapa final'!$R$121),"")</f>
        <v/>
      </c>
      <c r="W173" s="194" t="str">
        <f>IF(AND('Mapa final'!$AB$122="Baja",'Mapa final'!$AD$122="Catastrófico"),CONCATENATE("R38C",'Mapa final'!$R$122),"")</f>
        <v/>
      </c>
      <c r="X173" s="160" t="str">
        <f>IF(AND('Mapa final'!$AB$123="Baja",'Mapa final'!$AD$123="Catastrófico"),CONCATENATE("R38C",'Mapa final'!$R$123),"")</f>
        <v/>
      </c>
      <c r="Y173" s="38"/>
      <c r="Z173" s="366"/>
      <c r="AA173" s="367"/>
      <c r="AB173" s="367"/>
      <c r="AC173" s="367"/>
      <c r="AD173" s="367"/>
      <c r="AE173" s="36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row>
    <row r="174" spans="1:61" ht="15" customHeight="1" x14ac:dyDescent="0.25">
      <c r="A174" s="38"/>
      <c r="B174" s="355"/>
      <c r="C174" s="356"/>
      <c r="D174" s="357"/>
      <c r="E174" s="339"/>
      <c r="F174" s="338"/>
      <c r="G174" s="338"/>
      <c r="H174" s="338"/>
      <c r="I174" s="338"/>
      <c r="J174" s="172" t="str">
        <f ca="1">IF(AND('Mapa final'!$AB$124="Baja",'Mapa final'!$AD$124="Leve"),CONCATENATE("R39C",'Mapa final'!$R$124),"")</f>
        <v/>
      </c>
      <c r="K174" s="199" t="str">
        <f>IF(AND('Mapa final'!$AB$125="Baja",'Mapa final'!$AD$125="Leve"),CONCATENATE("R39C",'Mapa final'!$R$125),"")</f>
        <v>R39C2</v>
      </c>
      <c r="L174" s="173" t="str">
        <f>IF(AND('Mapa final'!$AB$126="Baja",'Mapa final'!$AD$126="Leve"),CONCATENATE("R39C",'Mapa final'!$R$126),"")</f>
        <v/>
      </c>
      <c r="M174" s="164" t="str">
        <f ca="1">IF(AND('Mapa final'!$AB$124="Baja",'Mapa final'!$AD$124="Menor"),CONCATENATE("R39C",'Mapa final'!$R$124),"")</f>
        <v/>
      </c>
      <c r="N174" s="193" t="str">
        <f>IF(AND('Mapa final'!$AB$125="Baja",'Mapa final'!$AD$125="Menor"),CONCATENATE("R39C",'Mapa final'!$R$125),"")</f>
        <v/>
      </c>
      <c r="O174" s="165" t="str">
        <f>IF(AND('Mapa final'!$AB$126="Baja",'Mapa final'!$AD$126="Menor"),CONCATENATE("R39C",'Mapa final'!$R$126),"")</f>
        <v/>
      </c>
      <c r="P174" s="164" t="str">
        <f ca="1">IF(AND('Mapa final'!$AB$124="Baja",'Mapa final'!$AD$124="Moderado"),CONCATENATE("R39C",'Mapa final'!$R$124),"")</f>
        <v/>
      </c>
      <c r="Q174" s="193" t="str">
        <f>IF(AND('Mapa final'!$AB$125="Baja",'Mapa final'!$AD$125="Moderado"),CONCATENATE("R39C",'Mapa final'!$R$125),"")</f>
        <v/>
      </c>
      <c r="R174" s="165" t="str">
        <f>IF(AND('Mapa final'!$AB$126="Baja",'Mapa final'!$AD$126="Moderado"),CONCATENATE("R39C",'Mapa final'!$R$126),"")</f>
        <v/>
      </c>
      <c r="S174" s="83" t="str">
        <f ca="1">IF(AND('Mapa final'!$AB$124="Baja",'Mapa final'!$AD$124="Mayor"),CONCATENATE("R39C",'Mapa final'!$R$124),"")</f>
        <v>R39C1</v>
      </c>
      <c r="T174" s="195" t="str">
        <f>IF(AND('Mapa final'!$AB$125="Baja",'Mapa final'!$AD$125="Mayor"),CONCATENATE("R39C",'Mapa final'!$R$125),"")</f>
        <v/>
      </c>
      <c r="U174" s="84" t="str">
        <f>IF(AND('Mapa final'!$AB$126="Baja",'Mapa final'!$AD$126="Mayor"),CONCATENATE("R39C",'Mapa final'!$R$126),"")</f>
        <v/>
      </c>
      <c r="V174" s="159" t="str">
        <f ca="1">IF(AND('Mapa final'!$AB$124="Baja",'Mapa final'!$AD$124="Catastrófico"),CONCATENATE("R39C",'Mapa final'!$R$124),"")</f>
        <v/>
      </c>
      <c r="W174" s="194" t="str">
        <f>IF(AND('Mapa final'!$AB$125="Baja",'Mapa final'!$AD$125="Catastrófico"),CONCATENATE("R39C",'Mapa final'!$R$125),"")</f>
        <v/>
      </c>
      <c r="X174" s="160" t="str">
        <f>IF(AND('Mapa final'!$AB$126="Baja",'Mapa final'!$AD$126="Catastrófico"),CONCATENATE("R39C",'Mapa final'!$R$126),"")</f>
        <v/>
      </c>
      <c r="Y174" s="38"/>
      <c r="Z174" s="366"/>
      <c r="AA174" s="367"/>
      <c r="AB174" s="367"/>
      <c r="AC174" s="367"/>
      <c r="AD174" s="367"/>
      <c r="AE174" s="36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row>
    <row r="175" spans="1:61" ht="15" customHeight="1" x14ac:dyDescent="0.25">
      <c r="A175" s="38"/>
      <c r="B175" s="355"/>
      <c r="C175" s="356"/>
      <c r="D175" s="357"/>
      <c r="E175" s="339"/>
      <c r="F175" s="338"/>
      <c r="G175" s="338"/>
      <c r="H175" s="338"/>
      <c r="I175" s="338"/>
      <c r="J175" s="172" t="str">
        <f ca="1">IF(AND('Mapa final'!$AB$127="Baja",'Mapa final'!$AD$127="Leve"),CONCATENATE("R40C",'Mapa final'!$R$127),"")</f>
        <v/>
      </c>
      <c r="K175" s="199" t="str">
        <f>IF(AND('Mapa final'!$AB$128="Baja",'Mapa final'!$AD$128="Leve"),CONCATENATE("R40C",'Mapa final'!$R$128),"")</f>
        <v/>
      </c>
      <c r="L175" s="173" t="str">
        <f>IF(AND('Mapa final'!$AB$129="Baja",'Mapa final'!$AD$129="Leve"),CONCATENATE("R40C",'Mapa final'!$R$129),"")</f>
        <v/>
      </c>
      <c r="M175" s="164" t="str">
        <f ca="1">IF(AND('Mapa final'!$AB$127="Baja",'Mapa final'!$AD$127="Menor"),CONCATENATE("R40C",'Mapa final'!$R$127),"")</f>
        <v/>
      </c>
      <c r="N175" s="193" t="str">
        <f>IF(AND('Mapa final'!$AB$128="Baja",'Mapa final'!$AD$128="Menor"),CONCATENATE("R40C",'Mapa final'!$R$128),"")</f>
        <v/>
      </c>
      <c r="O175" s="165" t="str">
        <f>IF(AND('Mapa final'!$AB$129="Baja",'Mapa final'!$AD$129="Menor"),CONCATENATE("R40C",'Mapa final'!$R$129),"")</f>
        <v/>
      </c>
      <c r="P175" s="164" t="str">
        <f ca="1">IF(AND('Mapa final'!$AB$127="Baja",'Mapa final'!$AD$127="Moderado"),CONCATENATE("R40C",'Mapa final'!$R$127),"")</f>
        <v/>
      </c>
      <c r="Q175" s="193" t="str">
        <f>IF(AND('Mapa final'!$AB$128="Baja",'Mapa final'!$AD$128="Moderado"),CONCATENATE("R40C",'Mapa final'!$R$128),"")</f>
        <v/>
      </c>
      <c r="R175" s="165" t="str">
        <f>IF(AND('Mapa final'!$AB$129="Baja",'Mapa final'!$AD$129="Moderado"),CONCATENATE("R40C",'Mapa final'!$R$129),"")</f>
        <v/>
      </c>
      <c r="S175" s="83" t="str">
        <f ca="1">IF(AND('Mapa final'!$AB$127="Baja",'Mapa final'!$AD$127="Mayor"),CONCATENATE("R40C",'Mapa final'!$R$127),"")</f>
        <v/>
      </c>
      <c r="T175" s="195" t="str">
        <f>IF(AND('Mapa final'!$AB$128="Baja",'Mapa final'!$AD$128="Mayor"),CONCATENATE("R40C",'Mapa final'!$R$128),"")</f>
        <v/>
      </c>
      <c r="U175" s="84" t="str">
        <f>IF(AND('Mapa final'!$AB$129="Baja",'Mapa final'!$AD$129="Mayor"),CONCATENATE("R40C",'Mapa final'!$R$129),"")</f>
        <v/>
      </c>
      <c r="V175" s="159" t="str">
        <f ca="1">IF(AND('Mapa final'!$AB$127="Baja",'Mapa final'!$AD$127="Catastrófico"),CONCATENATE("R40C",'Mapa final'!$R$127),"")</f>
        <v/>
      </c>
      <c r="W175" s="194" t="str">
        <f>IF(AND('Mapa final'!$AB$128="Baja",'Mapa final'!$AD$128="Catastrófico"),CONCATENATE("R40C",'Mapa final'!$R$128),"")</f>
        <v/>
      </c>
      <c r="X175" s="160" t="str">
        <f>IF(AND('Mapa final'!$AB$129="Baja",'Mapa final'!$AD$129="Catastrófico"),CONCATENATE("R40C",'Mapa final'!$R$129),"")</f>
        <v/>
      </c>
      <c r="Y175" s="38"/>
      <c r="Z175" s="366"/>
      <c r="AA175" s="367"/>
      <c r="AB175" s="367"/>
      <c r="AC175" s="367"/>
      <c r="AD175" s="367"/>
      <c r="AE175" s="36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row>
    <row r="176" spans="1:61" ht="15" customHeight="1" x14ac:dyDescent="0.25">
      <c r="A176" s="38"/>
      <c r="B176" s="355"/>
      <c r="C176" s="356"/>
      <c r="D176" s="357"/>
      <c r="E176" s="339"/>
      <c r="F176" s="338"/>
      <c r="G176" s="338"/>
      <c r="H176" s="338"/>
      <c r="I176" s="338"/>
      <c r="J176" s="172" t="str">
        <f ca="1">IF(AND('Mapa final'!$AB$130="Baja",'Mapa final'!$AD$130="Leve"),CONCATENATE("R41C",'Mapa final'!$R$130),"")</f>
        <v/>
      </c>
      <c r="K176" s="199" t="str">
        <f>IF(AND('Mapa final'!$AB$131="Baja",'Mapa final'!$AD$131="Leve"),CONCATENATE("R41C",'Mapa final'!$R$131),"")</f>
        <v/>
      </c>
      <c r="L176" s="173" t="str">
        <f>IF(AND('Mapa final'!$AB$132="Baja",'Mapa final'!$AD$132="Leve"),CONCATENATE("R41C",'Mapa final'!$R$132),"")</f>
        <v/>
      </c>
      <c r="M176" s="164" t="str">
        <f ca="1">IF(AND('Mapa final'!$AB$130="Baja",'Mapa final'!$AD$130="Menor"),CONCATENATE("R41C",'Mapa final'!$R$130),"")</f>
        <v/>
      </c>
      <c r="N176" s="193" t="str">
        <f>IF(AND('Mapa final'!$AB$131="Baja",'Mapa final'!$AD$131="Menor"),CONCATENATE("R41C",'Mapa final'!$R$131),"")</f>
        <v/>
      </c>
      <c r="O176" s="165" t="str">
        <f>IF(AND('Mapa final'!$AB$132="Baja",'Mapa final'!$AD$132="Menor"),CONCATENATE("R41C",'Mapa final'!$R$132),"")</f>
        <v/>
      </c>
      <c r="P176" s="164" t="str">
        <f ca="1">IF(AND('Mapa final'!$AB$130="Baja",'Mapa final'!$AD$130="Moderado"),CONCATENATE("R41C",'Mapa final'!$R$130),"")</f>
        <v/>
      </c>
      <c r="Q176" s="193" t="str">
        <f>IF(AND('Mapa final'!$AB$131="Baja",'Mapa final'!$AD$131="Moderado"),CONCATENATE("R41C",'Mapa final'!$R$131),"")</f>
        <v/>
      </c>
      <c r="R176" s="165" t="str">
        <f>IF(AND('Mapa final'!$AB$132="Baja",'Mapa final'!$AD$132="Moderado"),CONCATENATE("R41C",'Mapa final'!$R$132),"")</f>
        <v/>
      </c>
      <c r="S176" s="83" t="str">
        <f ca="1">IF(AND('Mapa final'!$AB$130="Baja",'Mapa final'!$AD$130="Mayor"),CONCATENATE("R41C",'Mapa final'!$R$130),"")</f>
        <v>R41C1</v>
      </c>
      <c r="T176" s="195" t="str">
        <f>IF(AND('Mapa final'!$AB$131="Baja",'Mapa final'!$AD$131="Mayor"),CONCATENATE("R41C",'Mapa final'!$R$131),"")</f>
        <v/>
      </c>
      <c r="U176" s="84" t="str">
        <f>IF(AND('Mapa final'!$AB$132="Baja",'Mapa final'!$AD$132="Mayor"),CONCATENATE("R41C",'Mapa final'!$R$132),"")</f>
        <v/>
      </c>
      <c r="V176" s="159" t="str">
        <f ca="1">IF(AND('Mapa final'!$AB$130="Baja",'Mapa final'!$AD$130="Catastrófico"),CONCATENATE("R41C",'Mapa final'!$R$130),"")</f>
        <v/>
      </c>
      <c r="W176" s="194" t="str">
        <f>IF(AND('Mapa final'!$AB$131="Baja",'Mapa final'!$AD$131="Catastrófico"),CONCATENATE("R41C",'Mapa final'!$R$131),"")</f>
        <v/>
      </c>
      <c r="X176" s="160" t="str">
        <f>IF(AND('Mapa final'!$AB$132="Baja",'Mapa final'!$AD$132="Catastrófico"),CONCATENATE("R41C",'Mapa final'!$R$132),"")</f>
        <v/>
      </c>
      <c r="Y176" s="38"/>
      <c r="Z176" s="366"/>
      <c r="AA176" s="367"/>
      <c r="AB176" s="367"/>
      <c r="AC176" s="367"/>
      <c r="AD176" s="367"/>
      <c r="AE176" s="36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row>
    <row r="177" spans="1:65" ht="15" customHeight="1" thickBot="1" x14ac:dyDescent="0.3">
      <c r="A177" s="38"/>
      <c r="B177" s="355"/>
      <c r="C177" s="356"/>
      <c r="D177" s="357"/>
      <c r="E177" s="339"/>
      <c r="F177" s="338"/>
      <c r="G177" s="338"/>
      <c r="H177" s="338"/>
      <c r="I177" s="338"/>
      <c r="J177" s="174" t="str">
        <f ca="1">IF(AND('Mapa final'!$AB$133="Baja",'Mapa final'!$AD$133="Leve"),CONCATENATE("R42C",'Mapa final'!$R$133),"")</f>
        <v/>
      </c>
      <c r="K177" s="175" t="str">
        <f>IF(AND('Mapa final'!$AB$134="Baja",'Mapa final'!$AD$134="Leve"),CONCATENATE("R42C",'Mapa final'!$R$134),"")</f>
        <v/>
      </c>
      <c r="L177" s="176" t="str">
        <f>IF(AND('Mapa final'!$AB$135="Baja",'Mapa final'!$AD$135="Leve"),CONCATENATE("R42C",'Mapa final'!$R$135),"")</f>
        <v/>
      </c>
      <c r="M177" s="166" t="str">
        <f ca="1">IF(AND('Mapa final'!$AB$133="Baja",'Mapa final'!$AD$133="Menor"),CONCATENATE("R42C",'Mapa final'!$R$133),"")</f>
        <v/>
      </c>
      <c r="N177" s="167" t="str">
        <f>IF(AND('Mapa final'!$AB$134="Baja",'Mapa final'!$AD$134="Menor"),CONCATENATE("R42C",'Mapa final'!$R$134),"")</f>
        <v/>
      </c>
      <c r="O177" s="168" t="str">
        <f>IF(AND('Mapa final'!$AB$135="Baja",'Mapa final'!$AD$135="Menor"),CONCATENATE("R42C",'Mapa final'!$R$135),"")</f>
        <v/>
      </c>
      <c r="P177" s="166" t="str">
        <f ca="1">IF(AND('Mapa final'!$AB$133="Baja",'Mapa final'!$AD$133="Moderado"),CONCATENATE("R42C",'Mapa final'!$R$133),"")</f>
        <v>R42C1</v>
      </c>
      <c r="Q177" s="167" t="str">
        <f>IF(AND('Mapa final'!$AB$134="Baja",'Mapa final'!$AD$134="Moderado"),CONCATENATE("R42C",'Mapa final'!$R$134),"")</f>
        <v/>
      </c>
      <c r="R177" s="168" t="str">
        <f>IF(AND('Mapa final'!$AB$135="Baja",'Mapa final'!$AD$135="Moderado"),CONCATENATE("R42C",'Mapa final'!$R$135),"")</f>
        <v/>
      </c>
      <c r="S177" s="196" t="str">
        <f ca="1">IF(AND('Mapa final'!$AB$133="Baja",'Mapa final'!$AD$133="Mayor"),CONCATENATE("R42C",'Mapa final'!$R$133),"")</f>
        <v/>
      </c>
      <c r="T177" s="197" t="str">
        <f>IF(AND('Mapa final'!$AB$134="Baja",'Mapa final'!$AD$134="Mayor"),CONCATENATE("R42C",'Mapa final'!$R$134),"")</f>
        <v/>
      </c>
      <c r="U177" s="198" t="str">
        <f>IF(AND('Mapa final'!$AB$135="Baja",'Mapa final'!$AD$135="Mayor"),CONCATENATE("R42C",'Mapa final'!$R$135),"")</f>
        <v/>
      </c>
      <c r="V177" s="177" t="str">
        <f ca="1">IF(AND('Mapa final'!$AB$133="Baja",'Mapa final'!$AD$133="Catastrófico"),CONCATENATE("R42C",'Mapa final'!$R$133),"")</f>
        <v/>
      </c>
      <c r="W177" s="178" t="str">
        <f>IF(AND('Mapa final'!$AB$134="Baja",'Mapa final'!$AD$134="Catastrófico"),CONCATENATE("R42C",'Mapa final'!$R$134),"")</f>
        <v/>
      </c>
      <c r="X177" s="179" t="str">
        <f>IF(AND('Mapa final'!$AB$135="Baja",'Mapa final'!$AD$135="Catastrófico"),CONCATENATE("R42C",'Mapa final'!$R$135),"")</f>
        <v/>
      </c>
      <c r="Y177" s="38"/>
      <c r="Z177" s="369"/>
      <c r="AA177" s="370"/>
      <c r="AB177" s="370"/>
      <c r="AC177" s="370"/>
      <c r="AD177" s="370"/>
      <c r="AE177" s="371"/>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row>
    <row r="178" spans="1:65" ht="16.5" customHeight="1" x14ac:dyDescent="0.25">
      <c r="A178" s="38"/>
      <c r="B178" s="355"/>
      <c r="C178" s="356"/>
      <c r="D178" s="357"/>
      <c r="E178" s="335" t="s">
        <v>104</v>
      </c>
      <c r="F178" s="336"/>
      <c r="G178" s="336"/>
      <c r="H178" s="336"/>
      <c r="I178" s="336"/>
      <c r="J178" s="169" t="str">
        <f ca="1">IF(AND('Mapa final'!$AB$7="Muy Baja",'Mapa final'!$AD$7="Leve"),CONCATENATE("R1C",'Mapa final'!$R$7),"")</f>
        <v/>
      </c>
      <c r="K178" s="170" t="str">
        <f ca="1">IF(AND('Mapa final'!$AB$8="Muy Baja",'Mapa final'!$AD$8="Leve"),CONCATENATE("R1C",'Mapa final'!$R$8),"")</f>
        <v/>
      </c>
      <c r="L178" s="171" t="str">
        <f>IF(AND('Mapa final'!$AB$9="Muy Baja",'Mapa final'!$AD$9="Leve"),CONCATENATE("R1C",'Mapa final'!$R$9),"")</f>
        <v/>
      </c>
      <c r="M178" s="169" t="str">
        <f ca="1">IF(AND('Mapa final'!$AB$7="Muy Baja",'Mapa final'!$AD$7="Menor"),CONCATENATE("R1C",'Mapa final'!$R$7),"")</f>
        <v/>
      </c>
      <c r="N178" s="170" t="str">
        <f ca="1">IF(AND('Mapa final'!$AB$8="Muy Baja",'Mapa final'!$AD$8="Menor"),CONCATENATE("R1C",'Mapa final'!$R$8),"")</f>
        <v/>
      </c>
      <c r="O178" s="171" t="str">
        <f>IF(AND('Mapa final'!$AB$9="Muy Baja",'Mapa final'!$AD$9="Menor"),CONCATENATE("R1C",'Mapa final'!$R$9),"")</f>
        <v/>
      </c>
      <c r="P178" s="161" t="str">
        <f ca="1">IF(AND('Mapa final'!$AB$7="Muy Baja",'Mapa final'!$AD$7="Moderado"),CONCATENATE("R1C",'Mapa final'!$R$7),"")</f>
        <v/>
      </c>
      <c r="Q178" s="162" t="str">
        <f ca="1">IF(AND('Mapa final'!$AB$8="Muy Baja",'Mapa final'!$AD$8="Moderado"),CONCATENATE("R1C",'Mapa final'!$R$8),"")</f>
        <v/>
      </c>
      <c r="R178" s="163" t="str">
        <f>IF(AND('Mapa final'!$AB$9="Muy Baja",'Mapa final'!$AD$9="Moderado"),CONCATENATE("R1C",'Mapa final'!$R$9),"")</f>
        <v/>
      </c>
      <c r="S178" s="80" t="str">
        <f ca="1">IF(AND('Mapa final'!$AB$7="Muy Baja",'Mapa final'!$AD$7="Mayor"),CONCATENATE("R1C",'Mapa final'!$R$7),"")</f>
        <v/>
      </c>
      <c r="T178" s="81" t="str">
        <f ca="1">IF(AND('Mapa final'!$AB$8="Muy Baja",'Mapa final'!$AD$8="Mayor"),CONCATENATE("R1C",'Mapa final'!$R$8),"")</f>
        <v/>
      </c>
      <c r="U178" s="82" t="str">
        <f>IF(AND('Mapa final'!$AB$9="Muy Baja",'Mapa final'!$AD$9="Mayor"),CONCATENATE("R1C",'Mapa final'!$R$9),"")</f>
        <v/>
      </c>
      <c r="V178" s="156" t="str">
        <f ca="1">IF(AND('Mapa final'!$AB$7="Muy Baja",'Mapa final'!$AD$7="Catastrófico"),CONCATENATE("R1C",'Mapa final'!$R$7),"")</f>
        <v/>
      </c>
      <c r="W178" s="157" t="str">
        <f ca="1">IF(AND('Mapa final'!$AB$8="Muy Baja",'Mapa final'!$AD$8="Catastrófico"),CONCATENATE("R1C",'Mapa final'!$R$8),"")</f>
        <v/>
      </c>
      <c r="X178" s="158" t="str">
        <f>IF(AND('Mapa final'!$AB$9="Muy Baja",'Mapa final'!$AD$9="Catastrófico"),CONCATENATE("R1C",'Mapa final'!$R$9),"")</f>
        <v/>
      </c>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row>
    <row r="179" spans="1:65" ht="15.75" x14ac:dyDescent="0.25">
      <c r="A179" s="38"/>
      <c r="B179" s="355"/>
      <c r="C179" s="356"/>
      <c r="D179" s="357"/>
      <c r="E179" s="337"/>
      <c r="F179" s="338"/>
      <c r="G179" s="338"/>
      <c r="H179" s="338"/>
      <c r="I179" s="338"/>
      <c r="J179" s="172" t="str">
        <f ca="1">IF(AND('Mapa final'!$AB$10="Muy Baja",'Mapa final'!$AD$10="Leve"),CONCATENATE("R2C",'Mapa final'!$R$10),"")</f>
        <v/>
      </c>
      <c r="K179" s="199" t="str">
        <f>IF(AND('Mapa final'!$AB$11="Muy Baja",'Mapa final'!$AD$11="Leve"),CONCATENATE("R2C",'Mapa final'!$R$11),"")</f>
        <v/>
      </c>
      <c r="L179" s="173" t="str">
        <f>IF(AND('Mapa final'!$AB$12="Muy Baja",'Mapa final'!$AD$12="Leve"),CONCATENATE("R2C",'Mapa final'!$R$12),"")</f>
        <v/>
      </c>
      <c r="M179" s="172" t="str">
        <f ca="1">IF(AND('Mapa final'!$AB$10="Muy Baja",'Mapa final'!$AD$10="Menor"),CONCATENATE("R2C",'Mapa final'!$R$10),"")</f>
        <v/>
      </c>
      <c r="N179" s="199" t="str">
        <f>IF(AND('Mapa final'!$AB$11="Muy Baja",'Mapa final'!$AD$11="Menor"),CONCATENATE("R2C",'Mapa final'!$R$11),"")</f>
        <v/>
      </c>
      <c r="O179" s="173" t="str">
        <f>IF(AND('Mapa final'!$AB$12="Muy Baja",'Mapa final'!$AD$12="Menor"),CONCATENATE("R2C",'Mapa final'!$R$12),"")</f>
        <v/>
      </c>
      <c r="P179" s="164" t="str">
        <f ca="1">IF(AND('Mapa final'!$AB$10="Muy Baja",'Mapa final'!$AD$10="Moderado"),CONCATENATE("R2C",'Mapa final'!$R$10),"")</f>
        <v/>
      </c>
      <c r="Q179" s="193" t="str">
        <f>IF(AND('Mapa final'!$AB$11="Muy Baja",'Mapa final'!$AD$11="Moderado"),CONCATENATE("R2C",'Mapa final'!$R$11),"")</f>
        <v/>
      </c>
      <c r="R179" s="165" t="str">
        <f>IF(AND('Mapa final'!$AB$12="Muy Baja",'Mapa final'!$AD$12="Moderado"),CONCATENATE("R2C",'Mapa final'!$R$12),"")</f>
        <v/>
      </c>
      <c r="S179" s="83" t="str">
        <f ca="1">IF(AND('Mapa final'!$AB$10="Muy Baja",'Mapa final'!$AD$10="Mayor"),CONCATENATE("R2C",'Mapa final'!$R$10),"")</f>
        <v/>
      </c>
      <c r="T179" s="195" t="str">
        <f>IF(AND('Mapa final'!$AB$11="Muy Baja",'Mapa final'!$AD$11="Mayor"),CONCATENATE("R2C",'Mapa final'!$R$11),"")</f>
        <v/>
      </c>
      <c r="U179" s="84" t="str">
        <f>IF(AND('Mapa final'!$AB$12="Muy Baja",'Mapa final'!$AD$12="Mayor"),CONCATENATE("R2C",'Mapa final'!$R$12),"")</f>
        <v/>
      </c>
      <c r="V179" s="159" t="str">
        <f ca="1">IF(AND('Mapa final'!$AB$10="Muy Baja",'Mapa final'!$AD$10="Catastrófico"),CONCATENATE("R2C",'Mapa final'!$R$10),"")</f>
        <v/>
      </c>
      <c r="W179" s="194" t="str">
        <f>IF(AND('Mapa final'!$AB$11="Muy Baja",'Mapa final'!$AD$11="Catastrófico"),CONCATENATE("R2C",'Mapa final'!$R$11),"")</f>
        <v/>
      </c>
      <c r="X179" s="160" t="str">
        <f>IF(AND('Mapa final'!$AB$12="Muy Baja",'Mapa final'!$AD$12="Catastrófico"),CONCATENATE("R2C",'Mapa final'!$R$12),"")</f>
        <v/>
      </c>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row>
    <row r="180" spans="1:65" ht="15.75" x14ac:dyDescent="0.25">
      <c r="A180" s="38"/>
      <c r="B180" s="355"/>
      <c r="C180" s="356"/>
      <c r="D180" s="357"/>
      <c r="E180" s="337"/>
      <c r="F180" s="338"/>
      <c r="G180" s="338"/>
      <c r="H180" s="338"/>
      <c r="I180" s="338"/>
      <c r="J180" s="172" t="str">
        <f ca="1">IF(AND('Mapa final'!$AB$13="Muy Baja",'Mapa final'!$AD$13="Leve"),CONCATENATE("R3C",'Mapa final'!$R$13),"")</f>
        <v/>
      </c>
      <c r="K180" s="199" t="str">
        <f>IF(AND('Mapa final'!$AB$14="Muy Baja",'Mapa final'!$AD$14="Leve"),CONCATENATE("R3C",'Mapa final'!$R$14),"")</f>
        <v/>
      </c>
      <c r="L180" s="173" t="str">
        <f>IF(AND('Mapa final'!$AB$15="Muy Baja",'Mapa final'!$AD$15="Leve"),CONCATENATE("R3C",'Mapa final'!$R$15),"")</f>
        <v/>
      </c>
      <c r="M180" s="172" t="str">
        <f ca="1">IF(AND('Mapa final'!$AB$13="Muy Baja",'Mapa final'!$AD$13="Menor"),CONCATENATE("R3C",'Mapa final'!$R$13),"")</f>
        <v/>
      </c>
      <c r="N180" s="199" t="str">
        <f>IF(AND('Mapa final'!$AB$14="Muy Baja",'Mapa final'!$AD$14="Menor"),CONCATENATE("R3C",'Mapa final'!$R$14),"")</f>
        <v/>
      </c>
      <c r="O180" s="173" t="str">
        <f>IF(AND('Mapa final'!$AB$15="Muy Baja",'Mapa final'!$AD$15="Menor"),CONCATENATE("R3C",'Mapa final'!$R$15),"")</f>
        <v/>
      </c>
      <c r="P180" s="164" t="str">
        <f ca="1">IF(AND('Mapa final'!$AB$13="Muy Baja",'Mapa final'!$AD$13="Moderado"),CONCATENATE("R3C",'Mapa final'!$R$13),"")</f>
        <v/>
      </c>
      <c r="Q180" s="193" t="str">
        <f>IF(AND('Mapa final'!$AB$14="Muy Baja",'Mapa final'!$AD$14="Moderado"),CONCATENATE("R3C",'Mapa final'!$R$14),"")</f>
        <v/>
      </c>
      <c r="R180" s="165" t="str">
        <f>IF(AND('Mapa final'!$AB$15="Muy Baja",'Mapa final'!$AD$15="Moderado"),CONCATENATE("R3C",'Mapa final'!$R$15),"")</f>
        <v/>
      </c>
      <c r="S180" s="83" t="str">
        <f ca="1">IF(AND('Mapa final'!$AB$13="Muy Baja",'Mapa final'!$AD$13="Mayor"),CONCATENATE("R3C",'Mapa final'!$R$13),"")</f>
        <v/>
      </c>
      <c r="T180" s="195" t="str">
        <f>IF(AND('Mapa final'!$AB$14="Muy Baja",'Mapa final'!$AD$14="Mayor"),CONCATENATE("R3C",'Mapa final'!$R$14),"")</f>
        <v/>
      </c>
      <c r="U180" s="84" t="str">
        <f>IF(AND('Mapa final'!$AB$15="Muy Baja",'Mapa final'!$AD$15="Mayor"),CONCATENATE("R3C",'Mapa final'!$R$15),"")</f>
        <v/>
      </c>
      <c r="V180" s="159" t="str">
        <f ca="1">IF(AND('Mapa final'!$AB$13="Muy Baja",'Mapa final'!$AD$13="Catastrófico"),CONCATENATE("R3C",'Mapa final'!$R$13),"")</f>
        <v/>
      </c>
      <c r="W180" s="194" t="str">
        <f>IF(AND('Mapa final'!$AB$14="Muy Baja",'Mapa final'!$AD$14="Catastrófico"),CONCATENATE("R3C",'Mapa final'!$R$14),"")</f>
        <v/>
      </c>
      <c r="X180" s="160" t="str">
        <f>IF(AND('Mapa final'!$AB$15="Muy Baja",'Mapa final'!$AD$15="Catastrófico"),CONCATENATE("R3C",'Mapa final'!$R$15),"")</f>
        <v/>
      </c>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row>
    <row r="181" spans="1:65" ht="15.75" x14ac:dyDescent="0.25">
      <c r="A181" s="38"/>
      <c r="B181" s="355"/>
      <c r="C181" s="356"/>
      <c r="D181" s="357"/>
      <c r="E181" s="337"/>
      <c r="F181" s="338"/>
      <c r="G181" s="338"/>
      <c r="H181" s="338"/>
      <c r="I181" s="338"/>
      <c r="J181" s="172" t="str">
        <f ca="1">IF(AND('Mapa final'!$AB$16="Muy Baja",'Mapa final'!$AD$16="Leve"),CONCATENATE("R4C",'Mapa final'!$R$16),"")</f>
        <v/>
      </c>
      <c r="K181" s="199" t="str">
        <f>IF(AND('Mapa final'!$AB$17="Muy Baja",'Mapa final'!$AD$17="Leve"),CONCATENATE("R4C",'Mapa final'!$R$17),"")</f>
        <v/>
      </c>
      <c r="L181" s="173" t="str">
        <f>IF(AND('Mapa final'!$AB$18="Muy Baja",'Mapa final'!$AD$18="Leve"),CONCATENATE("R4C",'Mapa final'!$R$18),"")</f>
        <v/>
      </c>
      <c r="M181" s="172" t="str">
        <f ca="1">IF(AND('Mapa final'!$AB$16="Muy Baja",'Mapa final'!$AD$16="Menor"),CONCATENATE("R4C",'Mapa final'!$R$16),"")</f>
        <v/>
      </c>
      <c r="N181" s="199" t="str">
        <f>IF(AND('Mapa final'!$AB$17="Muy Baja",'Mapa final'!$AD$17="Menor"),CONCATENATE("R4C",'Mapa final'!$R$17),"")</f>
        <v/>
      </c>
      <c r="O181" s="173" t="str">
        <f>IF(AND('Mapa final'!$AB$18="Muy Baja",'Mapa final'!$AD$18="Menor"),CONCATENATE("R4C",'Mapa final'!$R$18),"")</f>
        <v/>
      </c>
      <c r="P181" s="164" t="str">
        <f ca="1">IF(AND('Mapa final'!$AB$16="Muy Baja",'Mapa final'!$AD$16="Moderado"),CONCATENATE("R4C",'Mapa final'!$R$16),"")</f>
        <v/>
      </c>
      <c r="Q181" s="193" t="str">
        <f>IF(AND('Mapa final'!$AB$17="Muy Baja",'Mapa final'!$AD$17="Moderado"),CONCATENATE("R4C",'Mapa final'!$R$17),"")</f>
        <v/>
      </c>
      <c r="R181" s="165" t="str">
        <f>IF(AND('Mapa final'!$AB$18="Muy Baja",'Mapa final'!$AD$18="Moderado"),CONCATENATE("R4C",'Mapa final'!$R$18),"")</f>
        <v/>
      </c>
      <c r="S181" s="83" t="str">
        <f ca="1">IF(AND('Mapa final'!$AB$16="Muy Baja",'Mapa final'!$AD$16="Mayor"),CONCATENATE("R4C",'Mapa final'!$R$16),"")</f>
        <v/>
      </c>
      <c r="T181" s="195" t="str">
        <f>IF(AND('Mapa final'!$AB$17="Muy Baja",'Mapa final'!$AD$17="Mayor"),CONCATENATE("R4C",'Mapa final'!$R$17),"")</f>
        <v/>
      </c>
      <c r="U181" s="84" t="str">
        <f>IF(AND('Mapa final'!$AB$18="Muy Baja",'Mapa final'!$AD$18="Mayor"),CONCATENATE("R4C",'Mapa final'!$R$18),"")</f>
        <v/>
      </c>
      <c r="V181" s="159" t="str">
        <f ca="1">IF(AND('Mapa final'!$AB$16="Muy Baja",'Mapa final'!$AD$16="Catastrófico"),CONCATENATE("R4C",'Mapa final'!$R$16),"")</f>
        <v/>
      </c>
      <c r="W181" s="194" t="str">
        <f>IF(AND('Mapa final'!$AB$17="Muy Baja",'Mapa final'!$AD$17="Catastrófico"),CONCATENATE("R4C",'Mapa final'!$R$17),"")</f>
        <v/>
      </c>
      <c r="X181" s="160" t="str">
        <f>IF(AND('Mapa final'!$AB$18="Muy Baja",'Mapa final'!$AD$18="Catastrófico"),CONCATENATE("R4C",'Mapa final'!$R$18),"")</f>
        <v/>
      </c>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row>
    <row r="182" spans="1:65" ht="15.75" x14ac:dyDescent="0.25">
      <c r="A182" s="38"/>
      <c r="B182" s="355"/>
      <c r="C182" s="356"/>
      <c r="D182" s="357"/>
      <c r="E182" s="337"/>
      <c r="F182" s="338"/>
      <c r="G182" s="338"/>
      <c r="H182" s="338"/>
      <c r="I182" s="338"/>
      <c r="J182" s="172" t="str">
        <f ca="1">IF(AND('Mapa final'!$AB$19="Muy Baja",'Mapa final'!$AD$19="Leve"),CONCATENATE("R5C",'Mapa final'!$R$19),"")</f>
        <v/>
      </c>
      <c r="K182" s="199" t="str">
        <f>IF(AND('Mapa final'!$AB$20="Muy Baja",'Mapa final'!$AD$20="Leve"),CONCATENATE("R5C",'Mapa final'!$R$20),"")</f>
        <v/>
      </c>
      <c r="L182" s="173" t="str">
        <f>IF(AND('Mapa final'!$AB$21="Muy Baja",'Mapa final'!$AD$21="Leve"),CONCATENATE("R5C",'Mapa final'!$R$21),"")</f>
        <v/>
      </c>
      <c r="M182" s="172" t="str">
        <f ca="1">IF(AND('Mapa final'!$AB$19="Muy Baja",'Mapa final'!$AD$19="Menor"),CONCATENATE("R5C",'Mapa final'!$R$19),"")</f>
        <v/>
      </c>
      <c r="N182" s="199" t="str">
        <f>IF(AND('Mapa final'!$AB$20="Muy Baja",'Mapa final'!$AD$20="Menor"),CONCATENATE("R5C",'Mapa final'!$R$20),"")</f>
        <v/>
      </c>
      <c r="O182" s="173" t="str">
        <f>IF(AND('Mapa final'!$AB$21="Muy Baja",'Mapa final'!$AD$21="Menor"),CONCATENATE("R5C",'Mapa final'!$R$21),"")</f>
        <v/>
      </c>
      <c r="P182" s="164" t="str">
        <f ca="1">IF(AND('Mapa final'!$AB$19="Muy Baja",'Mapa final'!$AD$19="Moderado"),CONCATENATE("R5C",'Mapa final'!$R$19),"")</f>
        <v/>
      </c>
      <c r="Q182" s="193" t="str">
        <f>IF(AND('Mapa final'!$AB$20="Muy Baja",'Mapa final'!$AD$20="Moderado"),CONCATENATE("R5C",'Mapa final'!$R$20),"")</f>
        <v/>
      </c>
      <c r="R182" s="165" t="str">
        <f>IF(AND('Mapa final'!$AB$21="Muy Baja",'Mapa final'!$AD$21="Moderado"),CONCATENATE("R5C",'Mapa final'!$R$21),"")</f>
        <v/>
      </c>
      <c r="S182" s="83" t="str">
        <f ca="1">IF(AND('Mapa final'!$AB$19="Muy Baja",'Mapa final'!$AD$19="Mayor"),CONCATENATE("R5C",'Mapa final'!$R$19),"")</f>
        <v/>
      </c>
      <c r="T182" s="195" t="str">
        <f>IF(AND('Mapa final'!$AB$20="Muy Baja",'Mapa final'!$AD$20="Mayor"),CONCATENATE("R5C",'Mapa final'!$R$20),"")</f>
        <v/>
      </c>
      <c r="U182" s="84" t="str">
        <f>IF(AND('Mapa final'!$AB$21="Muy Baja",'Mapa final'!$AD$21="Mayor"),CONCATENATE("R5C",'Mapa final'!$R$21),"")</f>
        <v/>
      </c>
      <c r="V182" s="159" t="str">
        <f ca="1">IF(AND('Mapa final'!$AB$19="Muy Baja",'Mapa final'!$AD$19="Catastrófico"),CONCATENATE("R5C",'Mapa final'!$R$19),"")</f>
        <v/>
      </c>
      <c r="W182" s="194" t="str">
        <f>IF(AND('Mapa final'!$AB$20="Muy Baja",'Mapa final'!$AD$20="Catastrófico"),CONCATENATE("R5C",'Mapa final'!$R$20),"")</f>
        <v/>
      </c>
      <c r="X182" s="160" t="str">
        <f>IF(AND('Mapa final'!$AB$21="Muy Baja",'Mapa final'!$AD$21="Catastrófico"),CONCATENATE("R5C",'Mapa final'!$R$21),"")</f>
        <v/>
      </c>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row>
    <row r="183" spans="1:65" ht="15.75" x14ac:dyDescent="0.25">
      <c r="A183" s="38"/>
      <c r="B183" s="355"/>
      <c r="C183" s="356"/>
      <c r="D183" s="357"/>
      <c r="E183" s="337"/>
      <c r="F183" s="338"/>
      <c r="G183" s="338"/>
      <c r="H183" s="338"/>
      <c r="I183" s="338"/>
      <c r="J183" s="172" t="str">
        <f ca="1">IF(AND('Mapa final'!$AB$22="Muy Baja",'Mapa final'!$AD$22="Leve"),CONCATENATE("R6C",'Mapa final'!$R$22),"")</f>
        <v/>
      </c>
      <c r="K183" s="199" t="str">
        <f>IF(AND('Mapa final'!$AB$23="Muy Baja",'Mapa final'!$AD$23="Leve"),CONCATENATE("R6C",'Mapa final'!$R$23),"")</f>
        <v/>
      </c>
      <c r="L183" s="173" t="str">
        <f>IF(AND('Mapa final'!$AB$24="Muy Baja",'Mapa final'!$AD$24="Leve"),CONCATENATE("R6C",'Mapa final'!$R$24),"")</f>
        <v/>
      </c>
      <c r="M183" s="172" t="str">
        <f ca="1">IF(AND('Mapa final'!$AB$22="Muy Baja",'Mapa final'!$AD$22="Menor"),CONCATENATE("R6C",'Mapa final'!$R$22),"")</f>
        <v/>
      </c>
      <c r="N183" s="199" t="str">
        <f>IF(AND('Mapa final'!$AB$23="Muy Baja",'Mapa final'!$AD$23="Menor"),CONCATENATE("R6C",'Mapa final'!$R$23),"")</f>
        <v/>
      </c>
      <c r="O183" s="173" t="str">
        <f>IF(AND('Mapa final'!$AB$24="Muy Baja",'Mapa final'!$AD$24="Menor"),CONCATENATE("R6C",'Mapa final'!$R$24),"")</f>
        <v/>
      </c>
      <c r="P183" s="164" t="str">
        <f ca="1">IF(AND('Mapa final'!$AB$22="Muy Baja",'Mapa final'!$AD$22="Moderado"),CONCATENATE("R6C",'Mapa final'!$R$22),"")</f>
        <v/>
      </c>
      <c r="Q183" s="193" t="str">
        <f>IF(AND('Mapa final'!$AB$23="Muy Baja",'Mapa final'!$AD$23="Moderado"),CONCATENATE("R6C",'Mapa final'!$R$23),"")</f>
        <v/>
      </c>
      <c r="R183" s="165" t="str">
        <f>IF(AND('Mapa final'!$AB$24="Muy Baja",'Mapa final'!$AD$24="Moderado"),CONCATENATE("R6C",'Mapa final'!$R$24),"")</f>
        <v/>
      </c>
      <c r="S183" s="83" t="str">
        <f ca="1">IF(AND('Mapa final'!$AB$22="Muy Baja",'Mapa final'!$AD$22="Mayor"),CONCATENATE("R6C",'Mapa final'!$R$22),"")</f>
        <v/>
      </c>
      <c r="T183" s="195" t="str">
        <f>IF(AND('Mapa final'!$AB$23="Muy Baja",'Mapa final'!$AD$23="Mayor"),CONCATENATE("R6C",'Mapa final'!$R$23),"")</f>
        <v/>
      </c>
      <c r="U183" s="84" t="str">
        <f>IF(AND('Mapa final'!$AB$24="Muy Baja",'Mapa final'!$AD$24="Mayor"),CONCATENATE("R6C",'Mapa final'!$R$24),"")</f>
        <v/>
      </c>
      <c r="V183" s="159" t="str">
        <f ca="1">IF(AND('Mapa final'!$AB$22="Muy Baja",'Mapa final'!$AD$22="Catastrófico"),CONCATENATE("R6C",'Mapa final'!$R$22),"")</f>
        <v/>
      </c>
      <c r="W183" s="194" t="str">
        <f>IF(AND('Mapa final'!$AB$23="Muy Baja",'Mapa final'!$AD$23="Catastrófico"),CONCATENATE("R6C",'Mapa final'!$R$23),"")</f>
        <v/>
      </c>
      <c r="X183" s="160" t="str">
        <f>IF(AND('Mapa final'!$AB$24="Muy Baja",'Mapa final'!$AD$24="Catastrófico"),CONCATENATE("R6C",'Mapa final'!$R$24),"")</f>
        <v/>
      </c>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row>
    <row r="184" spans="1:65" ht="15.75" x14ac:dyDescent="0.25">
      <c r="A184" s="38"/>
      <c r="B184" s="355"/>
      <c r="C184" s="356"/>
      <c r="D184" s="357"/>
      <c r="E184" s="337"/>
      <c r="F184" s="338"/>
      <c r="G184" s="338"/>
      <c r="H184" s="338"/>
      <c r="I184" s="338"/>
      <c r="J184" s="172" t="str">
        <f ca="1">IF(AND('Mapa final'!$AB$25="Muy Baja",'Mapa final'!$AD$25="Leve"),CONCATENATE("R7C",'Mapa final'!$R$25),"")</f>
        <v/>
      </c>
      <c r="K184" s="199" t="str">
        <f>IF(AND('Mapa final'!$AB$26="Muy Baja",'Mapa final'!$AD$26="Leve"),CONCATENATE("R7C",'Mapa final'!$R$26),"")</f>
        <v/>
      </c>
      <c r="L184" s="173" t="str">
        <f>IF(AND('Mapa final'!$AB$27="Muy Baja",'Mapa final'!$AD$27="Leve"),CONCATENATE("R7C",'Mapa final'!$R$27),"")</f>
        <v/>
      </c>
      <c r="M184" s="172" t="str">
        <f ca="1">IF(AND('Mapa final'!$AB$25="Muy Baja",'Mapa final'!$AD$25="Menor"),CONCATENATE("R7C",'Mapa final'!$R$25),"")</f>
        <v/>
      </c>
      <c r="N184" s="199" t="str">
        <f>IF(AND('Mapa final'!$AB$26="Muy Baja",'Mapa final'!$AD$26="Menor"),CONCATENATE("R7C",'Mapa final'!$R$26),"")</f>
        <v/>
      </c>
      <c r="O184" s="173" t="str">
        <f>IF(AND('Mapa final'!$AB$27="Muy Baja",'Mapa final'!$AD$27="Menor"),CONCATENATE("R7C",'Mapa final'!$R$27),"")</f>
        <v/>
      </c>
      <c r="P184" s="164" t="str">
        <f ca="1">IF(AND('Mapa final'!$AB$25="Muy Baja",'Mapa final'!$AD$25="Moderado"),CONCATENATE("R7C",'Mapa final'!$R$25),"")</f>
        <v/>
      </c>
      <c r="Q184" s="193" t="str">
        <f>IF(AND('Mapa final'!$AB$26="Muy Baja",'Mapa final'!$AD$26="Moderado"),CONCATENATE("R7C",'Mapa final'!$R$26),"")</f>
        <v/>
      </c>
      <c r="R184" s="165" t="str">
        <f>IF(AND('Mapa final'!$AB$27="Muy Baja",'Mapa final'!$AD$27="Moderado"),CONCATENATE("R7C",'Mapa final'!$R$27),"")</f>
        <v/>
      </c>
      <c r="S184" s="83" t="str">
        <f ca="1">IF(AND('Mapa final'!$AB$25="Muy Baja",'Mapa final'!$AD$25="Mayor"),CONCATENATE("R7C",'Mapa final'!$R$25),"")</f>
        <v/>
      </c>
      <c r="T184" s="195" t="str">
        <f>IF(AND('Mapa final'!$AB$26="Muy Baja",'Mapa final'!$AD$26="Mayor"),CONCATENATE("R7C",'Mapa final'!$R$26),"")</f>
        <v/>
      </c>
      <c r="U184" s="84" t="str">
        <f>IF(AND('Mapa final'!$AB$27="Muy Baja",'Mapa final'!$AD$27="Mayor"),CONCATENATE("R7C",'Mapa final'!$R$27),"")</f>
        <v/>
      </c>
      <c r="V184" s="159" t="str">
        <f ca="1">IF(AND('Mapa final'!$AB$25="Muy Baja",'Mapa final'!$AD$25="Catastrófico"),CONCATENATE("R7C",'Mapa final'!$R$25),"")</f>
        <v/>
      </c>
      <c r="W184" s="194" t="str">
        <f>IF(AND('Mapa final'!$AB$26="Muy Baja",'Mapa final'!$AD$26="Catastrófico"),CONCATENATE("R7C",'Mapa final'!$R$26),"")</f>
        <v/>
      </c>
      <c r="X184" s="160" t="str">
        <f>IF(AND('Mapa final'!$AB$27="Muy Baja",'Mapa final'!$AD$27="Catastrófico"),CONCATENATE("R7C",'Mapa final'!$R$27),"")</f>
        <v/>
      </c>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row>
    <row r="185" spans="1:65" ht="15.75" x14ac:dyDescent="0.25">
      <c r="A185" s="38"/>
      <c r="B185" s="355"/>
      <c r="C185" s="356"/>
      <c r="D185" s="357"/>
      <c r="E185" s="337"/>
      <c r="F185" s="338"/>
      <c r="G185" s="338"/>
      <c r="H185" s="338"/>
      <c r="I185" s="338"/>
      <c r="J185" s="172" t="str">
        <f ca="1">IF(AND('Mapa final'!$AB$28="Muy Baja",'Mapa final'!$AD$28="Leve"),CONCATENATE("R8C",'Mapa final'!$R$28),"")</f>
        <v/>
      </c>
      <c r="K185" s="199" t="str">
        <f>IF(AND('Mapa final'!$AB$29="Muy Baja",'Mapa final'!$AD$29="Leve"),CONCATENATE("R8C",'Mapa final'!$R$29),"")</f>
        <v/>
      </c>
      <c r="L185" s="173" t="str">
        <f>IF(AND('Mapa final'!$AB$30="Muy Baja",'Mapa final'!$AD$30="Leve"),CONCATENATE("R8C",'Mapa final'!$R$30),"")</f>
        <v/>
      </c>
      <c r="M185" s="172" t="str">
        <f ca="1">IF(AND('Mapa final'!$AB$28="Muy Baja",'Mapa final'!$AD$28="Menor"),CONCATENATE("R8C",'Mapa final'!$R$28),"")</f>
        <v/>
      </c>
      <c r="N185" s="199" t="str">
        <f>IF(AND('Mapa final'!$AB$29="Muy Baja",'Mapa final'!$AD$29="Menor"),CONCATENATE("R8C",'Mapa final'!$R$29),"")</f>
        <v/>
      </c>
      <c r="O185" s="173" t="str">
        <f>IF(AND('Mapa final'!$AB$30="Muy Baja",'Mapa final'!$AD$30="Menor"),CONCATENATE("R8C",'Mapa final'!$R$30),"")</f>
        <v/>
      </c>
      <c r="P185" s="164" t="str">
        <f ca="1">IF(AND('Mapa final'!$AB$28="Muy Baja",'Mapa final'!$AD$28="Moderado"),CONCATENATE("R8C",'Mapa final'!$R$28),"")</f>
        <v/>
      </c>
      <c r="Q185" s="193" t="str">
        <f>IF(AND('Mapa final'!$AB$29="Muy Baja",'Mapa final'!$AD$29="Moderado"),CONCATENATE("R8C",'Mapa final'!$R$29),"")</f>
        <v/>
      </c>
      <c r="R185" s="165" t="str">
        <f>IF(AND('Mapa final'!$AB$30="Muy Baja",'Mapa final'!$AD$30="Moderado"),CONCATENATE("R8C",'Mapa final'!$R$30),"")</f>
        <v/>
      </c>
      <c r="S185" s="83" t="str">
        <f ca="1">IF(AND('Mapa final'!$AB$28="Muy Baja",'Mapa final'!$AD$28="Mayor"),CONCATENATE("R8C",'Mapa final'!$R$28),"")</f>
        <v/>
      </c>
      <c r="T185" s="195" t="str">
        <f>IF(AND('Mapa final'!$AB$29="Muy Baja",'Mapa final'!$AD$29="Mayor"),CONCATENATE("R8C",'Mapa final'!$R$29),"")</f>
        <v/>
      </c>
      <c r="U185" s="84" t="str">
        <f>IF(AND('Mapa final'!$AB$30="Muy Baja",'Mapa final'!$AD$30="Mayor"),CONCATENATE("R8C",'Mapa final'!$R$30),"")</f>
        <v/>
      </c>
      <c r="V185" s="159" t="str">
        <f ca="1">IF(AND('Mapa final'!$AB$28="Muy Baja",'Mapa final'!$AD$28="Catastrófico"),CONCATENATE("R8C",'Mapa final'!$R$28),"")</f>
        <v/>
      </c>
      <c r="W185" s="194" t="str">
        <f>IF(AND('Mapa final'!$AB$29="Muy Baja",'Mapa final'!$AD$29="Catastrófico"),CONCATENATE("R8C",'Mapa final'!$R$29),"")</f>
        <v/>
      </c>
      <c r="X185" s="160" t="str">
        <f>IF(AND('Mapa final'!$AB$30="Muy Baja",'Mapa final'!$AD$30="Catastrófico"),CONCATENATE("R8C",'Mapa final'!$R$30),"")</f>
        <v/>
      </c>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row>
    <row r="186" spans="1:65" ht="15.75" x14ac:dyDescent="0.25">
      <c r="A186" s="38"/>
      <c r="B186" s="355"/>
      <c r="C186" s="356"/>
      <c r="D186" s="357"/>
      <c r="E186" s="337"/>
      <c r="F186" s="338"/>
      <c r="G186" s="338"/>
      <c r="H186" s="338"/>
      <c r="I186" s="338"/>
      <c r="J186" s="172" t="str">
        <f ca="1">IF(AND('Mapa final'!$AB$31="Muy Baja",'Mapa final'!$AD$31="Leve"),CONCATENATE("R9C",'Mapa final'!$R$31),"")</f>
        <v/>
      </c>
      <c r="K186" s="199" t="str">
        <f>IF(AND('Mapa final'!$AB$32="Muy Baja",'Mapa final'!$AD$32="Leve"),CONCATENATE("R9C",'Mapa final'!$R$32),"")</f>
        <v/>
      </c>
      <c r="L186" s="173" t="str">
        <f>IF(AND('Mapa final'!$AB$33="Muy Baja",'Mapa final'!$AD$33="Leve"),CONCATENATE("R9C",'Mapa final'!$R$33),"")</f>
        <v/>
      </c>
      <c r="M186" s="172" t="str">
        <f ca="1">IF(AND('Mapa final'!$AB$31="Muy Baja",'Mapa final'!$AD$31="Menor"),CONCATENATE("R9C",'Mapa final'!$R$31),"")</f>
        <v/>
      </c>
      <c r="N186" s="199" t="str">
        <f>IF(AND('Mapa final'!$AB$32="Muy Baja",'Mapa final'!$AD$32="Menor"),CONCATENATE("R9C",'Mapa final'!$R$32),"")</f>
        <v/>
      </c>
      <c r="O186" s="173" t="str">
        <f>IF(AND('Mapa final'!$AB$33="Muy Baja",'Mapa final'!$AD$33="Menor"),CONCATENATE("R9C",'Mapa final'!$R$33),"")</f>
        <v/>
      </c>
      <c r="P186" s="164" t="str">
        <f ca="1">IF(AND('Mapa final'!$AB$31="Muy Baja",'Mapa final'!$AD$31="Moderado"),CONCATENATE("R9C",'Mapa final'!$R$31),"")</f>
        <v/>
      </c>
      <c r="Q186" s="193" t="str">
        <f>IF(AND('Mapa final'!$AB$32="Muy Baja",'Mapa final'!$AD$32="Moderado"),CONCATENATE("R9C",'Mapa final'!$R$32),"")</f>
        <v/>
      </c>
      <c r="R186" s="165" t="str">
        <f>IF(AND('Mapa final'!$AB$33="Muy Baja",'Mapa final'!$AD$33="Moderado"),CONCATENATE("R9C",'Mapa final'!$R$33),"")</f>
        <v/>
      </c>
      <c r="S186" s="83" t="str">
        <f ca="1">IF(AND('Mapa final'!$AB$31="Muy Baja",'Mapa final'!$AD$31="Mayor"),CONCATENATE("R9C",'Mapa final'!$R$31),"")</f>
        <v/>
      </c>
      <c r="T186" s="195" t="str">
        <f>IF(AND('Mapa final'!$AB$32="Muy Baja",'Mapa final'!$AD$32="Mayor"),CONCATENATE("R9C",'Mapa final'!$R$32),"")</f>
        <v/>
      </c>
      <c r="U186" s="84" t="str">
        <f>IF(AND('Mapa final'!$AB$33="Muy Baja",'Mapa final'!$AD$33="Mayor"),CONCATENATE("R9C",'Mapa final'!$R$33),"")</f>
        <v/>
      </c>
      <c r="V186" s="159" t="str">
        <f ca="1">IF(AND('Mapa final'!$AB$31="Muy Baja",'Mapa final'!$AD$31="Catastrófico"),CONCATENATE("R9C",'Mapa final'!$R$31),"")</f>
        <v/>
      </c>
      <c r="W186" s="194" t="str">
        <f>IF(AND('Mapa final'!$AB$32="Muy Baja",'Mapa final'!$AD$32="Catastrófico"),CONCATENATE("R9C",'Mapa final'!$R$32),"")</f>
        <v/>
      </c>
      <c r="X186" s="160" t="str">
        <f>IF(AND('Mapa final'!$AB$33="Muy Baja",'Mapa final'!$AD$33="Catastrófico"),CONCATENATE("R9C",'Mapa final'!$R$33),"")</f>
        <v/>
      </c>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row>
    <row r="187" spans="1:65" ht="15.75" x14ac:dyDescent="0.25">
      <c r="A187" s="38"/>
      <c r="B187" s="355"/>
      <c r="C187" s="356"/>
      <c r="D187" s="357"/>
      <c r="E187" s="337"/>
      <c r="F187" s="338"/>
      <c r="G187" s="338"/>
      <c r="H187" s="338"/>
      <c r="I187" s="338"/>
      <c r="J187" s="172" t="str">
        <f ca="1">IF(AND('Mapa final'!$AB$34="Muy Baja",'Mapa final'!$AD$34="Leve"),CONCATENATE("R10C",'Mapa final'!$R$34),"")</f>
        <v/>
      </c>
      <c r="K187" s="199" t="str">
        <f>IF(AND('Mapa final'!$AB$35="Muy Baja",'Mapa final'!$AD$35="Leve"),CONCATENATE("R10C",'Mapa final'!$R$35),"")</f>
        <v/>
      </c>
      <c r="L187" s="173" t="str">
        <f>IF(AND('Mapa final'!$AB$36="Muy Baja",'Mapa final'!$AD$36="Leve"),CONCATENATE("R10C",'Mapa final'!$R$36),"")</f>
        <v/>
      </c>
      <c r="M187" s="172" t="str">
        <f ca="1">IF(AND('Mapa final'!$AB$34="Muy Baja",'Mapa final'!$AD$34="Menor"),CONCATENATE("R10C",'Mapa final'!$R$34),"")</f>
        <v/>
      </c>
      <c r="N187" s="199" t="str">
        <f>IF(AND('Mapa final'!$AB$35="Muy Baja",'Mapa final'!$AD$35="Menor"),CONCATENATE("R10C",'Mapa final'!$R$35),"")</f>
        <v/>
      </c>
      <c r="O187" s="173" t="str">
        <f>IF(AND('Mapa final'!$AB$36="Muy Baja",'Mapa final'!$AD$36="Menor"),CONCATENATE("R10C",'Mapa final'!$R$36),"")</f>
        <v/>
      </c>
      <c r="P187" s="164" t="str">
        <f ca="1">IF(AND('Mapa final'!$AB$34="Muy Baja",'Mapa final'!$AD$34="Moderado"),CONCATENATE("R10C",'Mapa final'!$R$34),"")</f>
        <v/>
      </c>
      <c r="Q187" s="193" t="str">
        <f>IF(AND('Mapa final'!$AB$35="Muy Baja",'Mapa final'!$AD$35="Moderado"),CONCATENATE("R10C",'Mapa final'!$R$35),"")</f>
        <v/>
      </c>
      <c r="R187" s="165" t="str">
        <f>IF(AND('Mapa final'!$AB$36="Muy Baja",'Mapa final'!$AD$36="Moderado"),CONCATENATE("R10C",'Mapa final'!$R$36),"")</f>
        <v/>
      </c>
      <c r="S187" s="83" t="str">
        <f ca="1">IF(AND('Mapa final'!$AB$34="Muy Baja",'Mapa final'!$AD$34="Mayor"),CONCATENATE("R10C",'Mapa final'!$R$34),"")</f>
        <v/>
      </c>
      <c r="T187" s="195" t="str">
        <f>IF(AND('Mapa final'!$AB$35="Muy Baja",'Mapa final'!$AD$35="Mayor"),CONCATENATE("R10C",'Mapa final'!$R$35),"")</f>
        <v/>
      </c>
      <c r="U187" s="84" t="str">
        <f>IF(AND('Mapa final'!$AB$36="Muy Baja",'Mapa final'!$AD$36="Mayor"),CONCATENATE("R10C",'Mapa final'!$R$36),"")</f>
        <v/>
      </c>
      <c r="V187" s="159" t="str">
        <f ca="1">IF(AND('Mapa final'!$AB$34="Muy Baja",'Mapa final'!$AD$34="Catastrófico"),CONCATENATE("R10C",'Mapa final'!$R$34),"")</f>
        <v/>
      </c>
      <c r="W187" s="194" t="str">
        <f>IF(AND('Mapa final'!$AB$35="Muy Baja",'Mapa final'!$AD$35="Catastrófico"),CONCATENATE("R10C",'Mapa final'!$R$35),"")</f>
        <v/>
      </c>
      <c r="X187" s="160" t="str">
        <f>IF(AND('Mapa final'!$AB$36="Muy Baja",'Mapa final'!$AD$36="Catastrófico"),CONCATENATE("R10C",'Mapa final'!$R$36),"")</f>
        <v/>
      </c>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row>
    <row r="188" spans="1:65" ht="15.75" x14ac:dyDescent="0.25">
      <c r="A188" s="38"/>
      <c r="B188" s="355"/>
      <c r="C188" s="356"/>
      <c r="D188" s="357"/>
      <c r="E188" s="337"/>
      <c r="F188" s="338"/>
      <c r="G188" s="338"/>
      <c r="H188" s="338"/>
      <c r="I188" s="338"/>
      <c r="J188" s="172" t="str">
        <f ca="1">IF(AND('Mapa final'!$AB$37="Muy Baja",'Mapa final'!$AD$37="Leve"),CONCATENATE("R11C",'Mapa final'!$R$37),"")</f>
        <v/>
      </c>
      <c r="K188" s="199" t="str">
        <f>IF(AND('Mapa final'!$AB$38="Muy Baja",'Mapa final'!$AD$38="Leve"),CONCATENATE("R11C",'Mapa final'!$R$38),"")</f>
        <v>R11C2</v>
      </c>
      <c r="L188" s="173" t="str">
        <f>IF(AND('Mapa final'!$AB$39="Muy Baja",'Mapa final'!$AD$39="Leve"),CONCATENATE("R11C",'Mapa final'!$R$39),"")</f>
        <v>R11C3</v>
      </c>
      <c r="M188" s="172" t="str">
        <f ca="1">IF(AND('Mapa final'!$AB$37="Muy Baja",'Mapa final'!$AD$37="Menor"),CONCATENATE("R11C",'Mapa final'!$R$37),"")</f>
        <v/>
      </c>
      <c r="N188" s="199" t="str">
        <f>IF(AND('Mapa final'!$AB$38="Muy Baja",'Mapa final'!$AD$38="Menor"),CONCATENATE("R11C",'Mapa final'!$R$38),"")</f>
        <v/>
      </c>
      <c r="O188" s="173" t="str">
        <f>IF(AND('Mapa final'!$AB$39="Muy Baja",'Mapa final'!$AD$39="Menor"),CONCATENATE("R11C",'Mapa final'!$R$39),"")</f>
        <v/>
      </c>
      <c r="P188" s="164" t="str">
        <f ca="1">IF(AND('Mapa final'!$AB$37="Muy Baja",'Mapa final'!$AD$37="Moderado"),CONCATENATE("R11C",'Mapa final'!$R$37),"")</f>
        <v/>
      </c>
      <c r="Q188" s="193" t="str">
        <f>IF(AND('Mapa final'!$AB$38="Muy Baja",'Mapa final'!$AD$38="Moderado"),CONCATENATE("R11C",'Mapa final'!$R$38),"")</f>
        <v/>
      </c>
      <c r="R188" s="165" t="str">
        <f>IF(AND('Mapa final'!$AB$39="Muy Baja",'Mapa final'!$AD$39="Moderado"),CONCATENATE("R11C",'Mapa final'!$R$39),"")</f>
        <v/>
      </c>
      <c r="S188" s="83" t="str">
        <f ca="1">IF(AND('Mapa final'!$AB$37="Muy Baja",'Mapa final'!$AD$37="Mayor"),CONCATENATE("R11C",'Mapa final'!$R$37),"")</f>
        <v/>
      </c>
      <c r="T188" s="195" t="str">
        <f>IF(AND('Mapa final'!$AB$38="Muy Baja",'Mapa final'!$AD$38="Mayor"),CONCATENATE("R11C",'Mapa final'!$R$38),"")</f>
        <v/>
      </c>
      <c r="U188" s="84" t="str">
        <f>IF(AND('Mapa final'!$AB$39="Muy Baja",'Mapa final'!$AD$39="Mayor"),CONCATENATE("R11C",'Mapa final'!$R$39),"")</f>
        <v/>
      </c>
      <c r="V188" s="159" t="str">
        <f ca="1">IF(AND('Mapa final'!$AB$37="Muy Baja",'Mapa final'!$AD$37="Catastrófico"),CONCATENATE("R11C",'Mapa final'!$R$37),"")</f>
        <v/>
      </c>
      <c r="W188" s="194" t="str">
        <f>IF(AND('Mapa final'!$AB$38="Muy Baja",'Mapa final'!$AD$38="Catastrófico"),CONCATENATE("R11C",'Mapa final'!$R$38),"")</f>
        <v/>
      </c>
      <c r="X188" s="160" t="str">
        <f>IF(AND('Mapa final'!$AB$39="Muy Baja",'Mapa final'!$AD$39="Catastrófico"),CONCATENATE("R11C",'Mapa final'!$R$39),"")</f>
        <v/>
      </c>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row>
    <row r="189" spans="1:65" ht="15.75" x14ac:dyDescent="0.25">
      <c r="A189" s="38"/>
      <c r="B189" s="355"/>
      <c r="C189" s="356"/>
      <c r="D189" s="357"/>
      <c r="E189" s="337"/>
      <c r="F189" s="338"/>
      <c r="G189" s="338"/>
      <c r="H189" s="338"/>
      <c r="I189" s="338"/>
      <c r="J189" s="172" t="str">
        <f>IF(AND('Mapa final'!$AB$40="Muy Baja",'Mapa final'!$AD$40="Leve"),CONCATENATE("R11C",'Mapa final'!$R$40),"")</f>
        <v>R11C4</v>
      </c>
      <c r="K189" s="199" t="str">
        <f ca="1">IF(AND('Mapa final'!$AB$41="Muy Baja",'Mapa final'!$AD$41="Leve"),CONCATENATE("R12C",'Mapa final'!$R$41),"")</f>
        <v/>
      </c>
      <c r="L189" s="173" t="str">
        <f>IF(AND('Mapa final'!$AB$42="Muy Baja",'Mapa final'!$AD$42="Leve"),CONCATENATE("R12C",'Mapa final'!$R$42),"")</f>
        <v/>
      </c>
      <c r="M189" s="172" t="str">
        <f>IF(AND('Mapa final'!$AB$40="Muy Baja",'Mapa final'!$AD$40="Menor"),CONCATENATE("R11C",'Mapa final'!$R$40),"")</f>
        <v/>
      </c>
      <c r="N189" s="199" t="str">
        <f ca="1">IF(AND('Mapa final'!$AB$41="Muy Baja",'Mapa final'!$AD$41="Menor"),CONCATENATE("R12C",'Mapa final'!$R$41),"")</f>
        <v/>
      </c>
      <c r="O189" s="173" t="str">
        <f>IF(AND('Mapa final'!$AB$42="Muy Baja",'Mapa final'!$AD$42="Menor"),CONCATENATE("R12C",'Mapa final'!$R$42),"")</f>
        <v/>
      </c>
      <c r="P189" s="164" t="str">
        <f>IF(AND('Mapa final'!$AB$40="Muy Baja",'Mapa final'!$AD$40="Moderado"),CONCATENATE("R11C",'Mapa final'!$R$40),"")</f>
        <v/>
      </c>
      <c r="Q189" s="193" t="str">
        <f ca="1">IF(AND('Mapa final'!$AB$41="Muy Baja",'Mapa final'!$AD$41="Moderado"),CONCATENATE("R12C",'Mapa final'!$R$41),"")</f>
        <v/>
      </c>
      <c r="R189" s="165" t="str">
        <f>IF(AND('Mapa final'!$AB$42="Muy Baja",'Mapa final'!$AD$42="Moderado"),CONCATENATE("R12C",'Mapa final'!$R$42),"")</f>
        <v/>
      </c>
      <c r="S189" s="83" t="str">
        <f>IF(AND('Mapa final'!$AB$40="Muy Baja",'Mapa final'!$AD$40="Mayor"),CONCATENATE("R11C",'Mapa final'!$R$40),"")</f>
        <v/>
      </c>
      <c r="T189" s="195" t="str">
        <f ca="1">IF(AND('Mapa final'!$AB$41="Muy Baja",'Mapa final'!$AD$41="Mayor"),CONCATENATE("R12C",'Mapa final'!$R$41),"")</f>
        <v/>
      </c>
      <c r="U189" s="84" t="str">
        <f>IF(AND('Mapa final'!$AB$42="Muy Baja",'Mapa final'!$AD$42="Mayor"),CONCATENATE("R12C",'Mapa final'!$R$42),"")</f>
        <v/>
      </c>
      <c r="V189" s="159" t="str">
        <f>IF(AND('Mapa final'!$AB$40="Muy Baja",'Mapa final'!$AD$40="Catastrófico"),CONCATENATE("R11C",'Mapa final'!$R$40),"")</f>
        <v/>
      </c>
      <c r="W189" s="194" t="str">
        <f ca="1">IF(AND('Mapa final'!$AB$41="Muy Baja",'Mapa final'!$AD$41="Catastrófico"),CONCATENATE("R12C",'Mapa final'!$R$41),"")</f>
        <v/>
      </c>
      <c r="X189" s="160" t="str">
        <f>IF(AND('Mapa final'!$AB$42="Muy Baja",'Mapa final'!$AD$42="Catastrófico"),CONCATENATE("R12C",'Mapa final'!$R$42),"")</f>
        <v/>
      </c>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row>
    <row r="190" spans="1:65" ht="15.75" x14ac:dyDescent="0.25">
      <c r="A190" s="38"/>
      <c r="B190" s="355"/>
      <c r="C190" s="356"/>
      <c r="D190" s="357"/>
      <c r="E190" s="337"/>
      <c r="F190" s="338"/>
      <c r="G190" s="338"/>
      <c r="H190" s="338"/>
      <c r="I190" s="338"/>
      <c r="J190" s="172" t="str">
        <f>IF(AND('Mapa final'!$AB$43="Muy Baja",'Mapa final'!$AD$43="Leve"),CONCATENATE("R12C",'Mapa final'!$R$43),"")</f>
        <v/>
      </c>
      <c r="K190" s="199" t="str">
        <f ca="1">IF(AND('Mapa final'!$AB$44="Muy Baja",'Mapa final'!$AD$44="Leve"),CONCATENATE("R13C",'Mapa final'!$R$44),"")</f>
        <v/>
      </c>
      <c r="L190" s="173" t="str">
        <f>IF(AND('Mapa final'!$AB$45="Muy Baja",'Mapa final'!$AD$45="Leve"),CONCATENATE("R13C",'Mapa final'!$R$45),"")</f>
        <v>R13C2</v>
      </c>
      <c r="M190" s="172" t="str">
        <f>IF(AND('Mapa final'!$AB$43="Muy Baja",'Mapa final'!$AD$43="Menor"),CONCATENATE("R12C",'Mapa final'!$R$43),"")</f>
        <v/>
      </c>
      <c r="N190" s="199" t="str">
        <f ca="1">IF(AND('Mapa final'!$AB$44="Muy Baja",'Mapa final'!$AD$44="Menor"),CONCATENATE("R13C",'Mapa final'!$R$44),"")</f>
        <v/>
      </c>
      <c r="O190" s="173" t="str">
        <f>IF(AND('Mapa final'!$AB$45="Muy Baja",'Mapa final'!$AD$45="Menor"),CONCATENATE("R13C",'Mapa final'!$R$45),"")</f>
        <v/>
      </c>
      <c r="P190" s="164" t="str">
        <f>IF(AND('Mapa final'!$AB$43="Muy Baja",'Mapa final'!$AD$43="Moderado"),CONCATENATE("R12C",'Mapa final'!$R$43),"")</f>
        <v/>
      </c>
      <c r="Q190" s="193" t="str">
        <f ca="1">IF(AND('Mapa final'!$AB$44="Muy Baja",'Mapa final'!$AD$44="Moderado"),CONCATENATE("R13C",'Mapa final'!$R$44),"")</f>
        <v/>
      </c>
      <c r="R190" s="165" t="str">
        <f>IF(AND('Mapa final'!$AB$45="Muy Baja",'Mapa final'!$AD$45="Moderado"),CONCATENATE("R13C",'Mapa final'!$R$45),"")</f>
        <v/>
      </c>
      <c r="S190" s="83" t="str">
        <f>IF(AND('Mapa final'!$AB$43="Muy Baja",'Mapa final'!$AD$43="Mayor"),CONCATENATE("R12C",'Mapa final'!$R$43),"")</f>
        <v/>
      </c>
      <c r="T190" s="195" t="str">
        <f ca="1">IF(AND('Mapa final'!$AB$44="Muy Baja",'Mapa final'!$AD$44="Mayor"),CONCATENATE("R13C",'Mapa final'!$R$44),"")</f>
        <v/>
      </c>
      <c r="U190" s="84" t="str">
        <f>IF(AND('Mapa final'!$AB$45="Muy Baja",'Mapa final'!$AD$45="Mayor"),CONCATENATE("R13C",'Mapa final'!$R$45),"")</f>
        <v/>
      </c>
      <c r="V190" s="159" t="str">
        <f>IF(AND('Mapa final'!$AB$43="Muy Baja",'Mapa final'!$AD$43="Catastrófico"),CONCATENATE("R12C",'Mapa final'!$R$43),"")</f>
        <v/>
      </c>
      <c r="W190" s="194" t="str">
        <f ca="1">IF(AND('Mapa final'!$AB$44="Muy Baja",'Mapa final'!$AD$44="Catastrófico"),CONCATENATE("R13C",'Mapa final'!$R$44),"")</f>
        <v/>
      </c>
      <c r="X190" s="160" t="str">
        <f>IF(AND('Mapa final'!$AB$45="Muy Baja",'Mapa final'!$AD$45="Catastrófico"),CONCATENATE("R13C",'Mapa final'!$R$45),"")</f>
        <v/>
      </c>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row>
    <row r="191" spans="1:65" ht="15.75" x14ac:dyDescent="0.25">
      <c r="A191" s="38"/>
      <c r="B191" s="355"/>
      <c r="C191" s="356"/>
      <c r="D191" s="357"/>
      <c r="E191" s="337"/>
      <c r="F191" s="338"/>
      <c r="G191" s="338"/>
      <c r="H191" s="338"/>
      <c r="I191" s="338"/>
      <c r="J191" s="172" t="str">
        <f>IF(AND('Mapa final'!$AB$46="Muy Baja",'Mapa final'!$AD$46="Leve"),CONCATENATE("R13C",'Mapa final'!$R$46),"")</f>
        <v>R13C3</v>
      </c>
      <c r="K191" s="199" t="str">
        <f>IF(AND('Mapa final'!$AB$47="Muy Baja",'Mapa final'!$AD$47="Leve"),CONCATENATE("R13C",'Mapa final'!$R$47),"")</f>
        <v>R13C4</v>
      </c>
      <c r="L191" s="173" t="str">
        <f>IF(AND('Mapa final'!$AB$48="Muy Baja",'Mapa final'!$AD$48="Leve"),CONCATENATE("R13C",'Mapa final'!$R$48),"")</f>
        <v>R13C5</v>
      </c>
      <c r="M191" s="172" t="str">
        <f>IF(AND('Mapa final'!$AB$46="Muy Baja",'Mapa final'!$AD$46="Menor"),CONCATENATE("R13C",'Mapa final'!$R$46),"")</f>
        <v/>
      </c>
      <c r="N191" s="199" t="str">
        <f>IF(AND('Mapa final'!$AB$47="Muy Baja",'Mapa final'!$AD$47="Menor"),CONCATENATE("R13C",'Mapa final'!$R$47),"")</f>
        <v/>
      </c>
      <c r="O191" s="173" t="str">
        <f>IF(AND('Mapa final'!$AB$48="Muy Baja",'Mapa final'!$AD$48="Menor"),CONCATENATE("R13C",'Mapa final'!$R$48),"")</f>
        <v/>
      </c>
      <c r="P191" s="164" t="str">
        <f>IF(AND('Mapa final'!$AB$46="Muy Baja",'Mapa final'!$AD$46="Moderado"),CONCATENATE("R13C",'Mapa final'!$R$46),"")</f>
        <v/>
      </c>
      <c r="Q191" s="193" t="str">
        <f>IF(AND('Mapa final'!$AB$47="Muy Baja",'Mapa final'!$AD$47="Moderado"),CONCATENATE("R13C",'Mapa final'!$R$47),"")</f>
        <v/>
      </c>
      <c r="R191" s="165" t="str">
        <f>IF(AND('Mapa final'!$AB$48="Muy Baja",'Mapa final'!$AD$48="Moderado"),CONCATENATE("R13C",'Mapa final'!$R$48),"")</f>
        <v/>
      </c>
      <c r="S191" s="83" t="str">
        <f>IF(AND('Mapa final'!$AB$46="Muy Baja",'Mapa final'!$AD$46="Mayor"),CONCATENATE("R13C",'Mapa final'!$R$46),"")</f>
        <v/>
      </c>
      <c r="T191" s="195" t="str">
        <f>IF(AND('Mapa final'!$AB$47="Muy Baja",'Mapa final'!$AD$47="Mayor"),CONCATENATE("R13C",'Mapa final'!$R$47),"")</f>
        <v/>
      </c>
      <c r="U191" s="84" t="str">
        <f>IF(AND('Mapa final'!$AB$48="Muy Baja",'Mapa final'!$AD$48="Mayor"),CONCATENATE("R13C",'Mapa final'!$R$48),"")</f>
        <v/>
      </c>
      <c r="V191" s="159" t="str">
        <f>IF(AND('Mapa final'!$AB$46="Muy Baja",'Mapa final'!$AD$46="Catastrófico"),CONCATENATE("R13C",'Mapa final'!$R$46),"")</f>
        <v/>
      </c>
      <c r="W191" s="194" t="str">
        <f>IF(AND('Mapa final'!$AB$47="Muy Baja",'Mapa final'!$AD$47="Catastrófico"),CONCATENATE("R13C",'Mapa final'!$R$47),"")</f>
        <v/>
      </c>
      <c r="X191" s="160" t="str">
        <f>IF(AND('Mapa final'!$AB$48="Muy Baja",'Mapa final'!$AD$48="Catastrófico"),CONCATENATE("R13C",'Mapa final'!$R$48),"")</f>
        <v/>
      </c>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row>
    <row r="192" spans="1:65" ht="15.75" x14ac:dyDescent="0.25">
      <c r="A192" s="38"/>
      <c r="B192" s="355"/>
      <c r="C192" s="356"/>
      <c r="D192" s="357"/>
      <c r="E192" s="337"/>
      <c r="F192" s="338"/>
      <c r="G192" s="338"/>
      <c r="H192" s="338"/>
      <c r="I192" s="338"/>
      <c r="J192" s="172" t="str">
        <f ca="1">IF(AND('Mapa final'!$AB$49="Muy Baja",'Mapa final'!$AD$49="Leve"),CONCATENATE("R14C",'Mapa final'!$R$49),"")</f>
        <v/>
      </c>
      <c r="K192" s="199" t="str">
        <f>IF(AND('Mapa final'!$AB$50="Muy Baja",'Mapa final'!$AD$50="Leve"),CONCATENATE("R14C",'Mapa final'!$R$50),"")</f>
        <v/>
      </c>
      <c r="L192" s="173" t="str">
        <f>IF(AND('Mapa final'!$AB$51="Muy Baja",'Mapa final'!$AD$51="Leve"),CONCATENATE("R14C",'Mapa final'!$R$51),"")</f>
        <v/>
      </c>
      <c r="M192" s="172" t="str">
        <f ca="1">IF(AND('Mapa final'!$AB$49="Muy Baja",'Mapa final'!$AD$49="Menor"),CONCATENATE("R14C",'Mapa final'!$R$49),"")</f>
        <v/>
      </c>
      <c r="N192" s="199" t="str">
        <f>IF(AND('Mapa final'!$AB$50="Muy Baja",'Mapa final'!$AD$50="Menor"),CONCATENATE("R14C",'Mapa final'!$R$50),"")</f>
        <v/>
      </c>
      <c r="O192" s="173" t="str">
        <f>IF(AND('Mapa final'!$AB$51="Muy Baja",'Mapa final'!$AD$51="Menor"),CONCATENATE("R14C",'Mapa final'!$R$51),"")</f>
        <v/>
      </c>
      <c r="P192" s="164" t="str">
        <f ca="1">IF(AND('Mapa final'!$AB$49="Muy Baja",'Mapa final'!$AD$49="Moderado"),CONCATENATE("R14C",'Mapa final'!$R$49),"")</f>
        <v>R14C1</v>
      </c>
      <c r="Q192" s="193" t="str">
        <f>IF(AND('Mapa final'!$AB$50="Muy Baja",'Mapa final'!$AD$50="Moderado"),CONCATENATE("R14C",'Mapa final'!$R$50),"")</f>
        <v/>
      </c>
      <c r="R192" s="165" t="str">
        <f>IF(AND('Mapa final'!$AB$51="Muy Baja",'Mapa final'!$AD$51="Moderado"),CONCATENATE("R14C",'Mapa final'!$R$51),"")</f>
        <v/>
      </c>
      <c r="S192" s="83" t="str">
        <f ca="1">IF(AND('Mapa final'!$AB$49="Muy Baja",'Mapa final'!$AD$49="Mayor"),CONCATENATE("R14C",'Mapa final'!$R$49),"")</f>
        <v/>
      </c>
      <c r="T192" s="195" t="str">
        <f>IF(AND('Mapa final'!$AB$50="Muy Baja",'Mapa final'!$AD$50="Mayor"),CONCATENATE("R14C",'Mapa final'!$R$50),"")</f>
        <v/>
      </c>
      <c r="U192" s="84" t="str">
        <f>IF(AND('Mapa final'!$AB$51="Muy Baja",'Mapa final'!$AD$51="Mayor"),CONCATENATE("R14C",'Mapa final'!$R$51),"")</f>
        <v/>
      </c>
      <c r="V192" s="159" t="str">
        <f ca="1">IF(AND('Mapa final'!$AB$49="Muy Baja",'Mapa final'!$AD$49="Catastrófico"),CONCATENATE("R14C",'Mapa final'!$R$49),"")</f>
        <v/>
      </c>
      <c r="W192" s="194" t="str">
        <f>IF(AND('Mapa final'!$AB$50="Muy Baja",'Mapa final'!$AD$50="Catastrófico"),CONCATENATE("R14C",'Mapa final'!$R$50),"")</f>
        <v/>
      </c>
      <c r="X192" s="160" t="str">
        <f>IF(AND('Mapa final'!$AB$51="Muy Baja",'Mapa final'!$AD$51="Catastrófico"),CONCATENATE("R14C",'Mapa final'!$R$51),"")</f>
        <v/>
      </c>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row>
    <row r="193" spans="1:65" ht="15.75" x14ac:dyDescent="0.25">
      <c r="A193" s="38"/>
      <c r="B193" s="355"/>
      <c r="C193" s="356"/>
      <c r="D193" s="357"/>
      <c r="E193" s="337"/>
      <c r="F193" s="338"/>
      <c r="G193" s="338"/>
      <c r="H193" s="338"/>
      <c r="I193" s="338"/>
      <c r="J193" s="172" t="str">
        <f ca="1">IF(AND('Mapa final'!$AB$52="Muy Baja",'Mapa final'!$AD$52="Leve"),CONCATENATE("R15C",'Mapa final'!$R$52),"")</f>
        <v/>
      </c>
      <c r="K193" s="199" t="str">
        <f>IF(AND('Mapa final'!$AB$53="Muy Baja",'Mapa final'!$AD$53="Leve"),CONCATENATE("R15C",'Mapa final'!$R$53),"")</f>
        <v/>
      </c>
      <c r="L193" s="173" t="str">
        <f>IF(AND('Mapa final'!$AB$54="Muy Baja",'Mapa final'!$AD$54="Leve"),CONCATENATE("R15C",'Mapa final'!$R$54),"")</f>
        <v/>
      </c>
      <c r="M193" s="172" t="str">
        <f ca="1">IF(AND('Mapa final'!$AB$52="Muy Baja",'Mapa final'!$AD$52="Menor"),CONCATENATE("R15C",'Mapa final'!$R$52),"")</f>
        <v/>
      </c>
      <c r="N193" s="199" t="str">
        <f>IF(AND('Mapa final'!$AB$53="Muy Baja",'Mapa final'!$AD$53="Menor"),CONCATENATE("R15C",'Mapa final'!$R$53),"")</f>
        <v/>
      </c>
      <c r="O193" s="173" t="str">
        <f>IF(AND('Mapa final'!$AB$54="Muy Baja",'Mapa final'!$AD$54="Menor"),CONCATENATE("R15C",'Mapa final'!$R$54),"")</f>
        <v/>
      </c>
      <c r="P193" s="164" t="str">
        <f ca="1">IF(AND('Mapa final'!$AB$52="Muy Baja",'Mapa final'!$AD$52="Moderado"),CONCATENATE("R15C",'Mapa final'!$R$52),"")</f>
        <v/>
      </c>
      <c r="Q193" s="193" t="str">
        <f>IF(AND('Mapa final'!$AB$53="Muy Baja",'Mapa final'!$AD$53="Moderado"),CONCATENATE("R15C",'Mapa final'!$R$53),"")</f>
        <v/>
      </c>
      <c r="R193" s="165" t="str">
        <f>IF(AND('Mapa final'!$AB$54="Muy Baja",'Mapa final'!$AD$54="Moderado"),CONCATENATE("R15C",'Mapa final'!$R$54),"")</f>
        <v/>
      </c>
      <c r="S193" s="83" t="str">
        <f ca="1">IF(AND('Mapa final'!$AB$52="Muy Baja",'Mapa final'!$AD$52="Mayor"),CONCATENATE("R15C",'Mapa final'!$R$52),"")</f>
        <v/>
      </c>
      <c r="T193" s="195" t="str">
        <f>IF(AND('Mapa final'!$AB$53="Muy Baja",'Mapa final'!$AD$53="Mayor"),CONCATENATE("R15C",'Mapa final'!$R$53),"")</f>
        <v/>
      </c>
      <c r="U193" s="84" t="str">
        <f>IF(AND('Mapa final'!$AB$54="Muy Baja",'Mapa final'!$AD$54="Mayor"),CONCATENATE("R15C",'Mapa final'!$R$54),"")</f>
        <v/>
      </c>
      <c r="V193" s="159" t="str">
        <f ca="1">IF(AND('Mapa final'!$AB$52="Muy Baja",'Mapa final'!$AD$52="Catastrófico"),CONCATENATE("R15C",'Mapa final'!$R$52),"")</f>
        <v/>
      </c>
      <c r="W193" s="194" t="str">
        <f>IF(AND('Mapa final'!$AB$53="Muy Baja",'Mapa final'!$AD$53="Catastrófico"),CONCATENATE("R15C",'Mapa final'!$R$53),"")</f>
        <v/>
      </c>
      <c r="X193" s="160" t="str">
        <f>IF(AND('Mapa final'!$AB$54="Muy Baja",'Mapa final'!$AD$54="Catastrófico"),CONCATENATE("R15C",'Mapa final'!$R$54),"")</f>
        <v/>
      </c>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row>
    <row r="194" spans="1:65" ht="15.75" x14ac:dyDescent="0.25">
      <c r="A194" s="38"/>
      <c r="B194" s="355"/>
      <c r="C194" s="356"/>
      <c r="D194" s="357"/>
      <c r="E194" s="337"/>
      <c r="F194" s="338"/>
      <c r="G194" s="338"/>
      <c r="H194" s="338"/>
      <c r="I194" s="338"/>
      <c r="J194" s="172" t="str">
        <f ca="1">IF(AND('Mapa final'!$AB$55="Muy Baja",'Mapa final'!$AD$55="Leve"),CONCATENATE("R16C",'Mapa final'!$R$55),"")</f>
        <v/>
      </c>
      <c r="K194" s="199" t="str">
        <f>IF(AND('Mapa final'!$AB$56="Muy Baja",'Mapa final'!$AD$56="Leve"),CONCATENATE("R16C",'Mapa final'!$R$56),"")</f>
        <v/>
      </c>
      <c r="L194" s="173" t="str">
        <f>IF(AND('Mapa final'!$AB$57="Muy Baja",'Mapa final'!$AD$57="Leve"),CONCATENATE("R16C",'Mapa final'!$R$57),"")</f>
        <v/>
      </c>
      <c r="M194" s="172" t="str">
        <f ca="1">IF(AND('Mapa final'!$AB$55="Muy Baja",'Mapa final'!$AD$55="Menor"),CONCATENATE("R16C",'Mapa final'!$R$55),"")</f>
        <v/>
      </c>
      <c r="N194" s="199" t="str">
        <f>IF(AND('Mapa final'!$AB$56="Muy Baja",'Mapa final'!$AD$56="Menor"),CONCATENATE("R16C",'Mapa final'!$R$56),"")</f>
        <v/>
      </c>
      <c r="O194" s="173" t="str">
        <f>IF(AND('Mapa final'!$AB$57="Muy Baja",'Mapa final'!$AD$57="Menor"),CONCATENATE("R16C",'Mapa final'!$R$57),"")</f>
        <v/>
      </c>
      <c r="P194" s="164" t="str">
        <f ca="1">IF(AND('Mapa final'!$AB$55="Muy Baja",'Mapa final'!$AD$55="Moderado"),CONCATENATE("R16C",'Mapa final'!$R$55),"")</f>
        <v>R16C1</v>
      </c>
      <c r="Q194" s="193" t="str">
        <f>IF(AND('Mapa final'!$AB$56="Muy Baja",'Mapa final'!$AD$56="Moderado"),CONCATENATE("R16C",'Mapa final'!$R$56),"")</f>
        <v/>
      </c>
      <c r="R194" s="165" t="str">
        <f>IF(AND('Mapa final'!$AB$57="Muy Baja",'Mapa final'!$AD$57="Moderado"),CONCATENATE("R16C",'Mapa final'!$R$57),"")</f>
        <v/>
      </c>
      <c r="S194" s="83" t="str">
        <f ca="1">IF(AND('Mapa final'!$AB$55="Muy Baja",'Mapa final'!$AD$55="Mayor"),CONCATENATE("R16C",'Mapa final'!$R$55),"")</f>
        <v/>
      </c>
      <c r="T194" s="195" t="str">
        <f>IF(AND('Mapa final'!$AB$56="Muy Baja",'Mapa final'!$AD$56="Mayor"),CONCATENATE("R16C",'Mapa final'!$R$56),"")</f>
        <v/>
      </c>
      <c r="U194" s="84" t="str">
        <f>IF(AND('Mapa final'!$AB$57="Muy Baja",'Mapa final'!$AD$57="Mayor"),CONCATENATE("R16C",'Mapa final'!$R$57),"")</f>
        <v/>
      </c>
      <c r="V194" s="159" t="str">
        <f ca="1">IF(AND('Mapa final'!$AB$55="Muy Baja",'Mapa final'!$AD$55="Catastrófico"),CONCATENATE("R16C",'Mapa final'!$R$55),"")</f>
        <v/>
      </c>
      <c r="W194" s="194" t="str">
        <f>IF(AND('Mapa final'!$AB$56="Muy Baja",'Mapa final'!$AD$56="Catastrófico"),CONCATENATE("R16C",'Mapa final'!$R$56),"")</f>
        <v/>
      </c>
      <c r="X194" s="160" t="str">
        <f>IF(AND('Mapa final'!$AB$57="Muy Baja",'Mapa final'!$AD$57="Catastrófico"),CONCATENATE("R16C",'Mapa final'!$R$57),"")</f>
        <v/>
      </c>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row>
    <row r="195" spans="1:65" ht="15.75" x14ac:dyDescent="0.25">
      <c r="A195" s="38"/>
      <c r="B195" s="355"/>
      <c r="C195" s="356"/>
      <c r="D195" s="357"/>
      <c r="E195" s="337"/>
      <c r="F195" s="338"/>
      <c r="G195" s="338"/>
      <c r="H195" s="338"/>
      <c r="I195" s="338"/>
      <c r="J195" s="172" t="str">
        <f ca="1">IF(AND('Mapa final'!$AB$58="Muy Baja",'Mapa final'!$AD$58="Leve"),CONCATENATE("R17C",'Mapa final'!$R$58),"")</f>
        <v/>
      </c>
      <c r="K195" s="199" t="str">
        <f>IF(AND('Mapa final'!$AB$59="Muy Baja",'Mapa final'!$AD$59="Leve"),CONCATENATE("R17C",'Mapa final'!$R$59),"")</f>
        <v/>
      </c>
      <c r="L195" s="173" t="str">
        <f>IF(AND('Mapa final'!$AB$60="Muy Baja",'Mapa final'!$AD$60="Leve"),CONCATENATE("R17C",'Mapa final'!$R$60),"")</f>
        <v/>
      </c>
      <c r="M195" s="172" t="str">
        <f ca="1">IF(AND('Mapa final'!$AB$58="Muy Baja",'Mapa final'!$AD$58="Menor"),CONCATENATE("R17C",'Mapa final'!$R$58),"")</f>
        <v/>
      </c>
      <c r="N195" s="199" t="str">
        <f>IF(AND('Mapa final'!$AB$59="Muy Baja",'Mapa final'!$AD$59="Menor"),CONCATENATE("R17C",'Mapa final'!$R$59),"")</f>
        <v/>
      </c>
      <c r="O195" s="173" t="str">
        <f>IF(AND('Mapa final'!$AB$60="Muy Baja",'Mapa final'!$AD$60="Menor"),CONCATENATE("R17C",'Mapa final'!$R$60),"")</f>
        <v/>
      </c>
      <c r="P195" s="164" t="str">
        <f ca="1">IF(AND('Mapa final'!$AB$58="Muy Baja",'Mapa final'!$AD$58="Moderado"),CONCATENATE("R17C",'Mapa final'!$R$58),"")</f>
        <v/>
      </c>
      <c r="Q195" s="193" t="str">
        <f>IF(AND('Mapa final'!$AB$59="Muy Baja",'Mapa final'!$AD$59="Moderado"),CONCATENATE("R17C",'Mapa final'!$R$59),"")</f>
        <v/>
      </c>
      <c r="R195" s="165" t="str">
        <f>IF(AND('Mapa final'!$AB$60="Muy Baja",'Mapa final'!$AD$60="Moderado"),CONCATENATE("R17C",'Mapa final'!$R$60),"")</f>
        <v/>
      </c>
      <c r="S195" s="83" t="str">
        <f ca="1">IF(AND('Mapa final'!$AB$58="Muy Baja",'Mapa final'!$AD$58="Mayor"),CONCATENATE("R17C",'Mapa final'!$R$58),"")</f>
        <v/>
      </c>
      <c r="T195" s="195" t="str">
        <f>IF(AND('Mapa final'!$AB$59="Muy Baja",'Mapa final'!$AD$59="Mayor"),CONCATENATE("R17C",'Mapa final'!$R$59),"")</f>
        <v/>
      </c>
      <c r="U195" s="84" t="str">
        <f>IF(AND('Mapa final'!$AB$60="Muy Baja",'Mapa final'!$AD$60="Mayor"),CONCATENATE("R17C",'Mapa final'!$R$60),"")</f>
        <v/>
      </c>
      <c r="V195" s="159" t="str">
        <f ca="1">IF(AND('Mapa final'!$AB$58="Muy Baja",'Mapa final'!$AD$58="Catastrófico"),CONCATENATE("R17C",'Mapa final'!$R$58),"")</f>
        <v/>
      </c>
      <c r="W195" s="194" t="str">
        <f>IF(AND('Mapa final'!$AB$59="Muy Baja",'Mapa final'!$AD$59="Catastrófico"),CONCATENATE("R17C",'Mapa final'!$R$59),"")</f>
        <v/>
      </c>
      <c r="X195" s="160" t="str">
        <f>IF(AND('Mapa final'!$AB$60="Muy Baja",'Mapa final'!$AD$60="Catastrófico"),CONCATENATE("R17C",'Mapa final'!$R$60),"")</f>
        <v/>
      </c>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row>
    <row r="196" spans="1:65" ht="15.75" x14ac:dyDescent="0.25">
      <c r="A196" s="38"/>
      <c r="B196" s="355"/>
      <c r="C196" s="356"/>
      <c r="D196" s="357"/>
      <c r="E196" s="337"/>
      <c r="F196" s="338"/>
      <c r="G196" s="338"/>
      <c r="H196" s="338"/>
      <c r="I196" s="338"/>
      <c r="J196" s="172" t="str">
        <f ca="1">IF(AND('Mapa final'!$AB$61="Muy Baja",'Mapa final'!$AD$61="Leve"),CONCATENATE("R18C",'Mapa final'!$R$61),"")</f>
        <v/>
      </c>
      <c r="K196" s="199" t="str">
        <f>IF(AND('Mapa final'!$AB$62="Muy Baja",'Mapa final'!$AD$62="Leve"),CONCATENATE("R18C",'Mapa final'!$R$62),"")</f>
        <v/>
      </c>
      <c r="L196" s="173" t="str">
        <f>IF(AND('Mapa final'!$AB$63="Muy Baja",'Mapa final'!$AD$63="Leve"),CONCATENATE("R18C",'Mapa final'!$R$63),"")</f>
        <v/>
      </c>
      <c r="M196" s="172" t="str">
        <f ca="1">IF(AND('Mapa final'!$AB$61="Muy Baja",'Mapa final'!$AD$61="Menor"),CONCATENATE("R18C",'Mapa final'!$R$61),"")</f>
        <v/>
      </c>
      <c r="N196" s="199" t="str">
        <f>IF(AND('Mapa final'!$AB$62="Muy Baja",'Mapa final'!$AD$62="Menor"),CONCATENATE("R18C",'Mapa final'!$R$62),"")</f>
        <v/>
      </c>
      <c r="O196" s="173" t="str">
        <f>IF(AND('Mapa final'!$AB$63="Muy Baja",'Mapa final'!$AD$63="Menor"),CONCATENATE("R18C",'Mapa final'!$R$63),"")</f>
        <v/>
      </c>
      <c r="P196" s="164" t="str">
        <f ca="1">IF(AND('Mapa final'!$AB$61="Muy Baja",'Mapa final'!$AD$61="Moderado"),CONCATENATE("R18C",'Mapa final'!$R$61),"")</f>
        <v/>
      </c>
      <c r="Q196" s="193" t="str">
        <f>IF(AND('Mapa final'!$AB$62="Muy Baja",'Mapa final'!$AD$62="Moderado"),CONCATENATE("R18C",'Mapa final'!$R$62),"")</f>
        <v/>
      </c>
      <c r="R196" s="165" t="str">
        <f>IF(AND('Mapa final'!$AB$63="Muy Baja",'Mapa final'!$AD$63="Moderado"),CONCATENATE("R18C",'Mapa final'!$R$63),"")</f>
        <v/>
      </c>
      <c r="S196" s="83" t="str">
        <f ca="1">IF(AND('Mapa final'!$AB$61="Muy Baja",'Mapa final'!$AD$61="Mayor"),CONCATENATE("R18C",'Mapa final'!$R$61),"")</f>
        <v/>
      </c>
      <c r="T196" s="195" t="str">
        <f>IF(AND('Mapa final'!$AB$62="Muy Baja",'Mapa final'!$AD$62="Mayor"),CONCATENATE("R18C",'Mapa final'!$R$62),"")</f>
        <v/>
      </c>
      <c r="U196" s="84" t="str">
        <f>IF(AND('Mapa final'!$AB$63="Muy Baja",'Mapa final'!$AD$63="Mayor"),CONCATENATE("R18C",'Mapa final'!$R$63),"")</f>
        <v/>
      </c>
      <c r="V196" s="159" t="str">
        <f ca="1">IF(AND('Mapa final'!$AB$61="Muy Baja",'Mapa final'!$AD$61="Catastrófico"),CONCATENATE("R18C",'Mapa final'!$R$61),"")</f>
        <v/>
      </c>
      <c r="W196" s="194" t="str">
        <f>IF(AND('Mapa final'!$AB$62="Muy Baja",'Mapa final'!$AD$62="Catastrófico"),CONCATENATE("R18C",'Mapa final'!$R$62),"")</f>
        <v/>
      </c>
      <c r="X196" s="160" t="str">
        <f>IF(AND('Mapa final'!$AB$63="Muy Baja",'Mapa final'!$AD$63="Catastrófico"),CONCATENATE("R18C",'Mapa final'!$R$63),"")</f>
        <v/>
      </c>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row>
    <row r="197" spans="1:65" ht="15.75" x14ac:dyDescent="0.25">
      <c r="A197" s="38"/>
      <c r="B197" s="355"/>
      <c r="C197" s="356"/>
      <c r="D197" s="357"/>
      <c r="E197" s="337"/>
      <c r="F197" s="338"/>
      <c r="G197" s="338"/>
      <c r="H197" s="338"/>
      <c r="I197" s="338"/>
      <c r="J197" s="172" t="str">
        <f ca="1">IF(AND('Mapa final'!$AB$64="Muy Baja",'Mapa final'!$AD$64="Leve"),CONCATENATE("R19C",'Mapa final'!$R$64),"")</f>
        <v/>
      </c>
      <c r="K197" s="199" t="str">
        <f>IF(AND('Mapa final'!$AB$65="Muy Baja",'Mapa final'!$AD$65="Leve"),CONCATENATE("R19C",'Mapa final'!$R$65),"")</f>
        <v/>
      </c>
      <c r="L197" s="173" t="str">
        <f>IF(AND('Mapa final'!$AB$66="Muy Baja",'Mapa final'!$AD$66="Leve"),CONCATENATE("R19C",'Mapa final'!$R$66),"")</f>
        <v/>
      </c>
      <c r="M197" s="172" t="str">
        <f ca="1">IF(AND('Mapa final'!$AB$64="Muy Baja",'Mapa final'!$AD$64="Menor"),CONCATENATE("R19C",'Mapa final'!$R$64),"")</f>
        <v/>
      </c>
      <c r="N197" s="199" t="str">
        <f>IF(AND('Mapa final'!$AB$65="Muy Baja",'Mapa final'!$AD$65="Menor"),CONCATENATE("R19C",'Mapa final'!$R$65),"")</f>
        <v/>
      </c>
      <c r="O197" s="173" t="str">
        <f>IF(AND('Mapa final'!$AB$66="Muy Baja",'Mapa final'!$AD$66="Menor"),CONCATENATE("R19C",'Mapa final'!$R$66),"")</f>
        <v/>
      </c>
      <c r="P197" s="164" t="str">
        <f ca="1">IF(AND('Mapa final'!$AB$64="Muy Baja",'Mapa final'!$AD$64="Moderado"),CONCATENATE("R19C",'Mapa final'!$R$64),"")</f>
        <v/>
      </c>
      <c r="Q197" s="193" t="str">
        <f>IF(AND('Mapa final'!$AB$65="Muy Baja",'Mapa final'!$AD$65="Moderado"),CONCATENATE("R19C",'Mapa final'!$R$65),"")</f>
        <v/>
      </c>
      <c r="R197" s="165" t="str">
        <f>IF(AND('Mapa final'!$AB$66="Muy Baja",'Mapa final'!$AD$66="Moderado"),CONCATENATE("R19C",'Mapa final'!$R$66),"")</f>
        <v/>
      </c>
      <c r="S197" s="83" t="str">
        <f ca="1">IF(AND('Mapa final'!$AB$64="Muy Baja",'Mapa final'!$AD$64="Mayor"),CONCATENATE("R19C",'Mapa final'!$R$64),"")</f>
        <v/>
      </c>
      <c r="T197" s="195" t="str">
        <f>IF(AND('Mapa final'!$AB$65="Muy Baja",'Mapa final'!$AD$65="Mayor"),CONCATENATE("R19C",'Mapa final'!$R$65),"")</f>
        <v/>
      </c>
      <c r="U197" s="84" t="str">
        <f>IF(AND('Mapa final'!$AB$66="Muy Baja",'Mapa final'!$AD$66="Mayor"),CONCATENATE("R19C",'Mapa final'!$R$66),"")</f>
        <v/>
      </c>
      <c r="V197" s="159" t="str">
        <f ca="1">IF(AND('Mapa final'!$AB$64="Muy Baja",'Mapa final'!$AD$64="Catastrófico"),CONCATENATE("R19C",'Mapa final'!$R$64),"")</f>
        <v/>
      </c>
      <c r="W197" s="194" t="str">
        <f>IF(AND('Mapa final'!$AB$65="Muy Baja",'Mapa final'!$AD$65="Catastrófico"),CONCATENATE("R19C",'Mapa final'!$R$65),"")</f>
        <v/>
      </c>
      <c r="X197" s="160" t="str">
        <f>IF(AND('Mapa final'!$AB$66="Muy Baja",'Mapa final'!$AD$66="Catastrófico"),CONCATENATE("R19C",'Mapa final'!$R$66),"")</f>
        <v/>
      </c>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row>
    <row r="198" spans="1:65" ht="15.75" x14ac:dyDescent="0.25">
      <c r="A198" s="38"/>
      <c r="B198" s="355"/>
      <c r="C198" s="356"/>
      <c r="D198" s="357"/>
      <c r="E198" s="337"/>
      <c r="F198" s="338"/>
      <c r="G198" s="338"/>
      <c r="H198" s="338"/>
      <c r="I198" s="338"/>
      <c r="J198" s="172" t="str">
        <f ca="1">IF(AND('Mapa final'!$AB$67="Muy Baja",'Mapa final'!$AD$67="Leve"),CONCATENATE("R20C",'Mapa final'!$R$67),"")</f>
        <v/>
      </c>
      <c r="K198" s="199" t="str">
        <f>IF(AND('Mapa final'!$AB$68="Muy Baja",'Mapa final'!$AD$68="Leve"),CONCATENATE("R20C",'Mapa final'!$R$68),"")</f>
        <v/>
      </c>
      <c r="L198" s="173" t="str">
        <f>IF(AND('Mapa final'!$AB$69="Muy Baja",'Mapa final'!$AD$69="Leve"),CONCATENATE("R20C",'Mapa final'!$R$69),"")</f>
        <v>R20C3</v>
      </c>
      <c r="M198" s="172" t="str">
        <f ca="1">IF(AND('Mapa final'!$AB$67="Muy Baja",'Mapa final'!$AD$67="Menor"),CONCATENATE("R20C",'Mapa final'!$R$67),"")</f>
        <v/>
      </c>
      <c r="N198" s="199" t="str">
        <f>IF(AND('Mapa final'!$AB$68="Muy Baja",'Mapa final'!$AD$68="Menor"),CONCATENATE("R20C",'Mapa final'!$R$68),"")</f>
        <v/>
      </c>
      <c r="O198" s="173" t="str">
        <f>IF(AND('Mapa final'!$AB$69="Muy Baja",'Mapa final'!$AD$69="Menor"),CONCATENATE("R20C",'Mapa final'!$R$69),"")</f>
        <v/>
      </c>
      <c r="P198" s="164" t="str">
        <f ca="1">IF(AND('Mapa final'!$AB$67="Muy Baja",'Mapa final'!$AD$67="Moderado"),CONCATENATE("R20C",'Mapa final'!$R$67),"")</f>
        <v/>
      </c>
      <c r="Q198" s="193" t="str">
        <f>IF(AND('Mapa final'!$AB$68="Muy Baja",'Mapa final'!$AD$68="Moderado"),CONCATENATE("R20C",'Mapa final'!$R$68),"")</f>
        <v/>
      </c>
      <c r="R198" s="165" t="str">
        <f>IF(AND('Mapa final'!$AB$69="Muy Baja",'Mapa final'!$AD$69="Moderado"),CONCATENATE("R20C",'Mapa final'!$R$69),"")</f>
        <v/>
      </c>
      <c r="S198" s="83" t="str">
        <f ca="1">IF(AND('Mapa final'!$AB$67="Muy Baja",'Mapa final'!$AD$67="Mayor"),CONCATENATE("R20C",'Mapa final'!$R$67),"")</f>
        <v/>
      </c>
      <c r="T198" s="195" t="str">
        <f>IF(AND('Mapa final'!$AB$68="Muy Baja",'Mapa final'!$AD$68="Mayor"),CONCATENATE("R20C",'Mapa final'!$R$68),"")</f>
        <v/>
      </c>
      <c r="U198" s="84" t="str">
        <f>IF(AND('Mapa final'!$AB$69="Muy Baja",'Mapa final'!$AD$69="Mayor"),CONCATENATE("R20C",'Mapa final'!$R$69),"")</f>
        <v/>
      </c>
      <c r="V198" s="159" t="str">
        <f ca="1">IF(AND('Mapa final'!$AB$67="Muy Baja",'Mapa final'!$AD$67="Catastrófico"),CONCATENATE("R20C",'Mapa final'!$R$67),"")</f>
        <v/>
      </c>
      <c r="W198" s="194" t="str">
        <f>IF(AND('Mapa final'!$AB$68="Muy Baja",'Mapa final'!$AD$68="Catastrófico"),CONCATENATE("R20C",'Mapa final'!$R$68),"")</f>
        <v/>
      </c>
      <c r="X198" s="160" t="str">
        <f>IF(AND('Mapa final'!$AB$69="Muy Baja",'Mapa final'!$AD$69="Catastrófico"),CONCATENATE("R20C",'Mapa final'!$R$69),"")</f>
        <v/>
      </c>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row>
    <row r="199" spans="1:65" ht="15.75" x14ac:dyDescent="0.25">
      <c r="A199" s="38"/>
      <c r="B199" s="355"/>
      <c r="C199" s="356"/>
      <c r="D199" s="357"/>
      <c r="E199" s="337"/>
      <c r="F199" s="338"/>
      <c r="G199" s="338"/>
      <c r="H199" s="338"/>
      <c r="I199" s="338"/>
      <c r="J199" s="172" t="str">
        <f ca="1">IF(AND('Mapa final'!$AB$70="Muy Baja",'Mapa final'!$AD$70="Leve"),CONCATENATE("R21C",'Mapa final'!$R$70),"")</f>
        <v/>
      </c>
      <c r="K199" s="199" t="str">
        <f>IF(AND('Mapa final'!$AB$71="Muy Baja",'Mapa final'!$AD$71="Leve"),CONCATENATE("R21C",'Mapa final'!$R$71),"")</f>
        <v>R21C2</v>
      </c>
      <c r="L199" s="173" t="str">
        <f>IF(AND('Mapa final'!$AB$72="Muy Baja",'Mapa final'!$AD$72="Leve"),CONCATENATE("R21C",'Mapa final'!$R$72),"")</f>
        <v/>
      </c>
      <c r="M199" s="172" t="str">
        <f ca="1">IF(AND('Mapa final'!$AB$70="Muy Baja",'Mapa final'!$AD$70="Menor"),CONCATENATE("R21C",'Mapa final'!$R$70),"")</f>
        <v/>
      </c>
      <c r="N199" s="199" t="str">
        <f>IF(AND('Mapa final'!$AB$71="Muy Baja",'Mapa final'!$AD$71="Menor"),CONCATENATE("R21C",'Mapa final'!$R$71),"")</f>
        <v/>
      </c>
      <c r="O199" s="173" t="str">
        <f>IF(AND('Mapa final'!$AB$72="Muy Baja",'Mapa final'!$AD$72="Menor"),CONCATENATE("R21C",'Mapa final'!$R$72),"")</f>
        <v/>
      </c>
      <c r="P199" s="164" t="str">
        <f ca="1">IF(AND('Mapa final'!$AB$70="Muy Baja",'Mapa final'!$AD$70="Moderado"),CONCATENATE("R21C",'Mapa final'!$R$70),"")</f>
        <v/>
      </c>
      <c r="Q199" s="193" t="str">
        <f>IF(AND('Mapa final'!$AB$71="Muy Baja",'Mapa final'!$AD$71="Moderado"),CONCATENATE("R21C",'Mapa final'!$R$71),"")</f>
        <v/>
      </c>
      <c r="R199" s="165" t="str">
        <f>IF(AND('Mapa final'!$AB$72="Muy Baja",'Mapa final'!$AD$72="Moderado"),CONCATENATE("R21C",'Mapa final'!$R$72),"")</f>
        <v/>
      </c>
      <c r="S199" s="83" t="str">
        <f ca="1">IF(AND('Mapa final'!$AB$70="Muy Baja",'Mapa final'!$AD$70="Mayor"),CONCATENATE("R21C",'Mapa final'!$R$70),"")</f>
        <v/>
      </c>
      <c r="T199" s="195" t="str">
        <f>IF(AND('Mapa final'!$AB$71="Muy Baja",'Mapa final'!$AD$71="Mayor"),CONCATENATE("R21C",'Mapa final'!$R$71),"")</f>
        <v/>
      </c>
      <c r="U199" s="84" t="str">
        <f>IF(AND('Mapa final'!$AB$72="Muy Baja",'Mapa final'!$AD$72="Mayor"),CONCATENATE("R21C",'Mapa final'!$R$72),"")</f>
        <v/>
      </c>
      <c r="V199" s="159" t="str">
        <f ca="1">IF(AND('Mapa final'!$AB$70="Muy Baja",'Mapa final'!$AD$70="Catastrófico"),CONCATENATE("R21C",'Mapa final'!$R$70),"")</f>
        <v/>
      </c>
      <c r="W199" s="194" t="str">
        <f>IF(AND('Mapa final'!$AB$71="Muy Baja",'Mapa final'!$AD$71="Catastrófico"),CONCATENATE("R21C",'Mapa final'!$R$71),"")</f>
        <v/>
      </c>
      <c r="X199" s="160" t="str">
        <f>IF(AND('Mapa final'!$AB$72="Muy Baja",'Mapa final'!$AD$72="Catastrófico"),CONCATENATE("R21C",'Mapa final'!$R$72),"")</f>
        <v/>
      </c>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row>
    <row r="200" spans="1:65" ht="15.75" x14ac:dyDescent="0.25">
      <c r="A200" s="38"/>
      <c r="B200" s="355"/>
      <c r="C200" s="356"/>
      <c r="D200" s="357"/>
      <c r="E200" s="337"/>
      <c r="F200" s="338"/>
      <c r="G200" s="338"/>
      <c r="H200" s="338"/>
      <c r="I200" s="338"/>
      <c r="J200" s="172" t="str">
        <f ca="1">IF(AND('Mapa final'!$AB$73="Muy Baja",'Mapa final'!$AD$73="Leve"),CONCATENATE("R22C",'Mapa final'!$R$73),"")</f>
        <v/>
      </c>
      <c r="K200" s="199" t="str">
        <f>IF(AND('Mapa final'!$AB$74="Muy Baja",'Mapa final'!$AD$74="Leve"),CONCATENATE("R22C",'Mapa final'!$R$74),"")</f>
        <v/>
      </c>
      <c r="L200" s="173" t="str">
        <f>IF(AND('Mapa final'!$AB$75="Muy Baja",'Mapa final'!$AD$75="Leve"),CONCATENATE("R22C",'Mapa final'!$R$75),"")</f>
        <v/>
      </c>
      <c r="M200" s="172" t="str">
        <f ca="1">IF(AND('Mapa final'!$AB$73="Muy Baja",'Mapa final'!$AD$73="Menor"),CONCATENATE("R22C",'Mapa final'!$R$73),"")</f>
        <v/>
      </c>
      <c r="N200" s="199" t="str">
        <f>IF(AND('Mapa final'!$AB$74="Muy Baja",'Mapa final'!$AD$74="Menor"),CONCATENATE("R22C",'Mapa final'!$R$74),"")</f>
        <v/>
      </c>
      <c r="O200" s="173" t="str">
        <f>IF(AND('Mapa final'!$AB$75="Muy Baja",'Mapa final'!$AD$75="Menor"),CONCATENATE("R22C",'Mapa final'!$R$75),"")</f>
        <v/>
      </c>
      <c r="P200" s="164" t="str">
        <f ca="1">IF(AND('Mapa final'!$AB$73="Muy Baja",'Mapa final'!$AD$73="Moderado"),CONCATENATE("R22C",'Mapa final'!$R$73),"")</f>
        <v/>
      </c>
      <c r="Q200" s="193" t="str">
        <f>IF(AND('Mapa final'!$AB$74="Muy Baja",'Mapa final'!$AD$74="Moderado"),CONCATENATE("R22C",'Mapa final'!$R$74),"")</f>
        <v/>
      </c>
      <c r="R200" s="165" t="str">
        <f>IF(AND('Mapa final'!$AB$75="Muy Baja",'Mapa final'!$AD$75="Moderado"),CONCATENATE("R22C",'Mapa final'!$R$75),"")</f>
        <v/>
      </c>
      <c r="S200" s="83" t="str">
        <f ca="1">IF(AND('Mapa final'!$AB$73="Muy Baja",'Mapa final'!$AD$73="Mayor"),CONCATENATE("R22C",'Mapa final'!$R$73),"")</f>
        <v/>
      </c>
      <c r="T200" s="195" t="str">
        <f>IF(AND('Mapa final'!$AB$74="Muy Baja",'Mapa final'!$AD$74="Mayor"),CONCATENATE("R22C",'Mapa final'!$R$74),"")</f>
        <v/>
      </c>
      <c r="U200" s="84" t="str">
        <f>IF(AND('Mapa final'!$AB$75="Muy Baja",'Mapa final'!$AD$75="Mayor"),CONCATENATE("R22C",'Mapa final'!$R$75),"")</f>
        <v/>
      </c>
      <c r="V200" s="159" t="str">
        <f ca="1">IF(AND('Mapa final'!$AB$73="Muy Baja",'Mapa final'!$AD$73="Catastrófico"),CONCATENATE("R22C",'Mapa final'!$R$73),"")</f>
        <v/>
      </c>
      <c r="W200" s="194" t="str">
        <f>IF(AND('Mapa final'!$AB$74="Muy Baja",'Mapa final'!$AD$74="Catastrófico"),CONCATENATE("R22C",'Mapa final'!$R$74),"")</f>
        <v/>
      </c>
      <c r="X200" s="160" t="str">
        <f>IF(AND('Mapa final'!$AB$75="Muy Baja",'Mapa final'!$AD$75="Catastrófico"),CONCATENATE("R22C",'Mapa final'!$R$75),"")</f>
        <v/>
      </c>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row>
    <row r="201" spans="1:65" ht="15.75" x14ac:dyDescent="0.25">
      <c r="A201" s="38"/>
      <c r="B201" s="355"/>
      <c r="C201" s="356"/>
      <c r="D201" s="357"/>
      <c r="E201" s="337"/>
      <c r="F201" s="338"/>
      <c r="G201" s="338"/>
      <c r="H201" s="338"/>
      <c r="I201" s="338"/>
      <c r="J201" s="172" t="str">
        <f ca="1">IF(AND('Mapa final'!$AB$76="Muy Baja",'Mapa final'!$AD$76="Leve"),CONCATENATE("R23C",'Mapa final'!$R$76),"")</f>
        <v/>
      </c>
      <c r="K201" s="199" t="str">
        <f>IF(AND('Mapa final'!$AB$77="Muy Baja",'Mapa final'!$AD$77="Leve"),CONCATENATE("R23C",'Mapa final'!$R$77),"")</f>
        <v/>
      </c>
      <c r="L201" s="173" t="str">
        <f>IF(AND('Mapa final'!$AB$78="Muy Baja",'Mapa final'!$AD$78="Leve"),CONCATENATE("R23C",'Mapa final'!$R$78),"")</f>
        <v/>
      </c>
      <c r="M201" s="172" t="str">
        <f ca="1">IF(AND('Mapa final'!$AB$76="Muy Baja",'Mapa final'!$AD$76="Menor"),CONCATENATE("R23C",'Mapa final'!$R$76),"")</f>
        <v/>
      </c>
      <c r="N201" s="199" t="str">
        <f>IF(AND('Mapa final'!$AB$77="Muy Baja",'Mapa final'!$AD$77="Menor"),CONCATENATE("R23C",'Mapa final'!$R$77),"")</f>
        <v/>
      </c>
      <c r="O201" s="173" t="str">
        <f>IF(AND('Mapa final'!$AB$78="Muy Baja",'Mapa final'!$AD$78="Menor"),CONCATENATE("R23C",'Mapa final'!$R$78),"")</f>
        <v/>
      </c>
      <c r="P201" s="164" t="str">
        <f ca="1">IF(AND('Mapa final'!$AB$76="Muy Baja",'Mapa final'!$AD$76="Moderado"),CONCATENATE("R23C",'Mapa final'!$R$76),"")</f>
        <v/>
      </c>
      <c r="Q201" s="193" t="str">
        <f>IF(AND('Mapa final'!$AB$77="Muy Baja",'Mapa final'!$AD$77="Moderado"),CONCATENATE("R23C",'Mapa final'!$R$77),"")</f>
        <v/>
      </c>
      <c r="R201" s="165" t="str">
        <f>IF(AND('Mapa final'!$AB$78="Muy Baja",'Mapa final'!$AD$78="Moderado"),CONCATENATE("R23C",'Mapa final'!$R$78),"")</f>
        <v/>
      </c>
      <c r="S201" s="83" t="str">
        <f ca="1">IF(AND('Mapa final'!$AB$76="Muy Baja",'Mapa final'!$AD$76="Mayor"),CONCATENATE("R23C",'Mapa final'!$R$76),"")</f>
        <v/>
      </c>
      <c r="T201" s="195" t="str">
        <f>IF(AND('Mapa final'!$AB$77="Muy Baja",'Mapa final'!$AD$77="Mayor"),CONCATENATE("R23C",'Mapa final'!$R$77),"")</f>
        <v/>
      </c>
      <c r="U201" s="84" t="str">
        <f>IF(AND('Mapa final'!$AB$78="Muy Baja",'Mapa final'!$AD$78="Mayor"),CONCATENATE("R23C",'Mapa final'!$R$78),"")</f>
        <v/>
      </c>
      <c r="V201" s="159" t="str">
        <f ca="1">IF(AND('Mapa final'!$AB$76="Muy Baja",'Mapa final'!$AD$76="Catastrófico"),CONCATENATE("R23C",'Mapa final'!$R$76),"")</f>
        <v/>
      </c>
      <c r="W201" s="194" t="str">
        <f>IF(AND('Mapa final'!$AB$77="Muy Baja",'Mapa final'!$AD$77="Catastrófico"),CONCATENATE("R23C",'Mapa final'!$R$77),"")</f>
        <v/>
      </c>
      <c r="X201" s="160" t="str">
        <f>IF(AND('Mapa final'!$AB$78="Muy Baja",'Mapa final'!$AD$78="Catastrófico"),CONCATENATE("R23C",'Mapa final'!$R$78),"")</f>
        <v/>
      </c>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row>
    <row r="202" spans="1:65" ht="15.75" x14ac:dyDescent="0.25">
      <c r="A202" s="38"/>
      <c r="B202" s="355"/>
      <c r="C202" s="356"/>
      <c r="D202" s="357"/>
      <c r="E202" s="337"/>
      <c r="F202" s="338"/>
      <c r="G202" s="338"/>
      <c r="H202" s="338"/>
      <c r="I202" s="338"/>
      <c r="J202" s="172" t="str">
        <f ca="1">IF(AND('Mapa final'!$AB$79="Muy Baja",'Mapa final'!$AD$79="Leve"),CONCATENATE("R24C",'Mapa final'!$R$79),"")</f>
        <v/>
      </c>
      <c r="K202" s="199" t="str">
        <f>IF(AND('Mapa final'!$AB$80="Muy Baja",'Mapa final'!$AD$80="Leve"),CONCATENATE("R24C",'Mapa final'!$R$80),"")</f>
        <v/>
      </c>
      <c r="L202" s="173" t="str">
        <f>IF(AND('Mapa final'!$AB$81="Muy Baja",'Mapa final'!$AD$81="Leve"),CONCATENATE("R24C",'Mapa final'!$R$81),"")</f>
        <v/>
      </c>
      <c r="M202" s="172" t="str">
        <f ca="1">IF(AND('Mapa final'!$AB$79="Muy Baja",'Mapa final'!$AD$79="Menor"),CONCATENATE("R24C",'Mapa final'!$R$79),"")</f>
        <v/>
      </c>
      <c r="N202" s="199" t="str">
        <f>IF(AND('Mapa final'!$AB$80="Muy Baja",'Mapa final'!$AD$80="Menor"),CONCATENATE("R24C",'Mapa final'!$R$80),"")</f>
        <v/>
      </c>
      <c r="O202" s="173" t="str">
        <f>IF(AND('Mapa final'!$AB$81="Muy Baja",'Mapa final'!$AD$81="Menor"),CONCATENATE("R24C",'Mapa final'!$R$81),"")</f>
        <v/>
      </c>
      <c r="P202" s="164" t="str">
        <f ca="1">IF(AND('Mapa final'!$AB$79="Muy Baja",'Mapa final'!$AD$79="Moderado"),CONCATENATE("R24C",'Mapa final'!$R$79),"")</f>
        <v/>
      </c>
      <c r="Q202" s="193" t="str">
        <f>IF(AND('Mapa final'!$AB$80="Muy Baja",'Mapa final'!$AD$80="Moderado"),CONCATENATE("R24C",'Mapa final'!$R$80),"")</f>
        <v/>
      </c>
      <c r="R202" s="165" t="str">
        <f>IF(AND('Mapa final'!$AB$81="Muy Baja",'Mapa final'!$AD$81="Moderado"),CONCATENATE("R24C",'Mapa final'!$R$81),"")</f>
        <v/>
      </c>
      <c r="S202" s="83" t="str">
        <f ca="1">IF(AND('Mapa final'!$AB$79="Muy Baja",'Mapa final'!$AD$79="Mayor"),CONCATENATE("R24C",'Mapa final'!$R$79),"")</f>
        <v/>
      </c>
      <c r="T202" s="195" t="str">
        <f>IF(AND('Mapa final'!$AB$80="Muy Baja",'Mapa final'!$AD$80="Mayor"),CONCATENATE("R24C",'Mapa final'!$R$80),"")</f>
        <v/>
      </c>
      <c r="U202" s="84" t="str">
        <f>IF(AND('Mapa final'!$AB$81="Muy Baja",'Mapa final'!$AD$81="Mayor"),CONCATENATE("R24C",'Mapa final'!$R$81),"")</f>
        <v/>
      </c>
      <c r="V202" s="159" t="str">
        <f ca="1">IF(AND('Mapa final'!$AB$79="Muy Baja",'Mapa final'!$AD$79="Catastrófico"),CONCATENATE("R24C",'Mapa final'!$R$79),"")</f>
        <v/>
      </c>
      <c r="W202" s="194" t="str">
        <f>IF(AND('Mapa final'!$AB$80="Muy Baja",'Mapa final'!$AD$80="Catastrófico"),CONCATENATE("R24C",'Mapa final'!$R$80),"")</f>
        <v/>
      </c>
      <c r="X202" s="160" t="str">
        <f>IF(AND('Mapa final'!$AB$81="Muy Baja",'Mapa final'!$AD$81="Catastrófico"),CONCATENATE("R24C",'Mapa final'!$R$81),"")</f>
        <v/>
      </c>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row>
    <row r="203" spans="1:65" ht="15.75" x14ac:dyDescent="0.25">
      <c r="A203" s="38"/>
      <c r="B203" s="355"/>
      <c r="C203" s="356"/>
      <c r="D203" s="357"/>
      <c r="E203" s="337"/>
      <c r="F203" s="338"/>
      <c r="G203" s="338"/>
      <c r="H203" s="338"/>
      <c r="I203" s="338"/>
      <c r="J203" s="172" t="str">
        <f ca="1">IF(AND('Mapa final'!$AB$82="Muy Baja",'Mapa final'!$AD$82="Leve"),CONCATENATE("R25C",'Mapa final'!$R$82),"")</f>
        <v>R25C1</v>
      </c>
      <c r="K203" s="199" t="str">
        <f>IF(AND('Mapa final'!$AB$83="Muy Baja",'Mapa final'!$AD$83="Leve"),CONCATENATE("R25C",'Mapa final'!$R$83),"")</f>
        <v/>
      </c>
      <c r="L203" s="173" t="str">
        <f>IF(AND('Mapa final'!$AB$84="Muy Baja",'Mapa final'!$AD$84="Leve"),CONCATENATE("R25C",'Mapa final'!$R$84),"")</f>
        <v/>
      </c>
      <c r="M203" s="172" t="str">
        <f ca="1">IF(AND('Mapa final'!$AB$82="Muy Baja",'Mapa final'!$AD$82="Menor"),CONCATENATE("R25C",'Mapa final'!$R$82),"")</f>
        <v/>
      </c>
      <c r="N203" s="199" t="str">
        <f>IF(AND('Mapa final'!$AB$83="Muy Baja",'Mapa final'!$AD$83="Menor"),CONCATENATE("R25C",'Mapa final'!$R$83),"")</f>
        <v/>
      </c>
      <c r="O203" s="173" t="str">
        <f>IF(AND('Mapa final'!$AB$84="Muy Baja",'Mapa final'!$AD$84="Menor"),CONCATENATE("R25C",'Mapa final'!$R$84),"")</f>
        <v/>
      </c>
      <c r="P203" s="164" t="str">
        <f ca="1">IF(AND('Mapa final'!$AB$82="Muy Baja",'Mapa final'!$AD$82="Moderado"),CONCATENATE("R25C",'Mapa final'!$R$82),"")</f>
        <v/>
      </c>
      <c r="Q203" s="193" t="str">
        <f>IF(AND('Mapa final'!$AB$83="Muy Baja",'Mapa final'!$AD$83="Moderado"),CONCATENATE("R25C",'Mapa final'!$R$83),"")</f>
        <v/>
      </c>
      <c r="R203" s="165" t="str">
        <f>IF(AND('Mapa final'!$AB$84="Muy Baja",'Mapa final'!$AD$84="Moderado"),CONCATENATE("R25C",'Mapa final'!$R$84),"")</f>
        <v/>
      </c>
      <c r="S203" s="83" t="str">
        <f ca="1">IF(AND('Mapa final'!$AB$82="Muy Baja",'Mapa final'!$AD$82="Mayor"),CONCATENATE("R25C",'Mapa final'!$R$82),"")</f>
        <v/>
      </c>
      <c r="T203" s="195" t="str">
        <f>IF(AND('Mapa final'!$AB$83="Muy Baja",'Mapa final'!$AD$83="Mayor"),CONCATENATE("R25C",'Mapa final'!$R$83),"")</f>
        <v/>
      </c>
      <c r="U203" s="84" t="str">
        <f>IF(AND('Mapa final'!$AB$84="Muy Baja",'Mapa final'!$AD$84="Mayor"),CONCATENATE("R25C",'Mapa final'!$R$84),"")</f>
        <v/>
      </c>
      <c r="V203" s="159" t="str">
        <f ca="1">IF(AND('Mapa final'!$AB$82="Muy Baja",'Mapa final'!$AD$82="Catastrófico"),CONCATENATE("R25C",'Mapa final'!$R$82),"")</f>
        <v/>
      </c>
      <c r="W203" s="194" t="str">
        <f>IF(AND('Mapa final'!$AB$83="Muy Baja",'Mapa final'!$AD$83="Catastrófico"),CONCATENATE("R25C",'Mapa final'!$R$83),"")</f>
        <v/>
      </c>
      <c r="X203" s="160" t="str">
        <f>IF(AND('Mapa final'!$AB$84="Muy Baja",'Mapa final'!$AD$84="Catastrófico"),CONCATENATE("R25C",'Mapa final'!$R$84),"")</f>
        <v/>
      </c>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row>
    <row r="204" spans="1:65" ht="15.75" x14ac:dyDescent="0.25">
      <c r="A204" s="38"/>
      <c r="B204" s="355"/>
      <c r="C204" s="356"/>
      <c r="D204" s="357"/>
      <c r="E204" s="337"/>
      <c r="F204" s="338"/>
      <c r="G204" s="338"/>
      <c r="H204" s="338"/>
      <c r="I204" s="338"/>
      <c r="J204" s="172" t="str">
        <f ca="1">IF(AND('Mapa final'!$AB$85="Muy Baja",'Mapa final'!$AD$85="Leve"),CONCATENATE("R26C",'Mapa final'!$R$85),"")</f>
        <v/>
      </c>
      <c r="K204" s="199" t="str">
        <f>IF(AND('Mapa final'!$AB$86="Muy Baja",'Mapa final'!$AD$86="Leve"),CONCATENATE("R26C",'Mapa final'!$R$86),"")</f>
        <v/>
      </c>
      <c r="L204" s="173" t="str">
        <f>IF(AND('Mapa final'!$AB$87="Muy Baja",'Mapa final'!$AD$87="Leve"),CONCATENATE("R26C",'Mapa final'!$R$87),"")</f>
        <v/>
      </c>
      <c r="M204" s="172" t="str">
        <f ca="1">IF(AND('Mapa final'!$AB$85="Muy Baja",'Mapa final'!$AD$85="Menor"),CONCATENATE("R26C",'Mapa final'!$R$85),"")</f>
        <v/>
      </c>
      <c r="N204" s="199" t="str">
        <f>IF(AND('Mapa final'!$AB$86="Muy Baja",'Mapa final'!$AD$86="Menor"),CONCATENATE("R26C",'Mapa final'!$R$86),"")</f>
        <v/>
      </c>
      <c r="O204" s="173" t="str">
        <f>IF(AND('Mapa final'!$AB$87="Muy Baja",'Mapa final'!$AD$87="Menor"),CONCATENATE("R26C",'Mapa final'!$R$87),"")</f>
        <v/>
      </c>
      <c r="P204" s="164" t="str">
        <f ca="1">IF(AND('Mapa final'!$AB$85="Muy Baja",'Mapa final'!$AD$85="Moderado"),CONCATENATE("R26C",'Mapa final'!$R$85),"")</f>
        <v/>
      </c>
      <c r="Q204" s="193" t="str">
        <f>IF(AND('Mapa final'!$AB$86="Muy Baja",'Mapa final'!$AD$86="Moderado"),CONCATENATE("R26C",'Mapa final'!$R$86),"")</f>
        <v/>
      </c>
      <c r="R204" s="165" t="str">
        <f>IF(AND('Mapa final'!$AB$87="Muy Baja",'Mapa final'!$AD$87="Moderado"),CONCATENATE("R26C",'Mapa final'!$R$87),"")</f>
        <v/>
      </c>
      <c r="S204" s="83" t="str">
        <f ca="1">IF(AND('Mapa final'!$AB$85="Muy Baja",'Mapa final'!$AD$85="Mayor"),CONCATENATE("R26C",'Mapa final'!$R$85),"")</f>
        <v/>
      </c>
      <c r="T204" s="195" t="str">
        <f>IF(AND('Mapa final'!$AB$86="Muy Baja",'Mapa final'!$AD$86="Mayor"),CONCATENATE("R26C",'Mapa final'!$R$86),"")</f>
        <v/>
      </c>
      <c r="U204" s="84" t="str">
        <f>IF(AND('Mapa final'!$AB$87="Muy Baja",'Mapa final'!$AD$87="Mayor"),CONCATENATE("R26C",'Mapa final'!$R$87),"")</f>
        <v/>
      </c>
      <c r="V204" s="159" t="str">
        <f ca="1">IF(AND('Mapa final'!$AB$85="Muy Baja",'Mapa final'!$AD$85="Catastrófico"),CONCATENATE("R26C",'Mapa final'!$R$85),"")</f>
        <v/>
      </c>
      <c r="W204" s="194" t="str">
        <f>IF(AND('Mapa final'!$AB$86="Muy Baja",'Mapa final'!$AD$86="Catastrófico"),CONCATENATE("R26C",'Mapa final'!$R$86),"")</f>
        <v/>
      </c>
      <c r="X204" s="160" t="str">
        <f>IF(AND('Mapa final'!$AB$87="Muy Baja",'Mapa final'!$AD$87="Catastrófico"),CONCATENATE("R26C",'Mapa final'!$R$87),"")</f>
        <v/>
      </c>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row>
    <row r="205" spans="1:65" ht="15" customHeight="1" x14ac:dyDescent="0.25">
      <c r="A205" s="38"/>
      <c r="B205" s="355"/>
      <c r="C205" s="356"/>
      <c r="D205" s="357"/>
      <c r="E205" s="337"/>
      <c r="F205" s="338"/>
      <c r="G205" s="338"/>
      <c r="H205" s="338"/>
      <c r="I205" s="338"/>
      <c r="J205" s="172" t="str">
        <f ca="1">IF(AND('Mapa final'!$AB$88="Muy Baja",'Mapa final'!$AD$88="Leve"),CONCATENATE("R27C",'Mapa final'!$R$88),"")</f>
        <v/>
      </c>
      <c r="K205" s="199" t="str">
        <f>IF(AND('Mapa final'!$AB$89="Muy Baja",'Mapa final'!$AD$89="Leve"),CONCATENATE("R27C",'Mapa final'!$R$89),"")</f>
        <v/>
      </c>
      <c r="L205" s="173" t="str">
        <f>IF(AND('Mapa final'!$AB$90="Muy Baja",'Mapa final'!$AD$90="Leve"),CONCATENATE("R27C",'Mapa final'!$R$90),"")</f>
        <v/>
      </c>
      <c r="M205" s="172" t="str">
        <f ca="1">IF(AND('Mapa final'!$AB$88="Muy Baja",'Mapa final'!$AD$88="Menor"),CONCATENATE("R27C",'Mapa final'!$R$88),"")</f>
        <v/>
      </c>
      <c r="N205" s="199" t="str">
        <f>IF(AND('Mapa final'!$AB$89="Muy Baja",'Mapa final'!$AD$89="Menor"),CONCATENATE("R27C",'Mapa final'!$R$89),"")</f>
        <v/>
      </c>
      <c r="O205" s="173" t="str">
        <f>IF(AND('Mapa final'!$AB$90="Muy Baja",'Mapa final'!$AD$90="Menor"),CONCATENATE("R27C",'Mapa final'!$R$90),"")</f>
        <v/>
      </c>
      <c r="P205" s="164" t="str">
        <f ca="1">IF(AND('Mapa final'!$AB$88="Muy Baja",'Mapa final'!$AD$88="Moderado"),CONCATENATE("R27C",'Mapa final'!$R$88),"")</f>
        <v/>
      </c>
      <c r="Q205" s="193" t="str">
        <f>IF(AND('Mapa final'!$AB$89="Muy Baja",'Mapa final'!$AD$89="Moderado"),CONCATENATE("R27C",'Mapa final'!$R$89),"")</f>
        <v/>
      </c>
      <c r="R205" s="165" t="str">
        <f>IF(AND('Mapa final'!$AB$90="Muy Baja",'Mapa final'!$AD$90="Moderado"),CONCATENATE("R27C",'Mapa final'!$R$90),"")</f>
        <v/>
      </c>
      <c r="S205" s="83" t="str">
        <f ca="1">IF(AND('Mapa final'!$AB$88="Muy Baja",'Mapa final'!$AD$88="Mayor"),CONCATENATE("R27C",'Mapa final'!$R$88),"")</f>
        <v/>
      </c>
      <c r="T205" s="195" t="str">
        <f>IF(AND('Mapa final'!$AB$89="Muy Baja",'Mapa final'!$AD$89="Mayor"),CONCATENATE("R27C",'Mapa final'!$R$89),"")</f>
        <v/>
      </c>
      <c r="U205" s="84" t="str">
        <f>IF(AND('Mapa final'!$AB$90="Muy Baja",'Mapa final'!$AD$90="Mayor"),CONCATENATE("R27C",'Mapa final'!$R$90),"")</f>
        <v/>
      </c>
      <c r="V205" s="159" t="str">
        <f ca="1">IF(AND('Mapa final'!$AB$88="Muy Baja",'Mapa final'!$AD$88="Catastrófico"),CONCATENATE("R27C",'Mapa final'!$R$88),"")</f>
        <v/>
      </c>
      <c r="W205" s="194" t="str">
        <f>IF(AND('Mapa final'!$AB$89="Muy Baja",'Mapa final'!$AD$89="Catastrófico"),CONCATENATE("R27C",'Mapa final'!$R$89),"")</f>
        <v/>
      </c>
      <c r="X205" s="160" t="str">
        <f>IF(AND('Mapa final'!$AB$90="Muy Baja",'Mapa final'!$AD$90="Catastrófico"),CONCATENATE("R27C",'Mapa final'!$R$90),"")</f>
        <v/>
      </c>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row>
    <row r="206" spans="1:65" ht="15" customHeight="1" x14ac:dyDescent="0.25">
      <c r="A206" s="38"/>
      <c r="B206" s="355"/>
      <c r="C206" s="356"/>
      <c r="D206" s="357"/>
      <c r="E206" s="339"/>
      <c r="F206" s="338"/>
      <c r="G206" s="338"/>
      <c r="H206" s="338"/>
      <c r="I206" s="338"/>
      <c r="J206" s="172" t="str">
        <f ca="1">IF(AND('Mapa final'!$AB$91="Muy Baja",'Mapa final'!$AD$91="Leve"),CONCATENATE("R28C",'Mapa final'!$R$91),"")</f>
        <v>R28C1</v>
      </c>
      <c r="K206" s="199" t="str">
        <f>IF(AND('Mapa final'!$AB$92="Muy Baja",'Mapa final'!$AD$92="Leve"),CONCATENATE("R28C",'Mapa final'!$R$92),"")</f>
        <v/>
      </c>
      <c r="L206" s="173" t="str">
        <f>IF(AND('Mapa final'!$AB$93="Muy Baja",'Mapa final'!$AD$93="Leve"),CONCATENATE("R28C",'Mapa final'!$R$93),"")</f>
        <v/>
      </c>
      <c r="M206" s="172" t="str">
        <f ca="1">IF(AND('Mapa final'!$AB$91="Muy Baja",'Mapa final'!$AD$91="Menor"),CONCATENATE("R28C",'Mapa final'!$R$91),"")</f>
        <v/>
      </c>
      <c r="N206" s="199" t="str">
        <f>IF(AND('Mapa final'!$AB$92="Muy Baja",'Mapa final'!$AD$92="Menor"),CONCATENATE("R28C",'Mapa final'!$R$92),"")</f>
        <v/>
      </c>
      <c r="O206" s="173" t="str">
        <f>IF(AND('Mapa final'!$AB$93="Muy Baja",'Mapa final'!$AD$93="Menor"),CONCATENATE("R28C",'Mapa final'!$R$93),"")</f>
        <v/>
      </c>
      <c r="P206" s="164" t="str">
        <f ca="1">IF(AND('Mapa final'!$AB$91="Muy Baja",'Mapa final'!$AD$91="Moderado"),CONCATENATE("R28C",'Mapa final'!$R$91),"")</f>
        <v/>
      </c>
      <c r="Q206" s="193" t="str">
        <f>IF(AND('Mapa final'!$AB$92="Muy Baja",'Mapa final'!$AD$92="Moderado"),CONCATENATE("R28C",'Mapa final'!$R$92),"")</f>
        <v/>
      </c>
      <c r="R206" s="165" t="str">
        <f>IF(AND('Mapa final'!$AB$93="Muy Baja",'Mapa final'!$AD$93="Moderado"),CONCATENATE("R28C",'Mapa final'!$R$93),"")</f>
        <v/>
      </c>
      <c r="S206" s="83" t="str">
        <f ca="1">IF(AND('Mapa final'!$AB$91="Muy Baja",'Mapa final'!$AD$91="Mayor"),CONCATENATE("R28C",'Mapa final'!$R$91),"")</f>
        <v/>
      </c>
      <c r="T206" s="195" t="str">
        <f>IF(AND('Mapa final'!$AB$92="Muy Baja",'Mapa final'!$AD$92="Mayor"),CONCATENATE("R28C",'Mapa final'!$R$92),"")</f>
        <v/>
      </c>
      <c r="U206" s="84" t="str">
        <f>IF(AND('Mapa final'!$AB$93="Muy Baja",'Mapa final'!$AD$93="Mayor"),CONCATENATE("R28C",'Mapa final'!$R$93),"")</f>
        <v/>
      </c>
      <c r="V206" s="159" t="str">
        <f ca="1">IF(AND('Mapa final'!$AB$91="Muy Baja",'Mapa final'!$AD$91="Catastrófico"),CONCATENATE("R28C",'Mapa final'!$R$91),"")</f>
        <v/>
      </c>
      <c r="W206" s="194" t="str">
        <f>IF(AND('Mapa final'!$AB$92="Muy Baja",'Mapa final'!$AD$92="Catastrófico"),CONCATENATE("R28C",'Mapa final'!$R$92),"")</f>
        <v/>
      </c>
      <c r="X206" s="160" t="str">
        <f>IF(AND('Mapa final'!$AB$93="Muy Baja",'Mapa final'!$AD$93="Catastrófico"),CONCATENATE("R28C",'Mapa final'!$R$93),"")</f>
        <v/>
      </c>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row>
    <row r="207" spans="1:65" ht="15" customHeight="1" x14ac:dyDescent="0.25">
      <c r="A207" s="38"/>
      <c r="B207" s="355"/>
      <c r="C207" s="356"/>
      <c r="D207" s="357"/>
      <c r="E207" s="339"/>
      <c r="F207" s="338"/>
      <c r="G207" s="338"/>
      <c r="H207" s="338"/>
      <c r="I207" s="338"/>
      <c r="J207" s="172" t="str">
        <f ca="1">IF(AND('Mapa final'!$AB$94="Muy Baja",'Mapa final'!$AD$94="Leve"),CONCATENATE("R29C",'Mapa final'!$R$94),"")</f>
        <v>R29C1</v>
      </c>
      <c r="K207" s="199" t="str">
        <f>IF(AND('Mapa final'!$AB$95="Muy Baja",'Mapa final'!$AD$95="Leve"),CONCATENATE("R29C",'Mapa final'!$R$95),"")</f>
        <v/>
      </c>
      <c r="L207" s="173" t="str">
        <f>IF(AND('Mapa final'!$AB$96="Muy Baja",'Mapa final'!$AD$96="Leve"),CONCATENATE("R29C",'Mapa final'!$R$96),"")</f>
        <v/>
      </c>
      <c r="M207" s="172" t="str">
        <f ca="1">IF(AND('Mapa final'!$AB$94="Muy Baja",'Mapa final'!$AD$94="Menor"),CONCATENATE("R29C",'Mapa final'!$R$94),"")</f>
        <v/>
      </c>
      <c r="N207" s="199" t="str">
        <f>IF(AND('Mapa final'!$AB$95="Muy Baja",'Mapa final'!$AD$95="Menor"),CONCATENATE("R29C",'Mapa final'!$R$95),"")</f>
        <v/>
      </c>
      <c r="O207" s="173" t="str">
        <f>IF(AND('Mapa final'!$AB$96="Muy Baja",'Mapa final'!$AD$96="Menor"),CONCATENATE("R29C",'Mapa final'!$R$96),"")</f>
        <v/>
      </c>
      <c r="P207" s="164" t="str">
        <f ca="1">IF(AND('Mapa final'!$AB$94="Muy Baja",'Mapa final'!$AD$94="Moderado"),CONCATENATE("R29C",'Mapa final'!$R$94),"")</f>
        <v/>
      </c>
      <c r="Q207" s="193" t="str">
        <f>IF(AND('Mapa final'!$AB$95="Muy Baja",'Mapa final'!$AD$95="Moderado"),CONCATENATE("R29C",'Mapa final'!$R$95),"")</f>
        <v/>
      </c>
      <c r="R207" s="165" t="str">
        <f>IF(AND('Mapa final'!$AB$96="Muy Baja",'Mapa final'!$AD$96="Moderado"),CONCATENATE("R29C",'Mapa final'!$R$96),"")</f>
        <v/>
      </c>
      <c r="S207" s="83" t="str">
        <f ca="1">IF(AND('Mapa final'!$AB$94="Muy Baja",'Mapa final'!$AD$94="Mayor"),CONCATENATE("R29C",'Mapa final'!$R$94),"")</f>
        <v/>
      </c>
      <c r="T207" s="195" t="str">
        <f>IF(AND('Mapa final'!$AB$95="Muy Baja",'Mapa final'!$AD$95="Mayor"),CONCATENATE("R29C",'Mapa final'!$R$95),"")</f>
        <v/>
      </c>
      <c r="U207" s="84" t="str">
        <f>IF(AND('Mapa final'!$AB$96="Muy Baja",'Mapa final'!$AD$96="Mayor"),CONCATENATE("R29C",'Mapa final'!$R$96),"")</f>
        <v/>
      </c>
      <c r="V207" s="159" t="str">
        <f ca="1">IF(AND('Mapa final'!$AB$94="Muy Baja",'Mapa final'!$AD$94="Catastrófico"),CONCATENATE("R29C",'Mapa final'!$R$94),"")</f>
        <v/>
      </c>
      <c r="W207" s="194" t="str">
        <f>IF(AND('Mapa final'!$AB$95="Muy Baja",'Mapa final'!$AD$95="Catastrófico"),CONCATENATE("R29C",'Mapa final'!$R$95),"")</f>
        <v/>
      </c>
      <c r="X207" s="160" t="str">
        <f>IF(AND('Mapa final'!$AB$96="Muy Baja",'Mapa final'!$AD$96="Catastrófico"),CONCATENATE("R29C",'Mapa final'!$R$96),"")</f>
        <v/>
      </c>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row>
    <row r="208" spans="1:65" ht="15" customHeight="1" x14ac:dyDescent="0.25">
      <c r="A208" s="38"/>
      <c r="B208" s="355"/>
      <c r="C208" s="356"/>
      <c r="D208" s="357"/>
      <c r="E208" s="339"/>
      <c r="F208" s="338"/>
      <c r="G208" s="338"/>
      <c r="H208" s="338"/>
      <c r="I208" s="338"/>
      <c r="J208" s="172" t="str">
        <f ca="1">IF(AND('Mapa final'!$AB$97="Muy Baja",'Mapa final'!$AD$97="Leve"),CONCATENATE("R30C",'Mapa final'!$R$97),"")</f>
        <v/>
      </c>
      <c r="K208" s="199" t="str">
        <f>IF(AND('Mapa final'!$AB$98="Muy Baja",'Mapa final'!$AD$98="Leve"),CONCATENATE("R30C",'Mapa final'!$R$98),"")</f>
        <v/>
      </c>
      <c r="L208" s="173" t="str">
        <f>IF(AND('Mapa final'!$AB$99="Muy Baja",'Mapa final'!$AD$99="Leve"),CONCATENATE("R30C",'Mapa final'!$R$99),"")</f>
        <v/>
      </c>
      <c r="M208" s="172" t="str">
        <f ca="1">IF(AND('Mapa final'!$AB$97="Muy Baja",'Mapa final'!$AD$97="Menor"),CONCATENATE("R30C",'Mapa final'!$R$97),"")</f>
        <v/>
      </c>
      <c r="N208" s="199" t="str">
        <f>IF(AND('Mapa final'!$AB$98="Muy Baja",'Mapa final'!$AD$98="Menor"),CONCATENATE("R30C",'Mapa final'!$R$98),"")</f>
        <v/>
      </c>
      <c r="O208" s="173" t="str">
        <f>IF(AND('Mapa final'!$AB$99="Muy Baja",'Mapa final'!$AD$99="Menor"),CONCATENATE("R30C",'Mapa final'!$R$99),"")</f>
        <v/>
      </c>
      <c r="P208" s="164" t="str">
        <f ca="1">IF(AND('Mapa final'!$AB$97="Muy Baja",'Mapa final'!$AD$97="Moderado"),CONCATENATE("R30C",'Mapa final'!$R$97),"")</f>
        <v/>
      </c>
      <c r="Q208" s="193" t="str">
        <f>IF(AND('Mapa final'!$AB$98="Muy Baja",'Mapa final'!$AD$98="Moderado"),CONCATENATE("R30C",'Mapa final'!$R$98),"")</f>
        <v/>
      </c>
      <c r="R208" s="165" t="str">
        <f>IF(AND('Mapa final'!$AB$99="Muy Baja",'Mapa final'!$AD$99="Moderado"),CONCATENATE("R30C",'Mapa final'!$R$99),"")</f>
        <v/>
      </c>
      <c r="S208" s="83" t="str">
        <f ca="1">IF(AND('Mapa final'!$AB$97="Muy Baja",'Mapa final'!$AD$97="Mayor"),CONCATENATE("R30C",'Mapa final'!$R$97),"")</f>
        <v/>
      </c>
      <c r="T208" s="195" t="str">
        <f>IF(AND('Mapa final'!$AB$98="Muy Baja",'Mapa final'!$AD$98="Mayor"),CONCATENATE("R30C",'Mapa final'!$R$98),"")</f>
        <v/>
      </c>
      <c r="U208" s="84" t="str">
        <f>IF(AND('Mapa final'!$AB$99="Muy Baja",'Mapa final'!$AD$99="Mayor"),CONCATENATE("R30C",'Mapa final'!$R$99),"")</f>
        <v/>
      </c>
      <c r="V208" s="159" t="str">
        <f ca="1">IF(AND('Mapa final'!$AB$97="Muy Baja",'Mapa final'!$AD$97="Catastrófico"),CONCATENATE("R30C",'Mapa final'!$R$97),"")</f>
        <v/>
      </c>
      <c r="W208" s="194" t="str">
        <f>IF(AND('Mapa final'!$AB$98="Muy Baja",'Mapa final'!$AD$98="Catastrófico"),CONCATENATE("R30C",'Mapa final'!$R$98),"")</f>
        <v/>
      </c>
      <c r="X208" s="160" t="str">
        <f>IF(AND('Mapa final'!$AB$99="Muy Baja",'Mapa final'!$AD$99="Catastrófico"),CONCATENATE("R30C",'Mapa final'!$R$99),"")</f>
        <v/>
      </c>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row>
    <row r="209" spans="1:65" ht="15" customHeight="1" x14ac:dyDescent="0.25">
      <c r="A209" s="38"/>
      <c r="B209" s="355"/>
      <c r="C209" s="356"/>
      <c r="D209" s="357"/>
      <c r="E209" s="339"/>
      <c r="F209" s="338"/>
      <c r="G209" s="338"/>
      <c r="H209" s="338"/>
      <c r="I209" s="338"/>
      <c r="J209" s="172" t="str">
        <f ca="1">IF(AND('Mapa final'!$AB$100="Muy Baja",'Mapa final'!$AD$100="Leve"),CONCATENATE("R31C",'Mapa final'!$R$100),"")</f>
        <v/>
      </c>
      <c r="K209" s="199" t="str">
        <f>IF(AND('Mapa final'!$AB$101="Muy Baja",'Mapa final'!$AD$101="Leve"),CONCATENATE("R31C",'Mapa final'!$R$101),"")</f>
        <v/>
      </c>
      <c r="L209" s="173" t="str">
        <f>IF(AND('Mapa final'!$AB$102="Muy Baja",'Mapa final'!$AD$102="Leve"),CONCATENATE("R31C",'Mapa final'!$R$102),"")</f>
        <v/>
      </c>
      <c r="M209" s="172" t="str">
        <f ca="1">IF(AND('Mapa final'!$AB$100="Muy Baja",'Mapa final'!$AD$100="Menor"),CONCATENATE("R31C",'Mapa final'!$R$100),"")</f>
        <v/>
      </c>
      <c r="N209" s="199" t="str">
        <f>IF(AND('Mapa final'!$AB$101="Muy Baja",'Mapa final'!$AD$101="Menor"),CONCATENATE("R31C",'Mapa final'!$R$101),"")</f>
        <v/>
      </c>
      <c r="O209" s="173" t="str">
        <f>IF(AND('Mapa final'!$AB$102="Muy Baja",'Mapa final'!$AD$102="Menor"),CONCATENATE("R31C",'Mapa final'!$R$102),"")</f>
        <v/>
      </c>
      <c r="P209" s="164" t="str">
        <f ca="1">IF(AND('Mapa final'!$AB$100="Muy Baja",'Mapa final'!$AD$100="Moderado"),CONCATENATE("R31C",'Mapa final'!$R$100),"")</f>
        <v/>
      </c>
      <c r="Q209" s="193" t="str">
        <f>IF(AND('Mapa final'!$AB$101="Muy Baja",'Mapa final'!$AD$101="Moderado"),CONCATENATE("R31C",'Mapa final'!$R$101),"")</f>
        <v/>
      </c>
      <c r="R209" s="165" t="str">
        <f>IF(AND('Mapa final'!$AB$102="Muy Baja",'Mapa final'!$AD$102="Moderado"),CONCATENATE("R31C",'Mapa final'!$R$102),"")</f>
        <v/>
      </c>
      <c r="S209" s="83" t="str">
        <f ca="1">IF(AND('Mapa final'!$AB$100="Muy Baja",'Mapa final'!$AD$100="Mayor"),CONCATENATE("R31C",'Mapa final'!$R$100),"")</f>
        <v/>
      </c>
      <c r="T209" s="195" t="str">
        <f>IF(AND('Mapa final'!$AB$101="Muy Baja",'Mapa final'!$AD$101="Mayor"),CONCATENATE("R31C",'Mapa final'!$R$101),"")</f>
        <v/>
      </c>
      <c r="U209" s="84" t="str">
        <f>IF(AND('Mapa final'!$AB$102="Muy Baja",'Mapa final'!$AD$102="Mayor"),CONCATENATE("R31C",'Mapa final'!$R$102),"")</f>
        <v/>
      </c>
      <c r="V209" s="159" t="str">
        <f ca="1">IF(AND('Mapa final'!$AB$100="Muy Baja",'Mapa final'!$AD$100="Catastrófico"),CONCATENATE("R31C",'Mapa final'!$R$100),"")</f>
        <v/>
      </c>
      <c r="W209" s="194" t="str">
        <f>IF(AND('Mapa final'!$AB$101="Muy Baja",'Mapa final'!$AD$101="Catastrófico"),CONCATENATE("R31C",'Mapa final'!$R$101),"")</f>
        <v/>
      </c>
      <c r="X209" s="160" t="str">
        <f>IF(AND('Mapa final'!$AB$102="Muy Baja",'Mapa final'!$AD$102="Catastrófico"),CONCATENATE("R31C",'Mapa final'!$R$102),"")</f>
        <v/>
      </c>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row>
    <row r="210" spans="1:65" ht="15" customHeight="1" x14ac:dyDescent="0.25">
      <c r="A210" s="38"/>
      <c r="B210" s="355"/>
      <c r="C210" s="356"/>
      <c r="D210" s="357"/>
      <c r="E210" s="339"/>
      <c r="F210" s="338"/>
      <c r="G210" s="338"/>
      <c r="H210" s="338"/>
      <c r="I210" s="338"/>
      <c r="J210" s="172" t="str">
        <f ca="1">IF(AND('Mapa final'!$AB$103="Muy Baja",'Mapa final'!$AD$103="Leve"),CONCATENATE("R32C",'Mapa final'!$R$103),"")</f>
        <v/>
      </c>
      <c r="K210" s="199" t="str">
        <f>IF(AND('Mapa final'!$AB$104="Muy Baja",'Mapa final'!$AD$104="Leve"),CONCATENATE("R32C",'Mapa final'!$R$104),"")</f>
        <v>R32C2</v>
      </c>
      <c r="L210" s="173" t="str">
        <f>IF(AND('Mapa final'!$AB$105="Muy Baja",'Mapa final'!$AD$105="Leve"),CONCATENATE("R32C",'Mapa final'!$R$105),"")</f>
        <v>R32C3</v>
      </c>
      <c r="M210" s="172" t="str">
        <f ca="1">IF(AND('Mapa final'!$AB$103="Muy Baja",'Mapa final'!$AD$103="Menor"),CONCATENATE("R32C",'Mapa final'!$R$103),"")</f>
        <v/>
      </c>
      <c r="N210" s="199" t="str">
        <f>IF(AND('Mapa final'!$AB$104="Muy Baja",'Mapa final'!$AD$104="Menor"),CONCATENATE("R32C",'Mapa final'!$R$104),"")</f>
        <v/>
      </c>
      <c r="O210" s="173" t="str">
        <f>IF(AND('Mapa final'!$AB$105="Muy Baja",'Mapa final'!$AD$105="Menor"),CONCATENATE("R32C",'Mapa final'!$R$105),"")</f>
        <v/>
      </c>
      <c r="P210" s="164" t="str">
        <f ca="1">IF(AND('Mapa final'!$AB$103="Muy Baja",'Mapa final'!$AD$103="Moderado"),CONCATENATE("R32C",'Mapa final'!$R$103),"")</f>
        <v/>
      </c>
      <c r="Q210" s="193" t="str">
        <f>IF(AND('Mapa final'!$AB$104="Muy Baja",'Mapa final'!$AD$104="Moderado"),CONCATENATE("R32C",'Mapa final'!$R$104),"")</f>
        <v/>
      </c>
      <c r="R210" s="165" t="str">
        <f>IF(AND('Mapa final'!$AB$105="Muy Baja",'Mapa final'!$AD$105="Moderado"),CONCATENATE("R32C",'Mapa final'!$R$105),"")</f>
        <v/>
      </c>
      <c r="S210" s="83" t="str">
        <f ca="1">IF(AND('Mapa final'!$AB$103="Muy Baja",'Mapa final'!$AD$103="Mayor"),CONCATENATE("R32C",'Mapa final'!$R$103),"")</f>
        <v/>
      </c>
      <c r="T210" s="195" t="str">
        <f>IF(AND('Mapa final'!$AB$104="Muy Baja",'Mapa final'!$AD$104="Mayor"),CONCATENATE("R32C",'Mapa final'!$R$104),"")</f>
        <v/>
      </c>
      <c r="U210" s="84" t="str">
        <f>IF(AND('Mapa final'!$AB$105="Muy Baja",'Mapa final'!$AD$105="Mayor"),CONCATENATE("R32C",'Mapa final'!$R$105),"")</f>
        <v/>
      </c>
      <c r="V210" s="159" t="str">
        <f ca="1">IF(AND('Mapa final'!$AB$103="Muy Baja",'Mapa final'!$AD$103="Catastrófico"),CONCATENATE("R32C",'Mapa final'!$R$103),"")</f>
        <v/>
      </c>
      <c r="W210" s="194" t="str">
        <f>IF(AND('Mapa final'!$AB$104="Muy Baja",'Mapa final'!$AD$104="Catastrófico"),CONCATENATE("R32C",'Mapa final'!$R$104),"")</f>
        <v/>
      </c>
      <c r="X210" s="160" t="str">
        <f>IF(AND('Mapa final'!$AB$105="Muy Baja",'Mapa final'!$AD$105="Catastrófico"),CONCATENATE("R32C",'Mapa final'!$R$105),"")</f>
        <v/>
      </c>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row>
    <row r="211" spans="1:65" ht="15" customHeight="1" x14ac:dyDescent="0.25">
      <c r="A211" s="38"/>
      <c r="B211" s="355"/>
      <c r="C211" s="356"/>
      <c r="D211" s="357"/>
      <c r="E211" s="339"/>
      <c r="F211" s="338"/>
      <c r="G211" s="338"/>
      <c r="H211" s="338"/>
      <c r="I211" s="338"/>
      <c r="J211" s="172" t="str">
        <f ca="1">IF(AND('Mapa final'!$AB$106="Muy Baja",'Mapa final'!$AD$106="Leve"),CONCATENATE("R33C",'Mapa final'!$R$106),"")</f>
        <v/>
      </c>
      <c r="K211" s="199" t="str">
        <f>IF(AND('Mapa final'!$AB$107="Muy Baja",'Mapa final'!$AD$107="Leve"),CONCATENATE("R33C",'Mapa final'!$R$107),"")</f>
        <v/>
      </c>
      <c r="L211" s="173" t="str">
        <f>IF(AND('Mapa final'!$AB$108="Muy Baja",'Mapa final'!$AD$108="Leve"),CONCATENATE("R33C",'Mapa final'!$R$108),"")</f>
        <v/>
      </c>
      <c r="M211" s="172" t="str">
        <f ca="1">IF(AND('Mapa final'!$AB$106="Muy Baja",'Mapa final'!$AD$106="Menor"),CONCATENATE("R33C",'Mapa final'!$R$106),"")</f>
        <v/>
      </c>
      <c r="N211" s="199" t="str">
        <f>IF(AND('Mapa final'!$AB$107="Muy Baja",'Mapa final'!$AD$107="Menor"),CONCATENATE("R33C",'Mapa final'!$R$107),"")</f>
        <v/>
      </c>
      <c r="O211" s="173" t="str">
        <f>IF(AND('Mapa final'!$AB$108="Muy Baja",'Mapa final'!$AD$108="Menor"),CONCATENATE("R33C",'Mapa final'!$R$108),"")</f>
        <v/>
      </c>
      <c r="P211" s="164" t="str">
        <f ca="1">IF(AND('Mapa final'!$AB$106="Muy Baja",'Mapa final'!$AD$106="Moderado"),CONCATENATE("R33C",'Mapa final'!$R$106),"")</f>
        <v/>
      </c>
      <c r="Q211" s="193" t="str">
        <f>IF(AND('Mapa final'!$AB$107="Muy Baja",'Mapa final'!$AD$107="Moderado"),CONCATENATE("R33C",'Mapa final'!$R$107),"")</f>
        <v/>
      </c>
      <c r="R211" s="165" t="str">
        <f>IF(AND('Mapa final'!$AB$108="Muy Baja",'Mapa final'!$AD$108="Moderado"),CONCATENATE("R33C",'Mapa final'!$R$108),"")</f>
        <v/>
      </c>
      <c r="S211" s="83" t="str">
        <f ca="1">IF(AND('Mapa final'!$AB$106="Muy Baja",'Mapa final'!$AD$106="Mayor"),CONCATENATE("R33C",'Mapa final'!$R$106),"")</f>
        <v/>
      </c>
      <c r="T211" s="195" t="str">
        <f>IF(AND('Mapa final'!$AB$107="Muy Baja",'Mapa final'!$AD$107="Mayor"),CONCATENATE("R33C",'Mapa final'!$R$107),"")</f>
        <v/>
      </c>
      <c r="U211" s="84" t="str">
        <f>IF(AND('Mapa final'!$AB$108="Muy Baja",'Mapa final'!$AD$108="Mayor"),CONCATENATE("R33C",'Mapa final'!$R$108),"")</f>
        <v/>
      </c>
      <c r="V211" s="159" t="str">
        <f ca="1">IF(AND('Mapa final'!$AB$106="Muy Baja",'Mapa final'!$AD$106="Catastrófico"),CONCATENATE("R33C",'Mapa final'!$R$106),"")</f>
        <v/>
      </c>
      <c r="W211" s="194" t="str">
        <f>IF(AND('Mapa final'!$AB$107="Muy Baja",'Mapa final'!$AD$107="Catastrófico"),CONCATENATE("R33C",'Mapa final'!$R$107),"")</f>
        <v/>
      </c>
      <c r="X211" s="160" t="str">
        <f>IF(AND('Mapa final'!$AB$108="Muy Baja",'Mapa final'!$AD$108="Catastrófico"),CONCATENATE("R33C",'Mapa final'!$R$108),"")</f>
        <v/>
      </c>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row>
    <row r="212" spans="1:65" ht="15" customHeight="1" x14ac:dyDescent="0.25">
      <c r="A212" s="38"/>
      <c r="B212" s="355"/>
      <c r="C212" s="356"/>
      <c r="D212" s="357"/>
      <c r="E212" s="339"/>
      <c r="F212" s="338"/>
      <c r="G212" s="338"/>
      <c r="H212" s="338"/>
      <c r="I212" s="338"/>
      <c r="J212" s="172" t="str">
        <f ca="1">IF(AND('Mapa final'!$AB$109="Muy Baja",'Mapa final'!$AD$109="Leve"),CONCATENATE("R34C",'Mapa final'!$R$109),"")</f>
        <v/>
      </c>
      <c r="K212" s="199" t="str">
        <f>IF(AND('Mapa final'!$AB$110="Muy Baja",'Mapa final'!$AD$110="Leve"),CONCATENATE("R34C",'Mapa final'!$R$110),"")</f>
        <v/>
      </c>
      <c r="L212" s="173" t="str">
        <f>IF(AND('Mapa final'!$AB$111="Muy Baja",'Mapa final'!$AD$111="Leve"),CONCATENATE("R34C",'Mapa final'!$R$111),"")</f>
        <v/>
      </c>
      <c r="M212" s="172" t="str">
        <f ca="1">IF(AND('Mapa final'!$AB$109="Muy Baja",'Mapa final'!$AD$109="Menor"),CONCATENATE("R34C",'Mapa final'!$R$109),"")</f>
        <v/>
      </c>
      <c r="N212" s="199" t="str">
        <f>IF(AND('Mapa final'!$AB$110="Muy Baja",'Mapa final'!$AD$110="Menor"),CONCATENATE("R34C",'Mapa final'!$R$110),"")</f>
        <v/>
      </c>
      <c r="O212" s="173" t="str">
        <f>IF(AND('Mapa final'!$AB$111="Muy Baja",'Mapa final'!$AD$111="Menor"),CONCATENATE("R34C",'Mapa final'!$R$111),"")</f>
        <v/>
      </c>
      <c r="P212" s="164" t="str">
        <f ca="1">IF(AND('Mapa final'!$AB$109="Muy Baja",'Mapa final'!$AD$109="Moderado"),CONCATENATE("R34C",'Mapa final'!$R$109),"")</f>
        <v/>
      </c>
      <c r="Q212" s="193" t="str">
        <f>IF(AND('Mapa final'!$AB$110="Muy Baja",'Mapa final'!$AD$110="Moderado"),CONCATENATE("R34C",'Mapa final'!$R$110),"")</f>
        <v/>
      </c>
      <c r="R212" s="165" t="str">
        <f>IF(AND('Mapa final'!$AB$111="Muy Baja",'Mapa final'!$AD$111="Moderado"),CONCATENATE("R34C",'Mapa final'!$R$111),"")</f>
        <v/>
      </c>
      <c r="S212" s="83" t="str">
        <f ca="1">IF(AND('Mapa final'!$AB$109="Muy Baja",'Mapa final'!$AD$109="Mayor"),CONCATENATE("R34C",'Mapa final'!$R$109),"")</f>
        <v/>
      </c>
      <c r="T212" s="195" t="str">
        <f>IF(AND('Mapa final'!$AB$110="Muy Baja",'Mapa final'!$AD$110="Mayor"),CONCATENATE("R34C",'Mapa final'!$R$110),"")</f>
        <v/>
      </c>
      <c r="U212" s="84" t="str">
        <f>IF(AND('Mapa final'!$AB$111="Muy Baja",'Mapa final'!$AD$111="Mayor"),CONCATENATE("R34C",'Mapa final'!$R$111),"")</f>
        <v/>
      </c>
      <c r="V212" s="159" t="str">
        <f ca="1">IF(AND('Mapa final'!$AB$109="Muy Baja",'Mapa final'!$AD$109="Catastrófico"),CONCATENATE("R34C",'Mapa final'!$R$109),"")</f>
        <v/>
      </c>
      <c r="W212" s="194" t="str">
        <f>IF(AND('Mapa final'!$AB$110="Muy Baja",'Mapa final'!$AD$110="Catastrófico"),CONCATENATE("R34C",'Mapa final'!$R$110),"")</f>
        <v/>
      </c>
      <c r="X212" s="160" t="str">
        <f>IF(AND('Mapa final'!$AB$111="Muy Baja",'Mapa final'!$AD$111="Catastrófico"),CONCATENATE("R34C",'Mapa final'!$R$111),"")</f>
        <v/>
      </c>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row>
    <row r="213" spans="1:65" ht="15" customHeight="1" x14ac:dyDescent="0.25">
      <c r="A213" s="38"/>
      <c r="B213" s="355"/>
      <c r="C213" s="356"/>
      <c r="D213" s="357"/>
      <c r="E213" s="339"/>
      <c r="F213" s="338"/>
      <c r="G213" s="338"/>
      <c r="H213" s="338"/>
      <c r="I213" s="338"/>
      <c r="J213" s="172" t="str">
        <f ca="1">IF(AND('Mapa final'!$AB$112="Muy Baja",'Mapa final'!$AD$112="Leve"),CONCATENATE("R35C",'Mapa final'!$R$112),"")</f>
        <v/>
      </c>
      <c r="K213" s="199" t="str">
        <f>IF(AND('Mapa final'!$AB$113="Muy Baja",'Mapa final'!$AD$113="Leve"),CONCATENATE("R35C",'Mapa final'!$R$113),"")</f>
        <v/>
      </c>
      <c r="L213" s="173" t="str">
        <f>IF(AND('Mapa final'!$AB$114="Muy Baja",'Mapa final'!$AD$114="Leve"),CONCATENATE("R35C",'Mapa final'!$R$114),"")</f>
        <v/>
      </c>
      <c r="M213" s="172" t="str">
        <f ca="1">IF(AND('Mapa final'!$AB$112="Muy Baja",'Mapa final'!$AD$112="Menor"),CONCATENATE("R35C",'Mapa final'!$R$112),"")</f>
        <v/>
      </c>
      <c r="N213" s="199" t="str">
        <f>IF(AND('Mapa final'!$AB$113="Muy Baja",'Mapa final'!$AD$113="Menor"),CONCATENATE("R35C",'Mapa final'!$R$113),"")</f>
        <v/>
      </c>
      <c r="O213" s="173" t="str">
        <f>IF(AND('Mapa final'!$AB$114="Muy Baja",'Mapa final'!$AD$114="Menor"),CONCATENATE("R35C",'Mapa final'!$R$114),"")</f>
        <v/>
      </c>
      <c r="P213" s="164" t="str">
        <f ca="1">IF(AND('Mapa final'!$AB$112="Muy Baja",'Mapa final'!$AD$112="Moderado"),CONCATENATE("R35C",'Mapa final'!$R$112),"")</f>
        <v/>
      </c>
      <c r="Q213" s="193" t="str">
        <f>IF(AND('Mapa final'!$AB$113="Muy Baja",'Mapa final'!$AD$113="Moderado"),CONCATENATE("R35C",'Mapa final'!$R$113),"")</f>
        <v/>
      </c>
      <c r="R213" s="165" t="str">
        <f>IF(AND('Mapa final'!$AB$114="Muy Baja",'Mapa final'!$AD$114="Moderado"),CONCATENATE("R35C",'Mapa final'!$R$114),"")</f>
        <v/>
      </c>
      <c r="S213" s="83" t="str">
        <f ca="1">IF(AND('Mapa final'!$AB$112="Muy Baja",'Mapa final'!$AD$112="Mayor"),CONCATENATE("R35C",'Mapa final'!$R$112),"")</f>
        <v/>
      </c>
      <c r="T213" s="195" t="str">
        <f>IF(AND('Mapa final'!$AB$113="Muy Baja",'Mapa final'!$AD$113="Mayor"),CONCATENATE("R35C",'Mapa final'!$R$113),"")</f>
        <v/>
      </c>
      <c r="U213" s="84" t="str">
        <f>IF(AND('Mapa final'!$AB$114="Muy Baja",'Mapa final'!$AD$114="Mayor"),CONCATENATE("R35C",'Mapa final'!$R$114),"")</f>
        <v/>
      </c>
      <c r="V213" s="159" t="str">
        <f ca="1">IF(AND('Mapa final'!$AB$112="Muy Baja",'Mapa final'!$AD$112="Catastrófico"),CONCATENATE("R35C",'Mapa final'!$R$112),"")</f>
        <v/>
      </c>
      <c r="W213" s="194" t="str">
        <f>IF(AND('Mapa final'!$AB$113="Muy Baja",'Mapa final'!$AD$113="Catastrófico"),CONCATENATE("R35C",'Mapa final'!$R$113),"")</f>
        <v/>
      </c>
      <c r="X213" s="160" t="str">
        <f>IF(AND('Mapa final'!$AB$114="Muy Baja",'Mapa final'!$AD$114="Catastrófico"),CONCATENATE("R35C",'Mapa final'!$R$114),"")</f>
        <v/>
      </c>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row>
    <row r="214" spans="1:65" ht="15" customHeight="1" x14ac:dyDescent="0.25">
      <c r="A214" s="38"/>
      <c r="B214" s="355"/>
      <c r="C214" s="356"/>
      <c r="D214" s="357"/>
      <c r="E214" s="339"/>
      <c r="F214" s="338"/>
      <c r="G214" s="338"/>
      <c r="H214" s="338"/>
      <c r="I214" s="338"/>
      <c r="J214" s="172" t="str">
        <f ca="1">IF(AND('Mapa final'!$AB$115="Muy Baja",'Mapa final'!$AD$115="Leve"),CONCATENATE("R36C",'Mapa final'!$R$115),"")</f>
        <v/>
      </c>
      <c r="K214" s="199" t="str">
        <f>IF(AND('Mapa final'!$AB$116="Muy Baja",'Mapa final'!$AD$116="Leve"),CONCATENATE("R36C",'Mapa final'!$R$116),"")</f>
        <v>R36C2</v>
      </c>
      <c r="L214" s="173" t="str">
        <f>IF(AND('Mapa final'!$AB$117="Muy Baja",'Mapa final'!$AD$117="Leve"),CONCATENATE("R36C",'Mapa final'!$R$117),"")</f>
        <v/>
      </c>
      <c r="M214" s="172" t="str">
        <f ca="1">IF(AND('Mapa final'!$AB$115="Muy Baja",'Mapa final'!$AD$115="Menor"),CONCATENATE("R36C",'Mapa final'!$R$115),"")</f>
        <v/>
      </c>
      <c r="N214" s="199" t="str">
        <f>IF(AND('Mapa final'!$AB$116="Muy Baja",'Mapa final'!$AD$116="Menor"),CONCATENATE("R36C",'Mapa final'!$R$116),"")</f>
        <v/>
      </c>
      <c r="O214" s="173" t="str">
        <f>IF(AND('Mapa final'!$AB$117="Muy Baja",'Mapa final'!$AD$117="Menor"),CONCATENATE("R36C",'Mapa final'!$R$117),"")</f>
        <v/>
      </c>
      <c r="P214" s="164" t="str">
        <f ca="1">IF(AND('Mapa final'!$AB$115="Muy Baja",'Mapa final'!$AD$115="Moderado"),CONCATENATE("R36C",'Mapa final'!$R$115),"")</f>
        <v/>
      </c>
      <c r="Q214" s="193" t="str">
        <f>IF(AND('Mapa final'!$AB$116="Muy Baja",'Mapa final'!$AD$116="Moderado"),CONCATENATE("R36C",'Mapa final'!$R$116),"")</f>
        <v/>
      </c>
      <c r="R214" s="165" t="str">
        <f>IF(AND('Mapa final'!$AB$117="Muy Baja",'Mapa final'!$AD$117="Moderado"),CONCATENATE("R36C",'Mapa final'!$R$117),"")</f>
        <v/>
      </c>
      <c r="S214" s="83" t="str">
        <f ca="1">IF(AND('Mapa final'!$AB$115="Muy Baja",'Mapa final'!$AD$115="Mayor"),CONCATENATE("R36C",'Mapa final'!$R$115),"")</f>
        <v/>
      </c>
      <c r="T214" s="195" t="str">
        <f>IF(AND('Mapa final'!$AB$116="Muy Baja",'Mapa final'!$AD$116="Mayor"),CONCATENATE("R36C",'Mapa final'!$R$116),"")</f>
        <v/>
      </c>
      <c r="U214" s="84" t="str">
        <f>IF(AND('Mapa final'!$AB$117="Muy Baja",'Mapa final'!$AD$117="Mayor"),CONCATENATE("R36C",'Mapa final'!$R$117),"")</f>
        <v/>
      </c>
      <c r="V214" s="159" t="str">
        <f ca="1">IF(AND('Mapa final'!$AB$115="Muy Baja",'Mapa final'!$AD$115="Catastrófico"),CONCATENATE("R36C",'Mapa final'!$R$115),"")</f>
        <v/>
      </c>
      <c r="W214" s="194" t="str">
        <f>IF(AND('Mapa final'!$AB$116="Muy Baja",'Mapa final'!$AD$116="Catastrófico"),CONCATENATE("R36C",'Mapa final'!$R$116),"")</f>
        <v/>
      </c>
      <c r="X214" s="160" t="str">
        <f>IF(AND('Mapa final'!$AB$117="Muy Baja",'Mapa final'!$AD$117="Catastrófico"),CONCATENATE("R36C",'Mapa final'!$R$117),"")</f>
        <v/>
      </c>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row>
    <row r="215" spans="1:65" ht="15" customHeight="1" x14ac:dyDescent="0.25">
      <c r="A215" s="38"/>
      <c r="B215" s="355"/>
      <c r="C215" s="356"/>
      <c r="D215" s="357"/>
      <c r="E215" s="339"/>
      <c r="F215" s="338"/>
      <c r="G215" s="338"/>
      <c r="H215" s="338"/>
      <c r="I215" s="338"/>
      <c r="J215" s="172" t="str">
        <f ca="1">IF(AND('Mapa final'!$AB$118="Muy Baja",'Mapa final'!$AD$118="Leve"),CONCATENATE("R37C",'Mapa final'!$R$118),"")</f>
        <v/>
      </c>
      <c r="K215" s="199" t="str">
        <f>IF(AND('Mapa final'!$AB$119="Muy Baja",'Mapa final'!$AD$119="Leve"),CONCATENATE("R37C",'Mapa final'!$R$119),"")</f>
        <v/>
      </c>
      <c r="L215" s="173" t="str">
        <f>IF(AND('Mapa final'!$AB$120="Muy Baja",'Mapa final'!$AD$120="Leve"),CONCATENATE("R37C",'Mapa final'!$R$120),"")</f>
        <v/>
      </c>
      <c r="M215" s="172" t="str">
        <f ca="1">IF(AND('Mapa final'!$AB$118="Muy Baja",'Mapa final'!$AD$118="Menor"),CONCATENATE("R37C",'Mapa final'!$R$118),"")</f>
        <v/>
      </c>
      <c r="N215" s="199" t="str">
        <f>IF(AND('Mapa final'!$AB$119="Muy Baja",'Mapa final'!$AD$119="Menor"),CONCATENATE("R37C",'Mapa final'!$R$119),"")</f>
        <v/>
      </c>
      <c r="O215" s="173" t="str">
        <f>IF(AND('Mapa final'!$AB$120="Muy Baja",'Mapa final'!$AD$120="Menor"),CONCATENATE("R37C",'Mapa final'!$R$120),"")</f>
        <v/>
      </c>
      <c r="P215" s="164" t="str">
        <f ca="1">IF(AND('Mapa final'!$AB$118="Muy Baja",'Mapa final'!$AD$118="Moderado"),CONCATENATE("R37C",'Mapa final'!$R$118),"")</f>
        <v/>
      </c>
      <c r="Q215" s="193" t="str">
        <f>IF(AND('Mapa final'!$AB$119="Muy Baja",'Mapa final'!$AD$119="Moderado"),CONCATENATE("R37C",'Mapa final'!$R$119),"")</f>
        <v/>
      </c>
      <c r="R215" s="165" t="str">
        <f>IF(AND('Mapa final'!$AB$120="Muy Baja",'Mapa final'!$AD$120="Moderado"),CONCATENATE("R37C",'Mapa final'!$R$120),"")</f>
        <v/>
      </c>
      <c r="S215" s="83" t="str">
        <f ca="1">IF(AND('Mapa final'!$AB$118="Muy Baja",'Mapa final'!$AD$118="Mayor"),CONCATENATE("R37C",'Mapa final'!$R$118),"")</f>
        <v/>
      </c>
      <c r="T215" s="195" t="str">
        <f>IF(AND('Mapa final'!$AB$119="Muy Baja",'Mapa final'!$AD$119="Mayor"),CONCATENATE("R37C",'Mapa final'!$R$119),"")</f>
        <v/>
      </c>
      <c r="U215" s="84" t="str">
        <f>IF(AND('Mapa final'!$AB$120="Muy Baja",'Mapa final'!$AD$120="Mayor"),CONCATENATE("R37C",'Mapa final'!$R$120),"")</f>
        <v/>
      </c>
      <c r="V215" s="159" t="str">
        <f ca="1">IF(AND('Mapa final'!$AB$118="Muy Baja",'Mapa final'!$AD$118="Catastrófico"),CONCATENATE("R37C",'Mapa final'!$R$118),"")</f>
        <v/>
      </c>
      <c r="W215" s="194" t="str">
        <f>IF(AND('Mapa final'!$AB$119="Muy Baja",'Mapa final'!$AD$119="Catastrófico"),CONCATENATE("R37C",'Mapa final'!$R$119),"")</f>
        <v/>
      </c>
      <c r="X215" s="160" t="str">
        <f>IF(AND('Mapa final'!$AB$120="Muy Baja",'Mapa final'!$AD$120="Catastrófico"),CONCATENATE("R37C",'Mapa final'!$R$120),"")</f>
        <v/>
      </c>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row>
    <row r="216" spans="1:65" ht="15" customHeight="1" x14ac:dyDescent="0.25">
      <c r="A216" s="38"/>
      <c r="B216" s="355"/>
      <c r="C216" s="356"/>
      <c r="D216" s="357"/>
      <c r="E216" s="339"/>
      <c r="F216" s="338"/>
      <c r="G216" s="338"/>
      <c r="H216" s="338"/>
      <c r="I216" s="338"/>
      <c r="J216" s="172" t="str">
        <f ca="1">IF(AND('Mapa final'!$AB$121="Muy Baja",'Mapa final'!$AD$121="Leve"),CONCATENATE("R38C",'Mapa final'!$R$121),"")</f>
        <v/>
      </c>
      <c r="K216" s="199" t="str">
        <f>IF(AND('Mapa final'!$AB$122="Muy Baja",'Mapa final'!$AD$122="Leve"),CONCATENATE("R38C",'Mapa final'!$R$122),"")</f>
        <v/>
      </c>
      <c r="L216" s="173" t="str">
        <f>IF(AND('Mapa final'!$AB$123="Muy Baja",'Mapa final'!$AD$123="Leve"),CONCATENATE("R38C",'Mapa final'!$R$123),"")</f>
        <v/>
      </c>
      <c r="M216" s="172" t="str">
        <f ca="1">IF(AND('Mapa final'!$AB$121="Muy Baja",'Mapa final'!$AD$121="Menor"),CONCATENATE("R38C",'Mapa final'!$R$121),"")</f>
        <v/>
      </c>
      <c r="N216" s="199" t="str">
        <f>IF(AND('Mapa final'!$AB$122="Muy Baja",'Mapa final'!$AD$122="Menor"),CONCATENATE("R38C",'Mapa final'!$R$122),"")</f>
        <v/>
      </c>
      <c r="O216" s="173" t="str">
        <f>IF(AND('Mapa final'!$AB$123="Muy Baja",'Mapa final'!$AD$123="Menor"),CONCATENATE("R38C",'Mapa final'!$R$123),"")</f>
        <v/>
      </c>
      <c r="P216" s="164" t="str">
        <f ca="1">IF(AND('Mapa final'!$AB$121="Muy Baja",'Mapa final'!$AD$121="Moderado"),CONCATENATE("R38C",'Mapa final'!$R$121),"")</f>
        <v/>
      </c>
      <c r="Q216" s="193" t="str">
        <f>IF(AND('Mapa final'!$AB$122="Muy Baja",'Mapa final'!$AD$122="Moderado"),CONCATENATE("R38C",'Mapa final'!$R$122),"")</f>
        <v/>
      </c>
      <c r="R216" s="165" t="str">
        <f>IF(AND('Mapa final'!$AB$123="Muy Baja",'Mapa final'!$AD$123="Moderado"),CONCATENATE("R38C",'Mapa final'!$R$123),"")</f>
        <v/>
      </c>
      <c r="S216" s="83" t="str">
        <f ca="1">IF(AND('Mapa final'!$AB$121="Muy Baja",'Mapa final'!$AD$121="Mayor"),CONCATENATE("R38C",'Mapa final'!$R$121),"")</f>
        <v/>
      </c>
      <c r="T216" s="195" t="str">
        <f>IF(AND('Mapa final'!$AB$122="Muy Baja",'Mapa final'!$AD$122="Mayor"),CONCATENATE("R38C",'Mapa final'!$R$122),"")</f>
        <v/>
      </c>
      <c r="U216" s="84" t="str">
        <f>IF(AND('Mapa final'!$AB$123="Muy Baja",'Mapa final'!$AD$123="Mayor"),CONCATENATE("R38C",'Mapa final'!$R$123),"")</f>
        <v/>
      </c>
      <c r="V216" s="159" t="str">
        <f ca="1">IF(AND('Mapa final'!$AB$121="Muy Baja",'Mapa final'!$AD$121="Catastrófico"),CONCATENATE("R38C",'Mapa final'!$R$121),"")</f>
        <v/>
      </c>
      <c r="W216" s="194" t="str">
        <f>IF(AND('Mapa final'!$AB$122="Muy Baja",'Mapa final'!$AD$122="Catastrófico"),CONCATENATE("R38C",'Mapa final'!$R$122),"")</f>
        <v/>
      </c>
      <c r="X216" s="160" t="str">
        <f>IF(AND('Mapa final'!$AB$123="Muy Baja",'Mapa final'!$AD$123="Catastrófico"),CONCATENATE("R38C",'Mapa final'!$R$123),"")</f>
        <v/>
      </c>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row>
    <row r="217" spans="1:65" ht="15" customHeight="1" x14ac:dyDescent="0.25">
      <c r="A217" s="38"/>
      <c r="B217" s="355"/>
      <c r="C217" s="356"/>
      <c r="D217" s="357"/>
      <c r="E217" s="339"/>
      <c r="F217" s="338"/>
      <c r="G217" s="338"/>
      <c r="H217" s="338"/>
      <c r="I217" s="338"/>
      <c r="J217" s="172" t="str">
        <f ca="1">IF(AND('Mapa final'!$AB$124="Muy Baja",'Mapa final'!$AD$124="Leve"),CONCATENATE("R39C",'Mapa final'!$R$124),"")</f>
        <v/>
      </c>
      <c r="K217" s="199" t="str">
        <f>IF(AND('Mapa final'!$AB$125="Muy Baja",'Mapa final'!$AD$125="Leve"),CONCATENATE("R39C",'Mapa final'!$R$125),"")</f>
        <v/>
      </c>
      <c r="L217" s="173" t="str">
        <f>IF(AND('Mapa final'!$AB$126="Muy Baja",'Mapa final'!$AD$126="Leve"),CONCATENATE("R39C",'Mapa final'!$R$126),"")</f>
        <v/>
      </c>
      <c r="M217" s="172" t="str">
        <f ca="1">IF(AND('Mapa final'!$AB$124="Muy Baja",'Mapa final'!$AD$124="Menor"),CONCATENATE("R39C",'Mapa final'!$R$124),"")</f>
        <v/>
      </c>
      <c r="N217" s="199" t="str">
        <f>IF(AND('Mapa final'!$AB$125="Muy Baja",'Mapa final'!$AD$125="Menor"),CONCATENATE("R39C",'Mapa final'!$R$125),"")</f>
        <v/>
      </c>
      <c r="O217" s="173" t="str">
        <f>IF(AND('Mapa final'!$AB$126="Muy Baja",'Mapa final'!$AD$126="Menor"),CONCATENATE("R39C",'Mapa final'!$R$126),"")</f>
        <v/>
      </c>
      <c r="P217" s="164" t="str">
        <f ca="1">IF(AND('Mapa final'!$AB$124="Muy Baja",'Mapa final'!$AD$124="Moderado"),CONCATENATE("R39C",'Mapa final'!$R$124),"")</f>
        <v/>
      </c>
      <c r="Q217" s="193" t="str">
        <f>IF(AND('Mapa final'!$AB$125="Muy Baja",'Mapa final'!$AD$125="Moderado"),CONCATENATE("R39C",'Mapa final'!$R$125),"")</f>
        <v/>
      </c>
      <c r="R217" s="165" t="str">
        <f>IF(AND('Mapa final'!$AB$126="Muy Baja",'Mapa final'!$AD$126="Moderado"),CONCATENATE("R39C",'Mapa final'!$R$126),"")</f>
        <v/>
      </c>
      <c r="S217" s="83" t="str">
        <f ca="1">IF(AND('Mapa final'!$AB$124="Muy Baja",'Mapa final'!$AD$124="Mayor"),CONCATENATE("R39C",'Mapa final'!$R$124),"")</f>
        <v/>
      </c>
      <c r="T217" s="195" t="str">
        <f>IF(AND('Mapa final'!$AB$125="Muy Baja",'Mapa final'!$AD$125="Mayor"),CONCATENATE("R39C",'Mapa final'!$R$125),"")</f>
        <v/>
      </c>
      <c r="U217" s="84" t="str">
        <f>IF(AND('Mapa final'!$AB$126="Muy Baja",'Mapa final'!$AD$126="Mayor"),CONCATENATE("R39C",'Mapa final'!$R$126),"")</f>
        <v/>
      </c>
      <c r="V217" s="159" t="str">
        <f ca="1">IF(AND('Mapa final'!$AB$124="Muy Baja",'Mapa final'!$AD$124="Catastrófico"),CONCATENATE("R39C",'Mapa final'!$R$124),"")</f>
        <v/>
      </c>
      <c r="W217" s="194" t="str">
        <f>IF(AND('Mapa final'!$AB$125="Muy Baja",'Mapa final'!$AD$125="Catastrófico"),CONCATENATE("R39C",'Mapa final'!$R$125),"")</f>
        <v/>
      </c>
      <c r="X217" s="160" t="str">
        <f>IF(AND('Mapa final'!$AB$126="Muy Baja",'Mapa final'!$AD$126="Catastrófico"),CONCATENATE("R39C",'Mapa final'!$R$126),"")</f>
        <v/>
      </c>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row>
    <row r="218" spans="1:65" ht="15" customHeight="1" x14ac:dyDescent="0.25">
      <c r="A218" s="38"/>
      <c r="B218" s="355"/>
      <c r="C218" s="356"/>
      <c r="D218" s="357"/>
      <c r="E218" s="339"/>
      <c r="F218" s="338"/>
      <c r="G218" s="338"/>
      <c r="H218" s="338"/>
      <c r="I218" s="338"/>
      <c r="J218" s="172" t="str">
        <f ca="1">IF(AND('Mapa final'!$AB$127="Muy Baja",'Mapa final'!$AD$127="Leve"),CONCATENATE("R40C",'Mapa final'!$R$127),"")</f>
        <v/>
      </c>
      <c r="K218" s="199" t="str">
        <f>IF(AND('Mapa final'!$AB$128="Muy Baja",'Mapa final'!$AD$128="Leve"),CONCATENATE("R40C",'Mapa final'!$R$128),"")</f>
        <v/>
      </c>
      <c r="L218" s="173" t="str">
        <f>IF(AND('Mapa final'!$AB$129="Muy Baja",'Mapa final'!$AD$129="Leve"),CONCATENATE("R40C",'Mapa final'!$R$129),"")</f>
        <v/>
      </c>
      <c r="M218" s="172" t="str">
        <f ca="1">IF(AND('Mapa final'!$AB$127="Muy Baja",'Mapa final'!$AD$127="Menor"),CONCATENATE("R40C",'Mapa final'!$R$127),"")</f>
        <v/>
      </c>
      <c r="N218" s="199" t="str">
        <f>IF(AND('Mapa final'!$AB$128="Muy Baja",'Mapa final'!$AD$128="Menor"),CONCATENATE("R40C",'Mapa final'!$R$128),"")</f>
        <v/>
      </c>
      <c r="O218" s="173" t="str">
        <f>IF(AND('Mapa final'!$AB$129="Muy Baja",'Mapa final'!$AD$129="Menor"),CONCATENATE("R40C",'Mapa final'!$R$129),"")</f>
        <v/>
      </c>
      <c r="P218" s="164" t="str">
        <f ca="1">IF(AND('Mapa final'!$AB$127="Muy Baja",'Mapa final'!$AD$127="Moderado"),CONCATENATE("R40C",'Mapa final'!$R$127),"")</f>
        <v>R40C1</v>
      </c>
      <c r="Q218" s="193" t="str">
        <f>IF(AND('Mapa final'!$AB$128="Muy Baja",'Mapa final'!$AD$128="Moderado"),CONCATENATE("R40C",'Mapa final'!$R$128),"")</f>
        <v/>
      </c>
      <c r="R218" s="165" t="str">
        <f>IF(AND('Mapa final'!$AB$129="Muy Baja",'Mapa final'!$AD$129="Moderado"),CONCATENATE("R40C",'Mapa final'!$R$129),"")</f>
        <v/>
      </c>
      <c r="S218" s="83" t="str">
        <f ca="1">IF(AND('Mapa final'!$AB$127="Muy Baja",'Mapa final'!$AD$127="Mayor"),CONCATENATE("R40C",'Mapa final'!$R$127),"")</f>
        <v/>
      </c>
      <c r="T218" s="195" t="str">
        <f>IF(AND('Mapa final'!$AB$128="Muy Baja",'Mapa final'!$AD$128="Mayor"),CONCATENATE("R40C",'Mapa final'!$R$128),"")</f>
        <v/>
      </c>
      <c r="U218" s="84" t="str">
        <f>IF(AND('Mapa final'!$AB$129="Muy Baja",'Mapa final'!$AD$129="Mayor"),CONCATENATE("R40C",'Mapa final'!$R$129),"")</f>
        <v/>
      </c>
      <c r="V218" s="159" t="str">
        <f ca="1">IF(AND('Mapa final'!$AB$127="Muy Baja",'Mapa final'!$AD$127="Catastrófico"),CONCATENATE("R40C",'Mapa final'!$R$127),"")</f>
        <v/>
      </c>
      <c r="W218" s="194" t="str">
        <f>IF(AND('Mapa final'!$AB$128="Muy Baja",'Mapa final'!$AD$128="Catastrófico"),CONCATENATE("R40C",'Mapa final'!$R$128),"")</f>
        <v/>
      </c>
      <c r="X218" s="160" t="str">
        <f>IF(AND('Mapa final'!$AB$129="Muy Baja",'Mapa final'!$AD$129="Catastrófico"),CONCATENATE("R40C",'Mapa final'!$R$129),"")</f>
        <v/>
      </c>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row>
    <row r="219" spans="1:65" ht="15" customHeight="1" x14ac:dyDescent="0.25">
      <c r="A219" s="38"/>
      <c r="B219" s="355"/>
      <c r="C219" s="356"/>
      <c r="D219" s="357"/>
      <c r="E219" s="339"/>
      <c r="F219" s="338"/>
      <c r="G219" s="338"/>
      <c r="H219" s="338"/>
      <c r="I219" s="338"/>
      <c r="J219" s="172" t="str">
        <f ca="1">IF(AND('Mapa final'!$AB$130="Muy Baja",'Mapa final'!$AD$130="Leve"),CONCATENATE("R41C",'Mapa final'!$R$130),"")</f>
        <v/>
      </c>
      <c r="K219" s="199" t="str">
        <f>IF(AND('Mapa final'!$AB$131="Muy Baja",'Mapa final'!$AD$131="Leve"),CONCATENATE("R41C",'Mapa final'!$R$131),"")</f>
        <v/>
      </c>
      <c r="L219" s="173" t="str">
        <f>IF(AND('Mapa final'!$AB$132="Muy Baja",'Mapa final'!$AD$132="Leve"),CONCATENATE("R41C",'Mapa final'!$R$132),"")</f>
        <v/>
      </c>
      <c r="M219" s="172" t="str">
        <f ca="1">IF(AND('Mapa final'!$AB$130="Muy Baja",'Mapa final'!$AD$130="Menor"),CONCATENATE("R41C",'Mapa final'!$R$130),"")</f>
        <v/>
      </c>
      <c r="N219" s="199" t="str">
        <f>IF(AND('Mapa final'!$AB$131="Muy Baja",'Mapa final'!$AD$131="Menor"),CONCATENATE("R41C",'Mapa final'!$R$131),"")</f>
        <v/>
      </c>
      <c r="O219" s="173" t="str">
        <f>IF(AND('Mapa final'!$AB$132="Muy Baja",'Mapa final'!$AD$132="Menor"),CONCATENATE("R41C",'Mapa final'!$R$132),"")</f>
        <v/>
      </c>
      <c r="P219" s="164" t="str">
        <f ca="1">IF(AND('Mapa final'!$AB$130="Muy Baja",'Mapa final'!$AD$130="Moderado"),CONCATENATE("R41C",'Mapa final'!$R$130),"")</f>
        <v/>
      </c>
      <c r="Q219" s="193" t="str">
        <f>IF(AND('Mapa final'!$AB$131="Muy Baja",'Mapa final'!$AD$131="Moderado"),CONCATENATE("R41C",'Mapa final'!$R$131),"")</f>
        <v/>
      </c>
      <c r="R219" s="165" t="str">
        <f>IF(AND('Mapa final'!$AB$132="Muy Baja",'Mapa final'!$AD$132="Moderado"),CONCATENATE("R41C",'Mapa final'!$R$132),"")</f>
        <v/>
      </c>
      <c r="S219" s="83" t="str">
        <f ca="1">IF(AND('Mapa final'!$AB$130="Muy Baja",'Mapa final'!$AD$130="Mayor"),CONCATENATE("R41C",'Mapa final'!$R$130),"")</f>
        <v/>
      </c>
      <c r="T219" s="195" t="str">
        <f>IF(AND('Mapa final'!$AB$131="Muy Baja",'Mapa final'!$AD$131="Mayor"),CONCATENATE("R41C",'Mapa final'!$R$131),"")</f>
        <v/>
      </c>
      <c r="U219" s="84" t="str">
        <f>IF(AND('Mapa final'!$AB$132="Muy Baja",'Mapa final'!$AD$132="Mayor"),CONCATENATE("R41C",'Mapa final'!$R$132),"")</f>
        <v/>
      </c>
      <c r="V219" s="159" t="str">
        <f ca="1">IF(AND('Mapa final'!$AB$130="Muy Baja",'Mapa final'!$AD$130="Catastrófico"),CONCATENATE("R41C",'Mapa final'!$R$130),"")</f>
        <v/>
      </c>
      <c r="W219" s="194" t="str">
        <f>IF(AND('Mapa final'!$AB$131="Muy Baja",'Mapa final'!$AD$131="Catastrófico"),CONCATENATE("R41C",'Mapa final'!$R$131),"")</f>
        <v/>
      </c>
      <c r="X219" s="160" t="str">
        <f>IF(AND('Mapa final'!$AB$132="Muy Baja",'Mapa final'!$AD$132="Catastrófico"),CONCATENATE("R41C",'Mapa final'!$R$132),"")</f>
        <v/>
      </c>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row>
    <row r="220" spans="1:65" ht="15" customHeight="1" thickBot="1" x14ac:dyDescent="0.3">
      <c r="A220" s="38"/>
      <c r="B220" s="358"/>
      <c r="C220" s="359"/>
      <c r="D220" s="360"/>
      <c r="E220" s="361"/>
      <c r="F220" s="362"/>
      <c r="G220" s="362"/>
      <c r="H220" s="362"/>
      <c r="I220" s="362"/>
      <c r="J220" s="174" t="str">
        <f ca="1">IF(AND('Mapa final'!$AB$133="Muy Baja",'Mapa final'!$AD$133="Leve"),CONCATENATE("R42C",'Mapa final'!$R$133),"")</f>
        <v/>
      </c>
      <c r="K220" s="175" t="str">
        <f>IF(AND('Mapa final'!$AB$134="Muy Baja",'Mapa final'!$AD$134="Leve"),CONCATENATE("R42C",'Mapa final'!$R$134),"")</f>
        <v/>
      </c>
      <c r="L220" s="176" t="str">
        <f>IF(AND('Mapa final'!$AB$135="Muy Baja",'Mapa final'!$AD$135="Leve"),CONCATENATE("R42C",'Mapa final'!$R$135),"")</f>
        <v/>
      </c>
      <c r="M220" s="174" t="str">
        <f ca="1">IF(AND('Mapa final'!$AB$133="Muy Baja",'Mapa final'!$AD$133="Menor"),CONCATENATE("R42C",'Mapa final'!$R$133),"")</f>
        <v/>
      </c>
      <c r="N220" s="175" t="str">
        <f>IF(AND('Mapa final'!$AB$134="Muy Baja",'Mapa final'!$AD$134="Menor"),CONCATENATE("R42C",'Mapa final'!$R$134),"")</f>
        <v/>
      </c>
      <c r="O220" s="176" t="str">
        <f>IF(AND('Mapa final'!$AB$135="Muy Baja",'Mapa final'!$AD$135="Menor"),CONCATENATE("R42C",'Mapa final'!$R$135),"")</f>
        <v/>
      </c>
      <c r="P220" s="166" t="str">
        <f ca="1">IF(AND('Mapa final'!$AB$133="Muy Baja",'Mapa final'!$AD$133="Moderado"),CONCATENATE("R42C",'Mapa final'!$R$133),"")</f>
        <v/>
      </c>
      <c r="Q220" s="167" t="str">
        <f>IF(AND('Mapa final'!$AB$134="Muy Baja",'Mapa final'!$AD$134="Moderado"),CONCATENATE("R42C",'Mapa final'!$R$134),"")</f>
        <v/>
      </c>
      <c r="R220" s="168" t="str">
        <f>IF(AND('Mapa final'!$AB$135="Muy Baja",'Mapa final'!$AD$135="Moderado"),CONCATENATE("R42C",'Mapa final'!$R$135),"")</f>
        <v/>
      </c>
      <c r="S220" s="196" t="str">
        <f ca="1">IF(AND('Mapa final'!$AB$133="Muy Baja",'Mapa final'!$AD$133="Mayor"),CONCATENATE("R42C",'Mapa final'!$R$133),"")</f>
        <v/>
      </c>
      <c r="T220" s="197" t="str">
        <f>IF(AND('Mapa final'!$AB$134="Muy Baja",'Mapa final'!$AD$134="Mayor"),CONCATENATE("R42C",'Mapa final'!$R$134),"")</f>
        <v/>
      </c>
      <c r="U220" s="198" t="str">
        <f>IF(AND('Mapa final'!$AB$135="Muy Baja",'Mapa final'!$AD$135="Mayor"),CONCATENATE("R42C",'Mapa final'!$R$135),"")</f>
        <v/>
      </c>
      <c r="V220" s="177" t="str">
        <f ca="1">IF(AND('Mapa final'!$AB$133="Muy Baja",'Mapa final'!$AD$133="Catastrófico"),CONCATENATE("R42C",'Mapa final'!$R$133),"")</f>
        <v/>
      </c>
      <c r="W220" s="178" t="str">
        <f>IF(AND('Mapa final'!$AB$134="Muy Baja",'Mapa final'!$AD$134="Catastrófico"),CONCATENATE("R42C",'Mapa final'!$R$134),"")</f>
        <v/>
      </c>
      <c r="X220" s="179" t="str">
        <f>IF(AND('Mapa final'!$AB$135="Muy Baja",'Mapa final'!$AD$135="Catastrófico"),CONCATENATE("R42C",'Mapa final'!$R$135),"")</f>
        <v/>
      </c>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row>
    <row r="221" spans="1:65" x14ac:dyDescent="0.25">
      <c r="A221" s="38"/>
      <c r="B221" s="38"/>
      <c r="C221" s="38"/>
      <c r="D221" s="38"/>
      <c r="E221" s="38"/>
      <c r="F221" s="38"/>
      <c r="G221" s="38"/>
      <c r="H221" s="38"/>
      <c r="I221" s="38"/>
      <c r="J221" s="337" t="s">
        <v>103</v>
      </c>
      <c r="K221" s="338"/>
      <c r="L221" s="381"/>
      <c r="M221" s="337" t="s">
        <v>102</v>
      </c>
      <c r="N221" s="338"/>
      <c r="O221" s="381"/>
      <c r="P221" s="337" t="s">
        <v>101</v>
      </c>
      <c r="Q221" s="338"/>
      <c r="R221" s="381"/>
      <c r="S221" s="337" t="s">
        <v>100</v>
      </c>
      <c r="T221" s="383"/>
      <c r="U221" s="338"/>
      <c r="V221" s="337" t="s">
        <v>99</v>
      </c>
      <c r="W221" s="338"/>
      <c r="X221" s="386"/>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row>
    <row r="222" spans="1:65" x14ac:dyDescent="0.25">
      <c r="A222" s="38"/>
      <c r="B222" s="38"/>
      <c r="C222" s="38"/>
      <c r="D222" s="38"/>
      <c r="E222" s="38"/>
      <c r="F222" s="38"/>
      <c r="G222" s="38"/>
      <c r="H222" s="38"/>
      <c r="I222" s="38"/>
      <c r="J222" s="339"/>
      <c r="K222" s="338"/>
      <c r="L222" s="381"/>
      <c r="M222" s="339"/>
      <c r="N222" s="338"/>
      <c r="O222" s="381"/>
      <c r="P222" s="339"/>
      <c r="Q222" s="338"/>
      <c r="R222" s="381"/>
      <c r="S222" s="339"/>
      <c r="T222" s="338"/>
      <c r="U222" s="338"/>
      <c r="V222" s="339"/>
      <c r="W222" s="338"/>
      <c r="X222" s="386"/>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row>
    <row r="223" spans="1:65" x14ac:dyDescent="0.25">
      <c r="A223" s="38"/>
      <c r="B223" s="38"/>
      <c r="C223" s="38"/>
      <c r="D223" s="38"/>
      <c r="E223" s="38"/>
      <c r="F223" s="38"/>
      <c r="G223" s="38"/>
      <c r="H223" s="38"/>
      <c r="I223" s="38"/>
      <c r="J223" s="339"/>
      <c r="K223" s="338"/>
      <c r="L223" s="381"/>
      <c r="M223" s="339"/>
      <c r="N223" s="338"/>
      <c r="O223" s="381"/>
      <c r="P223" s="339"/>
      <c r="Q223" s="338"/>
      <c r="R223" s="381"/>
      <c r="S223" s="339"/>
      <c r="T223" s="338"/>
      <c r="U223" s="338"/>
      <c r="V223" s="339"/>
      <c r="W223" s="338"/>
      <c r="X223" s="386"/>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row>
    <row r="224" spans="1:65" x14ac:dyDescent="0.25">
      <c r="A224" s="38"/>
      <c r="B224" s="38"/>
      <c r="C224" s="38"/>
      <c r="D224" s="38"/>
      <c r="E224" s="38"/>
      <c r="F224" s="38"/>
      <c r="G224" s="38"/>
      <c r="H224" s="38"/>
      <c r="I224" s="38"/>
      <c r="J224" s="339"/>
      <c r="K224" s="338"/>
      <c r="L224" s="381"/>
      <c r="M224" s="339"/>
      <c r="N224" s="338"/>
      <c r="O224" s="381"/>
      <c r="P224" s="339"/>
      <c r="Q224" s="338"/>
      <c r="R224" s="381"/>
      <c r="S224" s="339"/>
      <c r="T224" s="338"/>
      <c r="U224" s="338"/>
      <c r="V224" s="339"/>
      <c r="W224" s="338"/>
      <c r="X224" s="386"/>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row>
    <row r="225" spans="1:65" x14ac:dyDescent="0.25">
      <c r="A225" s="38"/>
      <c r="B225" s="38"/>
      <c r="C225" s="38"/>
      <c r="D225" s="38"/>
      <c r="E225" s="38"/>
      <c r="F225" s="38"/>
      <c r="G225" s="38"/>
      <c r="H225" s="38"/>
      <c r="I225" s="38"/>
      <c r="J225" s="339"/>
      <c r="K225" s="338"/>
      <c r="L225" s="381"/>
      <c r="M225" s="339"/>
      <c r="N225" s="338"/>
      <c r="O225" s="381"/>
      <c r="P225" s="339"/>
      <c r="Q225" s="338"/>
      <c r="R225" s="381"/>
      <c r="S225" s="339"/>
      <c r="T225" s="338"/>
      <c r="U225" s="338"/>
      <c r="V225" s="339"/>
      <c r="W225" s="338"/>
      <c r="X225" s="386"/>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row>
    <row r="226" spans="1:65" ht="15.75" thickBot="1" x14ac:dyDescent="0.3">
      <c r="A226" s="38"/>
      <c r="B226" s="38"/>
      <c r="C226" s="38"/>
      <c r="D226" s="38"/>
      <c r="E226" s="38"/>
      <c r="F226" s="38"/>
      <c r="G226" s="38"/>
      <c r="H226" s="38"/>
      <c r="I226" s="38"/>
      <c r="J226" s="361"/>
      <c r="K226" s="362"/>
      <c r="L226" s="382"/>
      <c r="M226" s="361"/>
      <c r="N226" s="362"/>
      <c r="O226" s="382"/>
      <c r="P226" s="361"/>
      <c r="Q226" s="362"/>
      <c r="R226" s="382"/>
      <c r="S226" s="384"/>
      <c r="T226" s="385"/>
      <c r="U226" s="385"/>
      <c r="V226" s="384"/>
      <c r="W226" s="385"/>
      <c r="X226" s="387"/>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row>
    <row r="227" spans="1:65"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row>
    <row r="228" spans="1:65" ht="15" customHeight="1" x14ac:dyDescent="0.25">
      <c r="A228" s="38"/>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38"/>
      <c r="AG228" s="38"/>
      <c r="AH228" s="38"/>
      <c r="AI228" s="38"/>
      <c r="AJ228" s="38"/>
      <c r="AK228" s="38"/>
      <c r="AL228" s="38"/>
      <c r="AM228" s="38"/>
      <c r="AN228" s="38"/>
      <c r="AO228" s="38"/>
      <c r="AP228" s="38"/>
      <c r="AQ228" s="38"/>
      <c r="AR228" s="38"/>
      <c r="AS228" s="38"/>
    </row>
    <row r="229" spans="1:65" ht="15" customHeight="1" x14ac:dyDescent="0.25">
      <c r="A229" s="38"/>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38"/>
      <c r="AG229" s="38"/>
      <c r="AH229" s="38"/>
      <c r="AI229" s="38"/>
      <c r="AJ229" s="38"/>
      <c r="AK229" s="38"/>
      <c r="AL229" s="38"/>
      <c r="AM229" s="38"/>
      <c r="AN229" s="38"/>
      <c r="AO229" s="38"/>
      <c r="AP229" s="38"/>
      <c r="AQ229" s="38"/>
      <c r="AR229" s="38"/>
      <c r="AS229" s="38"/>
    </row>
    <row r="230" spans="1:65"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row>
    <row r="231" spans="1:65"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row>
    <row r="232" spans="1:65"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row>
    <row r="233" spans="1:65"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row>
    <row r="234" spans="1:65"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row>
    <row r="235" spans="1:65"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row>
    <row r="236" spans="1:65"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row>
    <row r="237" spans="1:65"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row>
    <row r="238" spans="1:65"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row>
    <row r="239" spans="1:65"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row>
    <row r="240" spans="1:65"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row>
    <row r="241" spans="1:45"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row>
    <row r="242" spans="1:45" x14ac:dyDescent="0.2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row>
    <row r="243" spans="1:45" x14ac:dyDescent="0.2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row>
    <row r="244" spans="1:45" x14ac:dyDescent="0.2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row>
    <row r="245" spans="1:45" x14ac:dyDescent="0.2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row>
    <row r="246" spans="1:45" x14ac:dyDescent="0.2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row>
    <row r="247" spans="1:45" x14ac:dyDescent="0.2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row>
    <row r="248" spans="1:45" x14ac:dyDescent="0.2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row>
    <row r="249" spans="1:45" x14ac:dyDescent="0.2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row>
    <row r="250" spans="1:45" x14ac:dyDescent="0.25">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row>
    <row r="251" spans="1:45" x14ac:dyDescent="0.25">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row>
    <row r="252" spans="1:45" x14ac:dyDescent="0.25">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row>
    <row r="253" spans="1:45" x14ac:dyDescent="0.25">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row>
    <row r="254" spans="1:45" x14ac:dyDescent="0.25">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row>
    <row r="255" spans="1:45" x14ac:dyDescent="0.2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row>
    <row r="256" spans="1:45" x14ac:dyDescent="0.25">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row>
    <row r="257" spans="1:45" x14ac:dyDescent="0.25">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row>
    <row r="258" spans="1:45" x14ac:dyDescent="0.25">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row>
    <row r="259" spans="1:45" x14ac:dyDescent="0.25">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row>
    <row r="260" spans="1:45" x14ac:dyDescent="0.25">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row>
    <row r="261" spans="1:45" x14ac:dyDescent="0.25">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row>
    <row r="262" spans="1:45" x14ac:dyDescent="0.25">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row>
    <row r="263" spans="1:45" x14ac:dyDescent="0.25">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row>
    <row r="264" spans="1:45" x14ac:dyDescent="0.25">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row>
    <row r="265" spans="1:45" x14ac:dyDescent="0.2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row>
    <row r="266" spans="1:45" x14ac:dyDescent="0.25">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row>
    <row r="267" spans="1:45" x14ac:dyDescent="0.25">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row>
    <row r="268" spans="1:45" x14ac:dyDescent="0.25">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row>
    <row r="269" spans="1:45" x14ac:dyDescent="0.25">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row>
    <row r="270" spans="1:45" x14ac:dyDescent="0.25">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row>
    <row r="271" spans="1:45" x14ac:dyDescent="0.25">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row>
    <row r="272" spans="1:45" x14ac:dyDescent="0.25">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row>
    <row r="273" spans="1:45" x14ac:dyDescent="0.25">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row>
    <row r="274" spans="1:45" x14ac:dyDescent="0.25">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row>
    <row r="275" spans="1:45" x14ac:dyDescent="0.2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row>
    <row r="276" spans="1:45" x14ac:dyDescent="0.25">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row>
    <row r="277" spans="1:45" x14ac:dyDescent="0.25">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row>
    <row r="278" spans="1:45" x14ac:dyDescent="0.25">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row>
    <row r="279" spans="1:45" x14ac:dyDescent="0.25">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row>
    <row r="280" spans="1:45" x14ac:dyDescent="0.25">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row>
    <row r="281" spans="1:45" x14ac:dyDescent="0.25">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row>
    <row r="282" spans="1:45" x14ac:dyDescent="0.25">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row>
    <row r="283" spans="1:45" x14ac:dyDescent="0.25">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row>
    <row r="284" spans="1:45" x14ac:dyDescent="0.25">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row>
    <row r="285" spans="1:45" x14ac:dyDescent="0.2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row>
    <row r="286" spans="1:45" x14ac:dyDescent="0.25">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row>
    <row r="287" spans="1:45" x14ac:dyDescent="0.25">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row>
    <row r="288" spans="1:45" x14ac:dyDescent="0.25">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row>
    <row r="289" spans="1:45" x14ac:dyDescent="0.25">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row>
    <row r="290" spans="1:45" x14ac:dyDescent="0.25">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row>
    <row r="291" spans="1:45" x14ac:dyDescent="0.25">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row>
    <row r="292" spans="1:45" x14ac:dyDescent="0.25">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row>
    <row r="293" spans="1:45" x14ac:dyDescent="0.25">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row>
    <row r="294" spans="1:45" x14ac:dyDescent="0.25">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row>
    <row r="295" spans="1:45" x14ac:dyDescent="0.2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row>
    <row r="296" spans="1:45" x14ac:dyDescent="0.25">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row>
    <row r="297" spans="1:45" x14ac:dyDescent="0.25">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row>
    <row r="298" spans="1:45" x14ac:dyDescent="0.25">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row>
    <row r="299" spans="1:45" x14ac:dyDescent="0.25">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row>
    <row r="300" spans="1:45" x14ac:dyDescent="0.25">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row>
    <row r="301" spans="1:45" x14ac:dyDescent="0.25">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row>
    <row r="302" spans="1:45" x14ac:dyDescent="0.25">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row>
    <row r="303" spans="1:45" x14ac:dyDescent="0.25">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row>
    <row r="304" spans="1:45" x14ac:dyDescent="0.25">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row>
    <row r="305" spans="1:45" x14ac:dyDescent="0.2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row>
    <row r="306" spans="1:45" x14ac:dyDescent="0.25">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row>
    <row r="307" spans="1:45" x14ac:dyDescent="0.25">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row>
    <row r="308" spans="1:45" x14ac:dyDescent="0.25">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row>
    <row r="309" spans="1:45" x14ac:dyDescent="0.25">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row>
    <row r="310" spans="1:45" x14ac:dyDescent="0.25">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row>
    <row r="311" spans="1:45" x14ac:dyDescent="0.25">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row>
    <row r="312" spans="1:45" x14ac:dyDescent="0.25">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row>
    <row r="313" spans="1:45" x14ac:dyDescent="0.25">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row>
    <row r="314" spans="1:45" x14ac:dyDescent="0.25">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row>
    <row r="315" spans="1:45" x14ac:dyDescent="0.2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row>
    <row r="316" spans="1:45" x14ac:dyDescent="0.25">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row>
    <row r="317" spans="1:45" x14ac:dyDescent="0.25">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row>
    <row r="318" spans="1:45" x14ac:dyDescent="0.25">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row>
    <row r="319" spans="1:45" x14ac:dyDescent="0.25">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row>
    <row r="320" spans="1:45" x14ac:dyDescent="0.25">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row>
    <row r="321" spans="1:45" x14ac:dyDescent="0.25">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row>
    <row r="322" spans="1:45" x14ac:dyDescent="0.25">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row>
    <row r="323" spans="1:45" x14ac:dyDescent="0.25">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row>
    <row r="324" spans="1:45" x14ac:dyDescent="0.25">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row>
    <row r="325" spans="1:45" x14ac:dyDescent="0.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row>
    <row r="326" spans="1:45" x14ac:dyDescent="0.25">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row>
    <row r="327" spans="1:45" x14ac:dyDescent="0.25">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row>
    <row r="328" spans="1:45" x14ac:dyDescent="0.25">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row>
    <row r="329" spans="1:45" x14ac:dyDescent="0.25">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row>
    <row r="330" spans="1:45" x14ac:dyDescent="0.25">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row>
    <row r="331" spans="1:45" x14ac:dyDescent="0.25">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row>
    <row r="332" spans="1:45" x14ac:dyDescent="0.25">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row>
    <row r="333" spans="1:45" x14ac:dyDescent="0.25">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row>
    <row r="334" spans="1:45" x14ac:dyDescent="0.25">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row>
    <row r="335" spans="1:45" x14ac:dyDescent="0.2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row>
    <row r="336" spans="1:45" x14ac:dyDescent="0.25">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row>
    <row r="337" spans="1:45" x14ac:dyDescent="0.25">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row>
    <row r="338" spans="1:45" x14ac:dyDescent="0.25">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row>
    <row r="339" spans="1:45" x14ac:dyDescent="0.25">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row>
    <row r="340" spans="1:45" x14ac:dyDescent="0.25">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row>
    <row r="341" spans="1:45" x14ac:dyDescent="0.25">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row>
    <row r="342" spans="1:45" x14ac:dyDescent="0.25">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row>
    <row r="343" spans="1:45" x14ac:dyDescent="0.25">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row>
    <row r="344" spans="1:45" x14ac:dyDescent="0.25">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row>
    <row r="345" spans="1:45" x14ac:dyDescent="0.2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row>
    <row r="346" spans="1:45" x14ac:dyDescent="0.25">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row>
    <row r="347" spans="1:45" x14ac:dyDescent="0.25">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row>
    <row r="348" spans="1:45" x14ac:dyDescent="0.25">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row>
    <row r="349" spans="1:45" x14ac:dyDescent="0.25">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row>
    <row r="350" spans="1:45" x14ac:dyDescent="0.25">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row>
    <row r="351" spans="1:45" x14ac:dyDescent="0.25">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row>
    <row r="352" spans="1:45" x14ac:dyDescent="0.25">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row>
    <row r="353" spans="1:45" x14ac:dyDescent="0.25">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row>
    <row r="354" spans="1:45" x14ac:dyDescent="0.25">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row>
    <row r="355" spans="1:45" x14ac:dyDescent="0.2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row>
    <row r="356" spans="1:45" x14ac:dyDescent="0.25">
      <c r="A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row>
    <row r="357" spans="1:45" x14ac:dyDescent="0.25">
      <c r="A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row>
    <row r="358" spans="1:45" x14ac:dyDescent="0.25">
      <c r="A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row>
    <row r="359" spans="1:45" x14ac:dyDescent="0.25">
      <c r="A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row>
    <row r="360" spans="1:45" x14ac:dyDescent="0.25">
      <c r="A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row>
    <row r="361" spans="1:45" x14ac:dyDescent="0.25">
      <c r="A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row>
    <row r="362" spans="1:45" x14ac:dyDescent="0.25">
      <c r="A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row>
    <row r="363" spans="1:45" x14ac:dyDescent="0.25">
      <c r="A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row>
    <row r="364" spans="1:45" x14ac:dyDescent="0.25">
      <c r="A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row>
    <row r="365" spans="1:45" x14ac:dyDescent="0.25">
      <c r="A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row>
    <row r="366" spans="1:45" x14ac:dyDescent="0.25">
      <c r="A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row>
    <row r="367" spans="1:45" x14ac:dyDescent="0.25">
      <c r="A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row>
    <row r="368" spans="1:45" x14ac:dyDescent="0.25">
      <c r="A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row>
    <row r="369" spans="1:45" x14ac:dyDescent="0.25">
      <c r="A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row>
    <row r="370" spans="1:45" x14ac:dyDescent="0.25">
      <c r="A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row>
    <row r="371" spans="1:45" x14ac:dyDescent="0.25">
      <c r="A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row>
    <row r="372" spans="1:45" x14ac:dyDescent="0.25">
      <c r="A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row>
    <row r="373" spans="1:45" x14ac:dyDescent="0.25">
      <c r="A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row>
    <row r="374" spans="1:45" x14ac:dyDescent="0.25">
      <c r="A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row>
    <row r="375" spans="1:45" x14ac:dyDescent="0.25">
      <c r="A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row>
    <row r="376" spans="1:45" x14ac:dyDescent="0.25">
      <c r="A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row>
    <row r="377" spans="1:45" x14ac:dyDescent="0.25">
      <c r="A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row>
    <row r="378" spans="1:45" x14ac:dyDescent="0.25">
      <c r="A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row>
    <row r="379" spans="1:45" x14ac:dyDescent="0.25">
      <c r="A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row>
    <row r="380" spans="1:45" x14ac:dyDescent="0.25">
      <c r="A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row>
    <row r="381" spans="1:45" x14ac:dyDescent="0.25">
      <c r="A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row>
    <row r="382" spans="1:45" x14ac:dyDescent="0.25">
      <c r="A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row>
    <row r="383" spans="1:45" x14ac:dyDescent="0.25">
      <c r="A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row>
    <row r="384" spans="1:45" x14ac:dyDescent="0.25">
      <c r="A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row>
    <row r="385" spans="1:45" x14ac:dyDescent="0.25">
      <c r="A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row>
    <row r="386" spans="1:45" x14ac:dyDescent="0.25">
      <c r="A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row>
    <row r="387" spans="1:45" x14ac:dyDescent="0.25">
      <c r="A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row>
    <row r="388" spans="1:45" x14ac:dyDescent="0.25">
      <c r="A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row>
    <row r="389" spans="1:45" x14ac:dyDescent="0.25">
      <c r="A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row>
    <row r="390" spans="1:45" x14ac:dyDescent="0.25">
      <c r="A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row>
    <row r="391" spans="1:45" x14ac:dyDescent="0.25">
      <c r="A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row>
    <row r="392" spans="1:45" x14ac:dyDescent="0.25">
      <c r="A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row>
    <row r="393" spans="1:45" x14ac:dyDescent="0.25">
      <c r="A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row>
    <row r="394" spans="1:45" x14ac:dyDescent="0.25">
      <c r="A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row>
    <row r="395" spans="1:45" x14ac:dyDescent="0.25">
      <c r="A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row>
    <row r="396" spans="1:45" x14ac:dyDescent="0.25">
      <c r="A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row>
    <row r="397" spans="1:45" x14ac:dyDescent="0.25">
      <c r="A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row>
    <row r="398" spans="1:45" x14ac:dyDescent="0.25">
      <c r="A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row>
    <row r="399" spans="1:45" x14ac:dyDescent="0.25">
      <c r="A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row>
    <row r="400" spans="1:45" x14ac:dyDescent="0.25">
      <c r="A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row>
    <row r="401" spans="1:45" x14ac:dyDescent="0.25">
      <c r="A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row>
    <row r="402" spans="1:45" x14ac:dyDescent="0.25">
      <c r="A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row>
    <row r="403" spans="1:45" x14ac:dyDescent="0.25">
      <c r="A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row>
    <row r="404" spans="1:45" x14ac:dyDescent="0.25">
      <c r="A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row>
    <row r="405" spans="1:45" x14ac:dyDescent="0.25">
      <c r="A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row>
    <row r="406" spans="1:45" x14ac:dyDescent="0.25">
      <c r="A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row>
    <row r="407" spans="1:45" x14ac:dyDescent="0.25">
      <c r="A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row>
    <row r="408" spans="1:45" x14ac:dyDescent="0.25">
      <c r="A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row>
    <row r="409" spans="1:45" x14ac:dyDescent="0.25">
      <c r="A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row>
    <row r="410" spans="1:45" x14ac:dyDescent="0.25">
      <c r="A410" s="38"/>
    </row>
    <row r="411" spans="1:45" x14ac:dyDescent="0.25">
      <c r="A411" s="38"/>
    </row>
    <row r="412" spans="1:45" x14ac:dyDescent="0.25">
      <c r="A412" s="38"/>
    </row>
    <row r="413" spans="1:45" x14ac:dyDescent="0.25">
      <c r="A413" s="38"/>
    </row>
  </sheetData>
  <mergeCells count="17">
    <mergeCell ref="J221:L226"/>
    <mergeCell ref="M221:O226"/>
    <mergeCell ref="P221:R226"/>
    <mergeCell ref="S221:U226"/>
    <mergeCell ref="V221:X226"/>
    <mergeCell ref="Z49:AE91"/>
    <mergeCell ref="E49:I91"/>
    <mergeCell ref="Z6:AE48"/>
    <mergeCell ref="B2:I4"/>
    <mergeCell ref="J2:X4"/>
    <mergeCell ref="B6:D220"/>
    <mergeCell ref="E6:I48"/>
    <mergeCell ref="E178:I220"/>
    <mergeCell ref="Z135:AE177"/>
    <mergeCell ref="E135:I177"/>
    <mergeCell ref="Z92:AE134"/>
    <mergeCell ref="E92:I13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2060"/>
  </sheetPr>
  <dimension ref="A1:BA151"/>
  <sheetViews>
    <sheetView tabSelected="1" topLeftCell="C1" zoomScale="69" zoomScaleNormal="69" workbookViewId="0">
      <pane ySplit="6" topLeftCell="A7" activePane="bottomLeft" state="frozen"/>
      <selection activeCell="A6" sqref="A6"/>
      <selection pane="bottomLeft" activeCell="S135" sqref="S7:S135"/>
    </sheetView>
  </sheetViews>
  <sheetFormatPr baseColWidth="10" defaultColWidth="11.42578125" defaultRowHeight="16.5" x14ac:dyDescent="0.25"/>
  <cols>
    <col min="1" max="1" width="8.42578125" style="1" customWidth="1"/>
    <col min="2" max="2" width="21.5703125" style="1" customWidth="1"/>
    <col min="3" max="3" width="25.5703125" style="1" customWidth="1"/>
    <col min="4" max="4" width="20.5703125" style="1" customWidth="1"/>
    <col min="5" max="5" width="15.5703125" style="1" customWidth="1"/>
    <col min="6" max="6" width="24.42578125" style="1" customWidth="1"/>
    <col min="7" max="7" width="21.85546875" style="1" customWidth="1"/>
    <col min="8" max="8" width="32.42578125" style="1" customWidth="1"/>
    <col min="9" max="9" width="19" style="1" customWidth="1"/>
    <col min="10" max="10" width="17.85546875" style="1" customWidth="1"/>
    <col min="11" max="11" width="16.5703125" style="1" customWidth="1"/>
    <col min="12" max="12" width="6.42578125" style="1" customWidth="1"/>
    <col min="13" max="13" width="33" style="1" customWidth="1"/>
    <col min="14" max="14" width="42" style="1" customWidth="1"/>
    <col min="15" max="15" width="15.42578125" style="1" customWidth="1"/>
    <col min="16" max="16" width="6.42578125" style="1" customWidth="1"/>
    <col min="17" max="17" width="16" style="1" customWidth="1"/>
    <col min="18" max="18" width="5.85546875" style="1" customWidth="1"/>
    <col min="19" max="19" width="56.42578125" style="2" customWidth="1"/>
    <col min="20" max="20" width="15.140625" style="1" customWidth="1"/>
    <col min="21" max="21" width="6.85546875" style="1" customWidth="1"/>
    <col min="22" max="22" width="5" style="1" customWidth="1"/>
    <col min="23" max="23" width="5.5703125" style="1" customWidth="1"/>
    <col min="24" max="24" width="7.140625" style="1" customWidth="1"/>
    <col min="25" max="25" width="6.5703125" style="1" customWidth="1"/>
    <col min="26" max="26" width="7.5703125" style="1" customWidth="1"/>
    <col min="27" max="27" width="10.5703125" style="1" customWidth="1"/>
    <col min="28" max="28" width="8.5703125" style="1" customWidth="1"/>
    <col min="29" max="29" width="8.85546875" style="1" customWidth="1"/>
    <col min="30" max="31" width="9.42578125" style="1" customWidth="1"/>
    <col min="32" max="32" width="8.42578125" style="1" customWidth="1"/>
    <col min="33" max="33" width="7.42578125" style="1" customWidth="1"/>
    <col min="34" max="34" width="31.5703125" style="2" customWidth="1"/>
    <col min="35" max="35" width="18.85546875" style="1" customWidth="1"/>
    <col min="36" max="36" width="12.5703125" style="89" customWidth="1"/>
    <col min="37" max="37" width="16.140625" style="89" bestFit="1" customWidth="1"/>
    <col min="38" max="38" width="18.5703125" style="90" customWidth="1"/>
    <col min="39" max="39" width="21" style="1" customWidth="1"/>
    <col min="40" max="40" width="11.42578125" style="2" customWidth="1"/>
    <col min="41" max="41" width="85" style="2" customWidth="1"/>
    <col min="42" max="42" width="64" style="2" customWidth="1"/>
    <col min="43" max="43" width="29.7109375" style="2" customWidth="1"/>
    <col min="44" max="44" width="67.7109375" style="2" customWidth="1"/>
    <col min="45" max="45" width="49.42578125" style="2" customWidth="1"/>
    <col min="46" max="46" width="27.5703125" style="2" customWidth="1"/>
    <col min="47" max="48" width="11.42578125" style="2" customWidth="1"/>
    <col min="49" max="49" width="30.42578125" style="2" customWidth="1"/>
    <col min="50" max="50" width="27.140625" style="2" customWidth="1"/>
    <col min="51" max="51" width="22.42578125" style="2" customWidth="1"/>
    <col min="52" max="52" width="66.85546875" style="2" customWidth="1"/>
    <col min="53" max="53" width="45.42578125" style="2" customWidth="1"/>
    <col min="54" max="94" width="11.42578125" style="2" customWidth="1"/>
    <col min="95" max="16384" width="11.42578125" style="2"/>
  </cols>
  <sheetData>
    <row r="1" spans="1:53" ht="16.5" customHeight="1" x14ac:dyDescent="0.25">
      <c r="A1" s="483" t="s">
        <v>566</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5"/>
    </row>
    <row r="2" spans="1:53" ht="24" customHeight="1" x14ac:dyDescent="0.25">
      <c r="A2" s="486"/>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487"/>
      <c r="AL2" s="487"/>
      <c r="AM2" s="488"/>
    </row>
    <row r="3" spans="1:53" x14ac:dyDescent="0.25">
      <c r="A3" s="21"/>
      <c r="B3" s="21"/>
      <c r="C3" s="21"/>
      <c r="D3" s="21"/>
      <c r="E3" s="21"/>
      <c r="F3" s="21"/>
      <c r="G3" s="21"/>
      <c r="H3" s="21"/>
      <c r="I3" s="21"/>
      <c r="J3" s="21"/>
      <c r="K3" s="21"/>
      <c r="L3" s="21"/>
      <c r="M3" s="21"/>
      <c r="N3" s="21"/>
      <c r="O3" s="21"/>
      <c r="P3" s="21"/>
      <c r="Q3" s="21"/>
      <c r="R3" s="21"/>
      <c r="S3" s="20"/>
      <c r="T3" s="21"/>
      <c r="U3" s="21"/>
      <c r="V3" s="21"/>
      <c r="W3" s="21"/>
      <c r="X3" s="21"/>
      <c r="Y3" s="21"/>
      <c r="Z3" s="21"/>
      <c r="AA3" s="21"/>
      <c r="AB3" s="21"/>
      <c r="AC3" s="21"/>
      <c r="AD3" s="21"/>
      <c r="AE3" s="21"/>
      <c r="AF3" s="21"/>
      <c r="AG3" s="21"/>
      <c r="AH3" s="20"/>
      <c r="AI3" s="21"/>
      <c r="AJ3" s="87"/>
      <c r="AK3" s="87"/>
      <c r="AL3" s="88"/>
      <c r="AM3" s="21"/>
    </row>
    <row r="4" spans="1:53" x14ac:dyDescent="0.25">
      <c r="A4" s="489" t="s">
        <v>125</v>
      </c>
      <c r="B4" s="490"/>
      <c r="C4" s="490"/>
      <c r="D4" s="490"/>
      <c r="E4" s="490"/>
      <c r="F4" s="490"/>
      <c r="G4" s="490"/>
      <c r="H4" s="490"/>
      <c r="I4" s="490"/>
      <c r="J4" s="491"/>
      <c r="K4" s="489" t="s">
        <v>126</v>
      </c>
      <c r="L4" s="490"/>
      <c r="M4" s="490"/>
      <c r="N4" s="490"/>
      <c r="O4" s="490"/>
      <c r="P4" s="490"/>
      <c r="Q4" s="491"/>
      <c r="R4" s="489" t="s">
        <v>127</v>
      </c>
      <c r="S4" s="490"/>
      <c r="T4" s="490"/>
      <c r="U4" s="490"/>
      <c r="V4" s="490"/>
      <c r="W4" s="490"/>
      <c r="X4" s="490"/>
      <c r="Y4" s="490"/>
      <c r="Z4" s="491"/>
      <c r="AA4" s="489" t="s">
        <v>128</v>
      </c>
      <c r="AB4" s="490"/>
      <c r="AC4" s="490"/>
      <c r="AD4" s="490"/>
      <c r="AE4" s="490"/>
      <c r="AF4" s="490"/>
      <c r="AG4" s="491"/>
      <c r="AH4" s="489" t="s">
        <v>34</v>
      </c>
      <c r="AI4" s="490"/>
      <c r="AJ4" s="490"/>
      <c r="AK4" s="490"/>
      <c r="AL4" s="490"/>
      <c r="AM4" s="491"/>
      <c r="AO4" s="392" t="s">
        <v>787</v>
      </c>
      <c r="AP4" s="393"/>
      <c r="AQ4" s="393"/>
      <c r="AR4" s="393"/>
      <c r="AS4" s="393"/>
      <c r="AT4" s="393"/>
      <c r="AU4" s="393"/>
      <c r="AV4" s="393"/>
      <c r="AW4" s="393"/>
      <c r="AX4" s="393"/>
      <c r="AY4" s="393"/>
      <c r="AZ4" s="393"/>
    </row>
    <row r="5" spans="1:53" ht="23.45" customHeight="1" x14ac:dyDescent="0.25">
      <c r="A5" s="496" t="s">
        <v>0</v>
      </c>
      <c r="B5" s="499" t="s">
        <v>188</v>
      </c>
      <c r="C5" s="499" t="s">
        <v>189</v>
      </c>
      <c r="D5" s="499" t="s">
        <v>172</v>
      </c>
      <c r="E5" s="501" t="s">
        <v>2</v>
      </c>
      <c r="F5" s="499" t="s">
        <v>3</v>
      </c>
      <c r="G5" s="499" t="s">
        <v>38</v>
      </c>
      <c r="H5" s="500" t="s">
        <v>1</v>
      </c>
      <c r="I5" s="498" t="s">
        <v>44</v>
      </c>
      <c r="J5" s="499" t="s">
        <v>121</v>
      </c>
      <c r="K5" s="502" t="s">
        <v>33</v>
      </c>
      <c r="L5" s="503" t="s">
        <v>5</v>
      </c>
      <c r="M5" s="498" t="s">
        <v>80</v>
      </c>
      <c r="N5" s="498" t="s">
        <v>85</v>
      </c>
      <c r="O5" s="504" t="s">
        <v>39</v>
      </c>
      <c r="P5" s="503" t="s">
        <v>5</v>
      </c>
      <c r="Q5" s="499" t="s">
        <v>42</v>
      </c>
      <c r="R5" s="492" t="s">
        <v>11</v>
      </c>
      <c r="S5" s="495" t="s">
        <v>137</v>
      </c>
      <c r="T5" s="498" t="s">
        <v>12</v>
      </c>
      <c r="U5" s="495" t="s">
        <v>8</v>
      </c>
      <c r="V5" s="495"/>
      <c r="W5" s="495"/>
      <c r="X5" s="495"/>
      <c r="Y5" s="495"/>
      <c r="Z5" s="495"/>
      <c r="AA5" s="494" t="s">
        <v>124</v>
      </c>
      <c r="AB5" s="494" t="s">
        <v>40</v>
      </c>
      <c r="AC5" s="494" t="s">
        <v>5</v>
      </c>
      <c r="AD5" s="494" t="s">
        <v>41</v>
      </c>
      <c r="AE5" s="494" t="s">
        <v>5</v>
      </c>
      <c r="AF5" s="494" t="s">
        <v>43</v>
      </c>
      <c r="AG5" s="492" t="s">
        <v>29</v>
      </c>
      <c r="AH5" s="495" t="s">
        <v>190</v>
      </c>
      <c r="AI5" s="495" t="s">
        <v>196</v>
      </c>
      <c r="AJ5" s="495" t="s">
        <v>191</v>
      </c>
      <c r="AK5" s="495" t="s">
        <v>192</v>
      </c>
      <c r="AL5" s="495" t="s">
        <v>276</v>
      </c>
      <c r="AM5" s="495" t="s">
        <v>35</v>
      </c>
      <c r="AO5" s="394" t="s">
        <v>567</v>
      </c>
      <c r="AP5" s="395"/>
      <c r="AQ5" s="396"/>
      <c r="AR5" s="394" t="s">
        <v>568</v>
      </c>
      <c r="AS5" s="395"/>
      <c r="AT5" s="396"/>
      <c r="AU5" s="397" t="s">
        <v>569</v>
      </c>
      <c r="AV5" s="397"/>
      <c r="AW5" s="397"/>
      <c r="AX5" s="397" t="s">
        <v>570</v>
      </c>
      <c r="AY5" s="397"/>
      <c r="AZ5" s="397" t="s">
        <v>571</v>
      </c>
    </row>
    <row r="6" spans="1:53" s="151" customFormat="1" ht="90.75" customHeight="1" x14ac:dyDescent="0.25">
      <c r="A6" s="497"/>
      <c r="B6" s="495"/>
      <c r="C6" s="495"/>
      <c r="D6" s="495"/>
      <c r="E6" s="501"/>
      <c r="F6" s="495"/>
      <c r="G6" s="495"/>
      <c r="H6" s="501"/>
      <c r="I6" s="499"/>
      <c r="J6" s="495"/>
      <c r="K6" s="499"/>
      <c r="L6" s="392"/>
      <c r="M6" s="499"/>
      <c r="N6" s="499"/>
      <c r="O6" s="392"/>
      <c r="P6" s="392"/>
      <c r="Q6" s="495"/>
      <c r="R6" s="493"/>
      <c r="S6" s="495"/>
      <c r="T6" s="499"/>
      <c r="U6" s="4" t="s">
        <v>13</v>
      </c>
      <c r="V6" s="4" t="s">
        <v>17</v>
      </c>
      <c r="W6" s="4" t="s">
        <v>28</v>
      </c>
      <c r="X6" s="4" t="s">
        <v>18</v>
      </c>
      <c r="Y6" s="4" t="s">
        <v>21</v>
      </c>
      <c r="Z6" s="4" t="s">
        <v>24</v>
      </c>
      <c r="AA6" s="494"/>
      <c r="AB6" s="494"/>
      <c r="AC6" s="494"/>
      <c r="AD6" s="494"/>
      <c r="AE6" s="494"/>
      <c r="AF6" s="494"/>
      <c r="AG6" s="493"/>
      <c r="AH6" s="495"/>
      <c r="AI6" s="495"/>
      <c r="AJ6" s="495"/>
      <c r="AK6" s="495"/>
      <c r="AL6" s="495"/>
      <c r="AM6" s="495"/>
      <c r="AO6" s="203" t="s">
        <v>572</v>
      </c>
      <c r="AP6" s="203" t="s">
        <v>573</v>
      </c>
      <c r="AQ6" s="203" t="s">
        <v>574</v>
      </c>
      <c r="AR6" s="203" t="s">
        <v>575</v>
      </c>
      <c r="AS6" s="203" t="s">
        <v>576</v>
      </c>
      <c r="AT6" s="203" t="s">
        <v>574</v>
      </c>
      <c r="AU6" s="203" t="s">
        <v>577</v>
      </c>
      <c r="AV6" s="203" t="s">
        <v>578</v>
      </c>
      <c r="AW6" s="203" t="s">
        <v>579</v>
      </c>
      <c r="AX6" s="203" t="s">
        <v>580</v>
      </c>
      <c r="AY6" s="203" t="s">
        <v>581</v>
      </c>
      <c r="AZ6" s="398"/>
    </row>
    <row r="7" spans="1:53" s="115" customFormat="1" ht="192" customHeight="1" x14ac:dyDescent="0.25">
      <c r="A7" s="473">
        <v>1</v>
      </c>
      <c r="B7" s="457" t="s">
        <v>277</v>
      </c>
      <c r="C7" s="452" t="s">
        <v>278</v>
      </c>
      <c r="D7" s="452" t="s">
        <v>279</v>
      </c>
      <c r="E7" s="450" t="s">
        <v>118</v>
      </c>
      <c r="F7" s="450" t="s">
        <v>237</v>
      </c>
      <c r="G7" s="450" t="s">
        <v>238</v>
      </c>
      <c r="H7" s="432" t="s">
        <v>280</v>
      </c>
      <c r="I7" s="450" t="s">
        <v>115</v>
      </c>
      <c r="J7" s="443">
        <v>30</v>
      </c>
      <c r="K7" s="445" t="str">
        <f>IF(J7&lt;=0,"",IF(J7&lt;=2,"Muy Baja",IF(J7&lt;=24,"Baja",IF(J7&lt;=500,"Media",IF(J7&lt;=5000,"Alta","Muy Alta")))))</f>
        <v>Media</v>
      </c>
      <c r="L7" s="437">
        <f>IF(K7="","",IF(K7="Muy Baja",0.2,IF(K7="Baja",0.4,IF(K7="Media",0.6,IF(K7="Alta",0.8,IF(K7="Muy Alta",1,))))))</f>
        <v>0.6</v>
      </c>
      <c r="M7" s="448" t="s">
        <v>250</v>
      </c>
      <c r="N7" s="181" t="str">
        <f ca="1">IF(NOT(ISERROR(MATCH(M7,'Tabla Impacto'!$B$221:$B$223,0))),'Tabla Impacto'!$F$223&amp;"Por favor no seleccionar los criterios de impacto(Afectación Económica o presupuestal y Pérdida Reputacional)",M7)</f>
        <v xml:space="preserve"> El riesgo afecta la imagen de la entidad con algunos usuarios de relevancia frente al logro de los objetivos</v>
      </c>
      <c r="O7" s="445" t="str">
        <f ca="1">IF(OR(N7='Tabla Impacto'!$C$11,N7='Tabla Impacto'!$D$11),"Leve",IF(OR(N7='Tabla Impacto'!$C$12,N7='Tabla Impacto'!$D$12),"Menor",IF(OR(N7='Tabla Impacto'!$C$13,N7='Tabla Impacto'!$D$13),"Moderado",IF(OR(N7='Tabla Impacto'!$C$14,N7='Tabla Impacto'!$D$14),"Mayor",IF(OR(N7='Tabla Impacto'!$C$15,N7='Tabla Impacto'!$D$15),"Catastrófico","")))))</f>
        <v>Moderado</v>
      </c>
      <c r="P7" s="437">
        <f ca="1">IF(O7="","",IF(O7="Leve",0.2,IF(O7="Menor",0.4,IF(O7="Moderado",0.6,IF(O7="Mayor",0.8,IF(O7="Catastrófico",1,))))))</f>
        <v>0.6</v>
      </c>
      <c r="Q7" s="440" t="str">
        <f ca="1">IF(OR(AND(K7="Muy Baja",O7="Leve"),AND(K7="Muy Baja",O7="Menor"),AND(K7="Baja",O7="Leve")),"Bajo",IF(OR(AND(K7="Muy baja",O7="Moderado"),AND(K7="Baja",O7="Menor"),AND(K7="Baja",O7="Moderado"),AND(K7="Media",O7="Leve"),AND(K7="Media",O7="Menor"),AND(K7="Media",O7="Moderado"),AND(K7="Alta",O7="Leve"),AND(K7="Alta",O7="Menor")),"Moderado",IF(OR(AND(K7="Muy Baja",O7="Mayor"),AND(K7="Baja",O7="Mayor"),AND(K7="Media",O7="Mayor"),AND(K7="Alta",O7="Moderado"),AND(K7="Alta",O7="Mayor"),AND(K7="Muy Alta",O7="Leve"),AND(K7="Muy Alta",O7="Menor"),AND(K7="Muy Alta",O7="Moderado"),AND(K7="Muy Alta",O7="Mayor")),"Alto",IF(OR(AND(K7="Muy Baja",O7="Catastrófico"),AND(K7="Baja",O7="Catastrófico"),AND(K7="Media",O7="Catastrófico"),AND(K7="Alta",O7="Catastrófico"),AND(K7="Muy Alta",O7="Catastrófico")),"Extremo",""))))</f>
        <v>Moderado</v>
      </c>
      <c r="R7" s="94">
        <v>1</v>
      </c>
      <c r="S7" s="79" t="s">
        <v>281</v>
      </c>
      <c r="T7" s="95" t="str">
        <f t="shared" ref="T7:T19" si="0">IF(OR(U7="Preventivo",U7="Detectivo"),"Probabilidad",IF(U7="Correctivo","Impacto",""))</f>
        <v>Probabilidad</v>
      </c>
      <c r="U7" s="96" t="s">
        <v>14</v>
      </c>
      <c r="V7" s="96" t="s">
        <v>9</v>
      </c>
      <c r="W7" s="97" t="str">
        <f>IF(AND(U7="Preventivo",V7="Automático"),"50%",IF(AND(U7="Preventivo",V7="Manual"),"40%",IF(AND(U7="Detectivo",V7="Automático"),"40%",IF(AND(U7="Detectivo",V7="Manual"),"30%",IF(AND(U7="Correctivo",V7="Automático"),"35%",IF(AND(U7="Correctivo",V7="Manual"),"25%",""))))))</f>
        <v>40%</v>
      </c>
      <c r="X7" s="96" t="s">
        <v>19</v>
      </c>
      <c r="Y7" s="96" t="s">
        <v>22</v>
      </c>
      <c r="Z7" s="96" t="s">
        <v>110</v>
      </c>
      <c r="AA7" s="98">
        <f>IFERROR(IF(T7="Probabilidad",($L$7-(+$L$7*W7)),IF(T7="Impacto",$L$7,"")),"")</f>
        <v>0.36</v>
      </c>
      <c r="AB7" s="99" t="str">
        <f t="shared" ref="AB7:AB19" si="1">IFERROR(IF(AA7="","",IF(AA7&lt;=0.2,"Muy Baja",IF(AA7&lt;=0.4,"Baja",IF(AA7&lt;=0.6,"Media",IF(AA7&lt;=0.8,"Alta","Muy Alta"))))),"")</f>
        <v>Baja</v>
      </c>
      <c r="AC7" s="100">
        <f t="shared" ref="AC7:AC19" si="2">+AA7</f>
        <v>0.36</v>
      </c>
      <c r="AD7" s="99" t="str">
        <f t="shared" ref="AD7:AD19" ca="1" si="3">IFERROR(IF(AE7="","",IF(AE7&lt;=0.2,"Leve",IF(AE7&lt;=0.4,"Menor",IF(AE7&lt;=0.6,"Moderado",IF(AE7&lt;=0.8,"Mayor","Catastrófico"))))),"")</f>
        <v>Moderado</v>
      </c>
      <c r="AE7" s="100">
        <f ca="1">IFERROR(IF(T7="Impacto",($P$7-(+$P$7*W7)),IF(T7="Probabilidad",$P$7,"")),"")</f>
        <v>0.6</v>
      </c>
      <c r="AF7" s="101" t="str">
        <f t="shared" ref="AF7:AF19" ca="1" si="4">IFERROR(IF(OR(AND(AB7="Muy Baja",AD7="Leve"),AND(AB7="Muy Baja",AD7="Menor"),AND(AB7="Baja",AD7="Leve")),"Bajo",IF(OR(AND(AB7="Muy baja",AD7="Moderado"),AND(AB7="Baja",AD7="Menor"),AND(AB7="Baja",AD7="Moderado"),AND(AB7="Media",AD7="Leve"),AND(AB7="Media",AD7="Menor"),AND(AB7="Media",AD7="Moderado"),AND(AB7="Alta",AD7="Leve"),AND(AB7="Alta",AD7="Menor")),"Moderado",IF(OR(AND(AB7="Muy Baja",AD7="Mayor"),AND(AB7="Baja",AD7="Mayor"),AND(AB7="Media",AD7="Mayor"),AND(AB7="Alta",AD7="Moderado"),AND(AB7="Alta",AD7="Mayor"),AND(AB7="Muy Alta",AD7="Leve"),AND(AB7="Muy Alta",AD7="Menor"),AND(AB7="Muy Alta",AD7="Moderado"),AND(AB7="Muy Alta",AD7="Mayor")),"Alto",IF(OR(AND(AB7="Muy Baja",AD7="Catastrófico"),AND(AB7="Baja",AD7="Catastrófico"),AND(AB7="Media",AD7="Catastrófico"),AND(AB7="Alta",AD7="Catastrófico"),AND(AB7="Muy Alta",AD7="Catastrófico")),"Extremo","")))),"")</f>
        <v>Moderado</v>
      </c>
      <c r="AG7" s="102" t="s">
        <v>122</v>
      </c>
      <c r="AH7" s="91" t="s">
        <v>282</v>
      </c>
      <c r="AI7" s="92" t="s">
        <v>197</v>
      </c>
      <c r="AJ7" s="103" t="s">
        <v>205</v>
      </c>
      <c r="AK7" s="103" t="s">
        <v>206</v>
      </c>
      <c r="AL7" s="79" t="s">
        <v>225</v>
      </c>
      <c r="AM7" s="92"/>
      <c r="AO7" s="233" t="s">
        <v>584</v>
      </c>
      <c r="AP7" s="234" t="s">
        <v>585</v>
      </c>
      <c r="AQ7" s="235">
        <v>1</v>
      </c>
      <c r="AR7" s="388" t="s">
        <v>586</v>
      </c>
      <c r="AS7" s="399" t="s">
        <v>587</v>
      </c>
      <c r="AT7" s="235">
        <v>1</v>
      </c>
      <c r="AU7" s="233"/>
      <c r="AV7" s="207" t="s">
        <v>582</v>
      </c>
      <c r="AW7" s="236" t="s">
        <v>583</v>
      </c>
      <c r="AX7" s="236" t="s">
        <v>583</v>
      </c>
      <c r="AY7" s="236" t="s">
        <v>583</v>
      </c>
      <c r="AZ7" s="230" t="s">
        <v>593</v>
      </c>
    </row>
    <row r="8" spans="1:53" s="115" customFormat="1" ht="264" customHeight="1" x14ac:dyDescent="0.25">
      <c r="A8" s="425"/>
      <c r="B8" s="458"/>
      <c r="C8" s="455"/>
      <c r="D8" s="453"/>
      <c r="E8" s="451"/>
      <c r="F8" s="451"/>
      <c r="G8" s="451"/>
      <c r="H8" s="433"/>
      <c r="I8" s="451"/>
      <c r="J8" s="444"/>
      <c r="K8" s="446"/>
      <c r="L8" s="438"/>
      <c r="M8" s="449"/>
      <c r="N8" s="182"/>
      <c r="O8" s="446"/>
      <c r="P8" s="438"/>
      <c r="Q8" s="441"/>
      <c r="R8" s="94">
        <v>2</v>
      </c>
      <c r="S8" s="79" t="s">
        <v>531</v>
      </c>
      <c r="T8" s="95" t="str">
        <f t="shared" si="0"/>
        <v>Probabilidad</v>
      </c>
      <c r="U8" s="96" t="s">
        <v>14</v>
      </c>
      <c r="V8" s="96" t="s">
        <v>9</v>
      </c>
      <c r="W8" s="97" t="str">
        <f>IF(AND(U8="Preventivo",V8="Automático"),"50%",IF(AND(U8="Preventivo",V8="Manual"),"40%",IF(AND(U8="Detectivo",V8="Automático"),"40%",IF(AND(U8="Detectivo",V8="Manual"),"30%",IF(AND(U8="Correctivo",V8="Automático"),"35%",IF(AND(U8="Correctivo",V8="Manual"),"25%",""))))))</f>
        <v>40%</v>
      </c>
      <c r="X8" s="96" t="s">
        <v>19</v>
      </c>
      <c r="Y8" s="96" t="s">
        <v>22</v>
      </c>
      <c r="Z8" s="96" t="s">
        <v>110</v>
      </c>
      <c r="AA8" s="98">
        <f>IFERROR(IF(T8="Probabilidad",(AA7-(+AA7*W8)),IF(T8="Impacto",$L$7,"")),"")</f>
        <v>0.216</v>
      </c>
      <c r="AB8" s="99" t="str">
        <f t="shared" si="1"/>
        <v>Baja</v>
      </c>
      <c r="AC8" s="100">
        <f t="shared" si="2"/>
        <v>0.216</v>
      </c>
      <c r="AD8" s="99" t="str">
        <f t="shared" ca="1" si="3"/>
        <v>Moderado</v>
      </c>
      <c r="AE8" s="100">
        <f ca="1">IFERROR(IF(T8="Impacto",($P$7-(+$P$7*W8)),IF(T8="Probabilidad",$P$7,"")),"")</f>
        <v>0.6</v>
      </c>
      <c r="AF8" s="101" t="str">
        <f t="shared" ca="1" si="4"/>
        <v>Moderado</v>
      </c>
      <c r="AG8" s="102" t="s">
        <v>122</v>
      </c>
      <c r="AH8" s="79"/>
      <c r="AI8" s="92"/>
      <c r="AJ8" s="103"/>
      <c r="AK8" s="103"/>
      <c r="AL8" s="79"/>
      <c r="AM8" s="92"/>
      <c r="AO8" s="237" t="s">
        <v>588</v>
      </c>
      <c r="AP8" s="234" t="s">
        <v>589</v>
      </c>
      <c r="AQ8" s="235">
        <v>1</v>
      </c>
      <c r="AR8" s="388"/>
      <c r="AS8" s="399"/>
      <c r="AT8" s="235">
        <v>1</v>
      </c>
      <c r="AU8" s="233"/>
      <c r="AV8" s="207" t="s">
        <v>582</v>
      </c>
      <c r="AW8" s="236" t="s">
        <v>583</v>
      </c>
      <c r="AX8" s="236" t="s">
        <v>583</v>
      </c>
      <c r="AY8" s="236" t="s">
        <v>583</v>
      </c>
      <c r="AZ8" s="230" t="s">
        <v>593</v>
      </c>
    </row>
    <row r="9" spans="1:53" s="115" customFormat="1" ht="198.75" customHeight="1" x14ac:dyDescent="0.25">
      <c r="A9" s="425"/>
      <c r="B9" s="459"/>
      <c r="C9" s="455"/>
      <c r="D9" s="453"/>
      <c r="E9" s="451"/>
      <c r="F9" s="451"/>
      <c r="G9" s="451"/>
      <c r="H9" s="433"/>
      <c r="I9" s="451"/>
      <c r="J9" s="444"/>
      <c r="K9" s="447"/>
      <c r="L9" s="439"/>
      <c r="M9" s="449"/>
      <c r="N9" s="182"/>
      <c r="O9" s="447"/>
      <c r="P9" s="439"/>
      <c r="Q9" s="442"/>
      <c r="R9" s="94">
        <v>3</v>
      </c>
      <c r="S9" s="79"/>
      <c r="T9" s="95" t="str">
        <f t="shared" si="0"/>
        <v/>
      </c>
      <c r="U9" s="96"/>
      <c r="V9" s="96"/>
      <c r="W9" s="97"/>
      <c r="X9" s="96"/>
      <c r="Y9" s="96"/>
      <c r="Z9" s="96"/>
      <c r="AA9" s="98" t="str">
        <f>IFERROR(IF(T9="Probabilidad",(AA8-(+AA8*W9)),IF(T9="Impacto",$L$7,"")),"")</f>
        <v/>
      </c>
      <c r="AB9" s="99" t="str">
        <f t="shared" si="1"/>
        <v/>
      </c>
      <c r="AC9" s="100" t="str">
        <f t="shared" si="2"/>
        <v/>
      </c>
      <c r="AD9" s="99" t="str">
        <f t="shared" si="3"/>
        <v/>
      </c>
      <c r="AE9" s="100" t="str">
        <f>IFERROR(IF(T9="Impacto",($P$7-(+$P$7*W9)),IF(T9="Probabilidad",$P$7,"")),"")</f>
        <v/>
      </c>
      <c r="AF9" s="101" t="str">
        <f t="shared" si="4"/>
        <v/>
      </c>
      <c r="AG9" s="102"/>
      <c r="AH9" s="79"/>
      <c r="AI9" s="92"/>
      <c r="AJ9" s="103"/>
      <c r="AK9" s="103"/>
      <c r="AL9" s="79"/>
      <c r="AM9" s="92"/>
      <c r="AO9" s="233"/>
      <c r="AP9" s="207"/>
      <c r="AQ9" s="236"/>
      <c r="AR9" s="236"/>
      <c r="AS9" s="233"/>
      <c r="AT9" s="207"/>
      <c r="AU9" s="233"/>
      <c r="AV9" s="207"/>
      <c r="AW9" s="236"/>
      <c r="AX9" s="236"/>
      <c r="AY9" s="233"/>
      <c r="AZ9" s="231"/>
    </row>
    <row r="10" spans="1:53" s="115" customFormat="1" ht="216.75" x14ac:dyDescent="0.25">
      <c r="A10" s="425">
        <f>1+A7</f>
        <v>2</v>
      </c>
      <c r="B10" s="457" t="s">
        <v>277</v>
      </c>
      <c r="C10" s="452" t="s">
        <v>278</v>
      </c>
      <c r="D10" s="452" t="s">
        <v>279</v>
      </c>
      <c r="E10" s="450" t="s">
        <v>118</v>
      </c>
      <c r="F10" s="454" t="s">
        <v>285</v>
      </c>
      <c r="G10" s="454" t="s">
        <v>533</v>
      </c>
      <c r="H10" s="432" t="s">
        <v>532</v>
      </c>
      <c r="I10" s="450" t="s">
        <v>218</v>
      </c>
      <c r="J10" s="443">
        <v>97</v>
      </c>
      <c r="K10" s="445" t="str">
        <f>IF(J10&lt;=0,"",IF(J10&lt;=2,"Muy Baja",IF(J10&lt;=24,"Baja",IF(J10&lt;=500,"Media",IF(J10&lt;=5000,"Alta","Muy Alta")))))</f>
        <v>Media</v>
      </c>
      <c r="L10" s="437">
        <f>IF(K10="","",IF(K10="Muy Baja",0.2,IF(K10="Baja",0.4,IF(K10="Media",0.6,IF(K10="Alta",0.8,IF(K10="Muy Alta",1,))))))</f>
        <v>0.6</v>
      </c>
      <c r="M10" s="448" t="s">
        <v>250</v>
      </c>
      <c r="N10" s="181" t="str">
        <f ca="1">IF(NOT(ISERROR(MATCH(M10,'Tabla Impacto'!$B$221:$B$223,0))),'Tabla Impacto'!$F$223&amp;"Por favor no seleccionar los criterios de impacto(Afectación Económica o presupuestal y Pérdida Reputacional)",M10)</f>
        <v xml:space="preserve"> El riesgo afecta la imagen de la entidad con algunos usuarios de relevancia frente al logro de los objetivos</v>
      </c>
      <c r="O10" s="445" t="str">
        <f ca="1">IF(OR(N10='Tabla Impacto'!$C$11,N10='Tabla Impacto'!$D$11),"Leve",IF(OR(N10='Tabla Impacto'!$C$12,N10='Tabla Impacto'!$D$12),"Menor",IF(OR(N10='Tabla Impacto'!$C$13,N10='Tabla Impacto'!$D$13),"Moderado",IF(OR(N10='Tabla Impacto'!$C$14,N10='Tabla Impacto'!$D$14),"Mayor",IF(OR(N10='Tabla Impacto'!$C$15,N10='Tabla Impacto'!$D$15),"Catastrófico","")))))</f>
        <v>Moderado</v>
      </c>
      <c r="P10" s="437">
        <f ca="1">IF(O10="","",IF(O10="Leve",0.2,IF(O10="Menor",0.4,IF(O10="Moderado",0.6,IF(O10="Mayor",0.8,IF(O10="Catastrófico",1,))))))</f>
        <v>0.6</v>
      </c>
      <c r="Q10" s="440" t="str">
        <f ca="1">IF(OR(AND(K10="Muy Baja",O10="Leve"),AND(K10="Muy Baja",O10="Menor"),AND(K10="Baja",O10="Leve")),"Bajo",IF(OR(AND(K10="Muy baja",O10="Moderado"),AND(K10="Baja",O10="Menor"),AND(K10="Baja",O10="Moderado"),AND(K10="Media",O10="Leve"),AND(K10="Media",O10="Menor"),AND(K10="Media",O10="Moderado"),AND(K10="Alta",O10="Leve"),AND(K10="Alta",O10="Menor")),"Moderado",IF(OR(AND(K10="Muy Baja",O10="Mayor"),AND(K10="Baja",O10="Mayor"),AND(K10="Media",O10="Mayor"),AND(K10="Alta",O10="Moderado"),AND(K10="Alta",O10="Mayor"),AND(K10="Muy Alta",O10="Leve"),AND(K10="Muy Alta",O10="Menor"),AND(K10="Muy Alta",O10="Moderado"),AND(K10="Muy Alta",O10="Mayor")),"Alto",IF(OR(AND(K10="Muy Baja",O10="Catastrófico"),AND(K10="Baja",O10="Catastrófico"),AND(K10="Media",O10="Catastrófico"),AND(K10="Alta",O10="Catastrófico"),AND(K10="Muy Alta",O10="Catastrófico")),"Extremo",""))))</f>
        <v>Moderado</v>
      </c>
      <c r="R10" s="94">
        <v>1</v>
      </c>
      <c r="S10" s="79" t="s">
        <v>531</v>
      </c>
      <c r="T10" s="95" t="str">
        <f t="shared" si="0"/>
        <v>Probabilidad</v>
      </c>
      <c r="U10" s="96" t="s">
        <v>14</v>
      </c>
      <c r="V10" s="96" t="s">
        <v>9</v>
      </c>
      <c r="W10" s="97" t="str">
        <f>IF(AND(U10="Preventivo",V10="Automático"),"50%",IF(AND(U10="Preventivo",V10="Manual"),"40%",IF(AND(U10="Detectivo",V10="Automático"),"40%",IF(AND(U10="Detectivo",V10="Manual"),"30%",IF(AND(U10="Correctivo",V10="Automático"),"35%",IF(AND(U10="Correctivo",V10="Manual"),"25%",""))))))</f>
        <v>40%</v>
      </c>
      <c r="X10" s="96" t="s">
        <v>19</v>
      </c>
      <c r="Y10" s="96" t="s">
        <v>22</v>
      </c>
      <c r="Z10" s="96" t="s">
        <v>110</v>
      </c>
      <c r="AA10" s="98">
        <f>IFERROR(IF(T10="Probabilidad",(L10-(+L10*W10)),IF(T10="Impacto",L10,"")),"")</f>
        <v>0.36</v>
      </c>
      <c r="AB10" s="99" t="str">
        <f t="shared" si="1"/>
        <v>Baja</v>
      </c>
      <c r="AC10" s="100">
        <f t="shared" si="2"/>
        <v>0.36</v>
      </c>
      <c r="AD10" s="99" t="str">
        <f t="shared" ca="1" si="3"/>
        <v>Moderado</v>
      </c>
      <c r="AE10" s="100">
        <f ca="1">IFERROR(IF(T10="Impacto",(P10-(+P10*W10)),IF(T10="Probabilidad",P10,"")),"")</f>
        <v>0.6</v>
      </c>
      <c r="AF10" s="101" t="str">
        <f t="shared" ca="1" si="4"/>
        <v>Moderado</v>
      </c>
      <c r="AG10" s="102" t="s">
        <v>122</v>
      </c>
      <c r="AH10" s="79" t="s">
        <v>283</v>
      </c>
      <c r="AI10" s="92" t="s">
        <v>197</v>
      </c>
      <c r="AJ10" s="103" t="s">
        <v>205</v>
      </c>
      <c r="AK10" s="103" t="s">
        <v>206</v>
      </c>
      <c r="AL10" s="79" t="s">
        <v>284</v>
      </c>
      <c r="AM10" s="92"/>
      <c r="AO10" s="237" t="s">
        <v>590</v>
      </c>
      <c r="AP10" s="234" t="s">
        <v>589</v>
      </c>
      <c r="AQ10" s="235">
        <v>1</v>
      </c>
      <c r="AR10" s="238" t="s">
        <v>591</v>
      </c>
      <c r="AS10" s="238" t="s">
        <v>592</v>
      </c>
      <c r="AT10" s="235">
        <v>1</v>
      </c>
      <c r="AU10" s="206"/>
      <c r="AV10" s="207" t="s">
        <v>582</v>
      </c>
      <c r="AW10" s="236" t="s">
        <v>583</v>
      </c>
      <c r="AX10" s="236" t="s">
        <v>583</v>
      </c>
      <c r="AY10" s="236" t="s">
        <v>583</v>
      </c>
      <c r="AZ10" s="230" t="s">
        <v>593</v>
      </c>
    </row>
    <row r="11" spans="1:53" s="115" customFormat="1" ht="151.5" customHeight="1" x14ac:dyDescent="0.25">
      <c r="A11" s="425"/>
      <c r="B11" s="458"/>
      <c r="C11" s="455"/>
      <c r="D11" s="453"/>
      <c r="E11" s="451"/>
      <c r="F11" s="451"/>
      <c r="G11" s="451"/>
      <c r="H11" s="433"/>
      <c r="I11" s="451"/>
      <c r="J11" s="444"/>
      <c r="K11" s="446"/>
      <c r="L11" s="438"/>
      <c r="M11" s="449"/>
      <c r="N11" s="182"/>
      <c r="O11" s="446"/>
      <c r="P11" s="438"/>
      <c r="Q11" s="441"/>
      <c r="R11" s="94">
        <v>2</v>
      </c>
      <c r="S11" s="79"/>
      <c r="T11" s="95" t="str">
        <f t="shared" si="0"/>
        <v/>
      </c>
      <c r="U11" s="96"/>
      <c r="V11" s="96"/>
      <c r="W11" s="97"/>
      <c r="X11" s="96"/>
      <c r="Y11" s="96"/>
      <c r="Z11" s="96"/>
      <c r="AA11" s="98" t="str">
        <f>IFERROR(IF(T11="Probabilidad",(AA10-(+AA10*W11)),IF(T11="Impacto",L10,"")),"")</f>
        <v/>
      </c>
      <c r="AB11" s="99" t="str">
        <f t="shared" si="1"/>
        <v/>
      </c>
      <c r="AC11" s="100" t="str">
        <f t="shared" si="2"/>
        <v/>
      </c>
      <c r="AD11" s="99" t="str">
        <f t="shared" si="3"/>
        <v/>
      </c>
      <c r="AE11" s="100" t="str">
        <f>IFERROR(IF(T11="Impacto",(P10-(+P10*W11)),IF(T11="Probabilidad",P10,"")),"")</f>
        <v/>
      </c>
      <c r="AF11" s="101" t="str">
        <f t="shared" si="4"/>
        <v/>
      </c>
      <c r="AG11" s="102"/>
      <c r="AH11" s="79"/>
      <c r="AI11" s="92"/>
      <c r="AJ11" s="103"/>
      <c r="AK11" s="103"/>
      <c r="AL11" s="79"/>
      <c r="AM11" s="92"/>
      <c r="AO11" s="233"/>
      <c r="AP11" s="207"/>
      <c r="AQ11" s="236"/>
      <c r="AR11" s="236"/>
      <c r="AS11" s="233"/>
      <c r="AT11" s="207"/>
      <c r="AU11" s="233"/>
      <c r="AV11" s="207"/>
      <c r="AW11" s="236"/>
      <c r="AX11" s="236"/>
      <c r="AY11" s="233"/>
      <c r="AZ11" s="231"/>
    </row>
    <row r="12" spans="1:53" s="115" customFormat="1" ht="151.5" customHeight="1" x14ac:dyDescent="0.25">
      <c r="A12" s="425"/>
      <c r="B12" s="459"/>
      <c r="C12" s="455"/>
      <c r="D12" s="453"/>
      <c r="E12" s="451"/>
      <c r="F12" s="451"/>
      <c r="G12" s="451"/>
      <c r="H12" s="433"/>
      <c r="I12" s="451"/>
      <c r="J12" s="444"/>
      <c r="K12" s="447"/>
      <c r="L12" s="439"/>
      <c r="M12" s="449"/>
      <c r="N12" s="182"/>
      <c r="O12" s="447"/>
      <c r="P12" s="439"/>
      <c r="Q12" s="442"/>
      <c r="R12" s="94">
        <v>3</v>
      </c>
      <c r="S12" s="79"/>
      <c r="T12" s="95" t="str">
        <f t="shared" si="0"/>
        <v/>
      </c>
      <c r="U12" s="96"/>
      <c r="V12" s="96"/>
      <c r="W12" s="97"/>
      <c r="X12" s="96"/>
      <c r="Y12" s="96"/>
      <c r="Z12" s="96"/>
      <c r="AA12" s="98" t="str">
        <f>IFERROR(IF(T12="Probabilidad",(AA11-(+AA11*W12)),IF(T12="Impacto",L10,"")),"")</f>
        <v/>
      </c>
      <c r="AB12" s="99" t="str">
        <f t="shared" si="1"/>
        <v/>
      </c>
      <c r="AC12" s="100" t="str">
        <f t="shared" si="2"/>
        <v/>
      </c>
      <c r="AD12" s="99" t="str">
        <f t="shared" si="3"/>
        <v/>
      </c>
      <c r="AE12" s="100" t="str">
        <f>IFERROR(IF(T12="Impacto",(P10-(+P10*W12)),IF(T12="Probabilidad",P10,"")),"")</f>
        <v/>
      </c>
      <c r="AF12" s="101" t="str">
        <f t="shared" si="4"/>
        <v/>
      </c>
      <c r="AG12" s="102"/>
      <c r="AH12" s="79"/>
      <c r="AI12" s="92"/>
      <c r="AJ12" s="103"/>
      <c r="AK12" s="103"/>
      <c r="AL12" s="79"/>
      <c r="AM12" s="92"/>
      <c r="AO12" s="233"/>
      <c r="AP12" s="207"/>
      <c r="AQ12" s="236"/>
      <c r="AR12" s="236"/>
      <c r="AS12" s="233"/>
      <c r="AT12" s="207"/>
      <c r="AU12" s="233"/>
      <c r="AV12" s="207"/>
      <c r="AW12" s="236"/>
      <c r="AX12" s="236"/>
      <c r="AY12" s="233"/>
      <c r="AZ12" s="231"/>
    </row>
    <row r="13" spans="1:53" s="152" customFormat="1" ht="127.5" x14ac:dyDescent="0.25">
      <c r="A13" s="425">
        <f>1+A10</f>
        <v>3</v>
      </c>
      <c r="B13" s="457" t="s">
        <v>286</v>
      </c>
      <c r="C13" s="452" t="s">
        <v>287</v>
      </c>
      <c r="D13" s="452" t="s">
        <v>288</v>
      </c>
      <c r="E13" s="450" t="s">
        <v>118</v>
      </c>
      <c r="F13" s="450" t="s">
        <v>289</v>
      </c>
      <c r="G13" s="450" t="s">
        <v>194</v>
      </c>
      <c r="H13" s="432" t="s">
        <v>228</v>
      </c>
      <c r="I13" s="450" t="s">
        <v>218</v>
      </c>
      <c r="J13" s="443">
        <v>5000</v>
      </c>
      <c r="K13" s="445" t="str">
        <f>IF(J13&lt;=0,"",IF(J13&lt;=2,"Muy Baja",IF(J13&lt;=24,"Baja",IF(J13&lt;=500,"Media",IF(J13&lt;=5000,"Alta","Muy Alta")))))</f>
        <v>Alta</v>
      </c>
      <c r="L13" s="437">
        <f>IF(K13="","",IF(K13="Muy Baja",0.2,IF(K13="Baja",0.4,IF(K13="Media",0.6,IF(K13="Alta",0.8,IF(K13="Muy Alta",1,))))))</f>
        <v>0.8</v>
      </c>
      <c r="M13" s="448" t="s">
        <v>250</v>
      </c>
      <c r="N13" s="181" t="str">
        <f ca="1">IF(NOT(ISERROR(MATCH(M13,'Tabla Impacto'!$B$221:$B$223,0))),'Tabla Impacto'!$F$223&amp;"Por favor no seleccionar los criterios de impacto(Afectación Económica o presupuestal y Pérdida Reputacional)",M13)</f>
        <v xml:space="preserve"> El riesgo afecta la imagen de la entidad con algunos usuarios de relevancia frente al logro de los objetivos</v>
      </c>
      <c r="O13" s="445" t="str">
        <f ca="1">IF(OR(N13='Tabla Impacto'!$C$11,N13='Tabla Impacto'!$D$11),"Leve",IF(OR(N13='Tabla Impacto'!$C$12,N13='Tabla Impacto'!$D$12),"Menor",IF(OR(N13='Tabla Impacto'!$C$13,N13='Tabla Impacto'!$D$13),"Moderado",IF(OR(N13='Tabla Impacto'!$C$14,N13='Tabla Impacto'!$D$14),"Mayor",IF(OR(N13='Tabla Impacto'!$C$15,N13='Tabla Impacto'!$D$15),"Catastrófico","")))))</f>
        <v>Moderado</v>
      </c>
      <c r="P13" s="437">
        <f ca="1">IF(O13="","",IF(O13="Leve",0.2,IF(O13="Menor",0.4,IF(O13="Moderado",0.6,IF(O13="Mayor",0.8,IF(O13="Catastrófico",1,))))))</f>
        <v>0.6</v>
      </c>
      <c r="Q13" s="440" t="str">
        <f ca="1">IF(OR(AND(K13="Muy Baja",O13="Leve"),AND(K13="Muy Baja",O13="Menor"),AND(K13="Baja",O13="Leve")),"Bajo",IF(OR(AND(K13="Muy baja",O13="Moderado"),AND(K13="Baja",O13="Menor"),AND(K13="Baja",O13="Moderado"),AND(K13="Media",O13="Leve"),AND(K13="Media",O13="Menor"),AND(K13="Media",O13="Moderado"),AND(K13="Alta",O13="Leve"),AND(K13="Alta",O13="Menor")),"Moderado",IF(OR(AND(K13="Muy Baja",O13="Mayor"),AND(K13="Baja",O13="Mayor"),AND(K13="Media",O13="Mayor"),AND(K13="Alta",O13="Moderado"),AND(K13="Alta",O13="Mayor"),AND(K13="Muy Alta",O13="Leve"),AND(K13="Muy Alta",O13="Menor"),AND(K13="Muy Alta",O13="Moderado"),AND(K13="Muy Alta",O13="Mayor")),"Alto",IF(OR(AND(K13="Muy Baja",O13="Catastrófico"),AND(K13="Baja",O13="Catastrófico"),AND(K13="Media",O13="Catastrófico"),AND(K13="Alta",O13="Catastrófico"),AND(K13="Muy Alta",O13="Catastrófico")),"Extremo",""))))</f>
        <v>Alto</v>
      </c>
      <c r="R13" s="94">
        <v>1</v>
      </c>
      <c r="S13" s="79" t="s">
        <v>290</v>
      </c>
      <c r="T13" s="95" t="str">
        <f t="shared" si="0"/>
        <v>Probabilidad</v>
      </c>
      <c r="U13" s="96" t="s">
        <v>14</v>
      </c>
      <c r="V13" s="96" t="s">
        <v>9</v>
      </c>
      <c r="W13" s="97" t="str">
        <f>IF(AND(U13="Preventivo",V13="Automático"),"50%",IF(AND(U13="Preventivo",V13="Manual"),"40%",IF(AND(U13="Detectivo",V13="Automático"),"40%",IF(AND(U13="Detectivo",V13="Manual"),"30%",IF(AND(U13="Correctivo",V13="Automático"),"35%",IF(AND(U13="Correctivo",V13="Manual"),"25%",""))))))</f>
        <v>40%</v>
      </c>
      <c r="X13" s="96" t="s">
        <v>19</v>
      </c>
      <c r="Y13" s="96" t="s">
        <v>22</v>
      </c>
      <c r="Z13" s="96" t="s">
        <v>110</v>
      </c>
      <c r="AA13" s="98">
        <f>IFERROR(IF(T13="Probabilidad",(L13-(+L13*W13)),IF(T13="Impacto",L13,"")),"")</f>
        <v>0.48</v>
      </c>
      <c r="AB13" s="99" t="str">
        <f t="shared" si="1"/>
        <v>Media</v>
      </c>
      <c r="AC13" s="100">
        <f t="shared" si="2"/>
        <v>0.48</v>
      </c>
      <c r="AD13" s="99" t="str">
        <f t="shared" ca="1" si="3"/>
        <v>Moderado</v>
      </c>
      <c r="AE13" s="100">
        <f ca="1">IFERROR(IF(T13="Impacto",(P13-(+P13*W13)),IF(T13="Probabilidad",P13,"")),"")</f>
        <v>0.6</v>
      </c>
      <c r="AF13" s="101" t="str">
        <f t="shared" ca="1" si="4"/>
        <v>Moderado</v>
      </c>
      <c r="AG13" s="102" t="s">
        <v>122</v>
      </c>
      <c r="AH13" s="91" t="s">
        <v>229</v>
      </c>
      <c r="AI13" s="104" t="s">
        <v>197</v>
      </c>
      <c r="AJ13" s="103" t="s">
        <v>205</v>
      </c>
      <c r="AK13" s="103" t="s">
        <v>206</v>
      </c>
      <c r="AL13" s="79" t="s">
        <v>314</v>
      </c>
      <c r="AM13" s="92"/>
      <c r="AO13" s="231" t="s">
        <v>782</v>
      </c>
      <c r="AP13" s="284" t="s">
        <v>783</v>
      </c>
      <c r="AQ13" s="232">
        <v>1</v>
      </c>
      <c r="AR13" s="231" t="s">
        <v>784</v>
      </c>
      <c r="AS13" s="231" t="s">
        <v>785</v>
      </c>
      <c r="AT13" s="232">
        <v>1</v>
      </c>
      <c r="AU13" s="231"/>
      <c r="AV13" s="231" t="s">
        <v>582</v>
      </c>
      <c r="AW13" s="231" t="s">
        <v>583</v>
      </c>
      <c r="AX13" s="231" t="s">
        <v>583</v>
      </c>
      <c r="AY13" s="231" t="s">
        <v>583</v>
      </c>
      <c r="AZ13" s="230" t="s">
        <v>593</v>
      </c>
      <c r="BA13" s="115"/>
    </row>
    <row r="14" spans="1:53" s="152" customFormat="1" ht="151.5" customHeight="1" x14ac:dyDescent="0.25">
      <c r="A14" s="425"/>
      <c r="B14" s="458"/>
      <c r="C14" s="455"/>
      <c r="D14" s="455"/>
      <c r="E14" s="451"/>
      <c r="F14" s="451"/>
      <c r="G14" s="451"/>
      <c r="H14" s="433"/>
      <c r="I14" s="451"/>
      <c r="J14" s="444"/>
      <c r="K14" s="446"/>
      <c r="L14" s="438"/>
      <c r="M14" s="449"/>
      <c r="N14" s="182"/>
      <c r="O14" s="446"/>
      <c r="P14" s="438"/>
      <c r="Q14" s="441"/>
      <c r="R14" s="94">
        <v>2</v>
      </c>
      <c r="S14" s="105"/>
      <c r="T14" s="95" t="str">
        <f t="shared" si="0"/>
        <v/>
      </c>
      <c r="U14" s="96"/>
      <c r="V14" s="96"/>
      <c r="W14" s="97"/>
      <c r="X14" s="96"/>
      <c r="Y14" s="96"/>
      <c r="Z14" s="96"/>
      <c r="AA14" s="98" t="str">
        <f>IFERROR(IF(T14="Probabilidad",(AA13-(+AA13*W14)),IF(T14="Impacto",L13,"")),"")</f>
        <v/>
      </c>
      <c r="AB14" s="99" t="str">
        <f t="shared" si="1"/>
        <v/>
      </c>
      <c r="AC14" s="100" t="str">
        <f t="shared" si="2"/>
        <v/>
      </c>
      <c r="AD14" s="99" t="str">
        <f t="shared" si="3"/>
        <v/>
      </c>
      <c r="AE14" s="100" t="str">
        <f>IFERROR(IF(T14="Impacto",(P13-(+P13*W14)),IF(T14="Probabilidad",P13,"")),"")</f>
        <v/>
      </c>
      <c r="AF14" s="101" t="str">
        <f t="shared" si="4"/>
        <v/>
      </c>
      <c r="AG14" s="102"/>
      <c r="AH14" s="79"/>
      <c r="AI14" s="92"/>
      <c r="AJ14" s="103"/>
      <c r="AK14" s="103"/>
      <c r="AL14" s="79"/>
      <c r="AM14" s="92"/>
      <c r="AO14" s="204"/>
      <c r="AP14" s="204"/>
      <c r="AQ14" s="205"/>
      <c r="AR14" s="204"/>
      <c r="AS14" s="204"/>
      <c r="AT14" s="205"/>
      <c r="AU14" s="206"/>
      <c r="AV14" s="207"/>
      <c r="AW14" s="208"/>
      <c r="AX14" s="208"/>
      <c r="AY14" s="208"/>
      <c r="AZ14" s="231"/>
      <c r="BA14" s="115"/>
    </row>
    <row r="15" spans="1:53" s="152" customFormat="1" ht="151.5" customHeight="1" x14ac:dyDescent="0.25">
      <c r="A15" s="425"/>
      <c r="B15" s="459"/>
      <c r="C15" s="455"/>
      <c r="D15" s="455"/>
      <c r="E15" s="451"/>
      <c r="F15" s="472"/>
      <c r="G15" s="472"/>
      <c r="H15" s="467"/>
      <c r="I15" s="451"/>
      <c r="J15" s="444"/>
      <c r="K15" s="447"/>
      <c r="L15" s="439"/>
      <c r="M15" s="449"/>
      <c r="N15" s="182"/>
      <c r="O15" s="447"/>
      <c r="P15" s="439"/>
      <c r="Q15" s="442"/>
      <c r="R15" s="94">
        <v>3</v>
      </c>
      <c r="S15" s="105"/>
      <c r="T15" s="95" t="str">
        <f t="shared" si="0"/>
        <v/>
      </c>
      <c r="U15" s="96"/>
      <c r="V15" s="96"/>
      <c r="W15" s="97"/>
      <c r="X15" s="96"/>
      <c r="Y15" s="96"/>
      <c r="Z15" s="96"/>
      <c r="AA15" s="98" t="str">
        <f>IFERROR(IF(T15="Probabilidad",(AA14-(+AA14*W15)),IF(T15="Impacto",L13,"")),"")</f>
        <v/>
      </c>
      <c r="AB15" s="99" t="str">
        <f t="shared" si="1"/>
        <v/>
      </c>
      <c r="AC15" s="100" t="str">
        <f t="shared" si="2"/>
        <v/>
      </c>
      <c r="AD15" s="99" t="str">
        <f t="shared" si="3"/>
        <v/>
      </c>
      <c r="AE15" s="100" t="str">
        <f>IFERROR(IF(T15="Impacto",(P13-(+P13*W15)),IF(T15="Probabilidad",P13,"")),"")</f>
        <v/>
      </c>
      <c r="AF15" s="101" t="str">
        <f t="shared" si="4"/>
        <v/>
      </c>
      <c r="AG15" s="102"/>
      <c r="AH15" s="79"/>
      <c r="AI15" s="92"/>
      <c r="AJ15" s="103"/>
      <c r="AK15" s="103"/>
      <c r="AL15" s="79"/>
      <c r="AM15" s="92"/>
      <c r="AO15" s="204"/>
      <c r="AP15" s="204"/>
      <c r="AQ15" s="205"/>
      <c r="AR15" s="204"/>
      <c r="AS15" s="204"/>
      <c r="AT15" s="205"/>
      <c r="AU15" s="206"/>
      <c r="AV15" s="207"/>
      <c r="AW15" s="208"/>
      <c r="AX15" s="208"/>
      <c r="AY15" s="208"/>
      <c r="AZ15" s="231"/>
      <c r="BA15" s="115"/>
    </row>
    <row r="16" spans="1:53" s="154" customFormat="1" ht="114.75" x14ac:dyDescent="0.25">
      <c r="A16" s="425">
        <f>1+A13</f>
        <v>4</v>
      </c>
      <c r="B16" s="457" t="s">
        <v>275</v>
      </c>
      <c r="C16" s="452" t="s">
        <v>291</v>
      </c>
      <c r="D16" s="452" t="s">
        <v>292</v>
      </c>
      <c r="E16" s="450" t="s">
        <v>118</v>
      </c>
      <c r="F16" s="450" t="s">
        <v>295</v>
      </c>
      <c r="G16" s="450" t="s">
        <v>294</v>
      </c>
      <c r="H16" s="432" t="s">
        <v>293</v>
      </c>
      <c r="I16" s="450" t="s">
        <v>218</v>
      </c>
      <c r="J16" s="443">
        <v>383</v>
      </c>
      <c r="K16" s="445" t="str">
        <f>IF(J16&lt;=0,"",IF(J16&lt;=2,"Muy Baja",IF(J16&lt;=24,"Baja",IF(J16&lt;=500,"Media",IF(J16&lt;=5000,"Alta","Muy Alta")))))</f>
        <v>Media</v>
      </c>
      <c r="L16" s="437">
        <f>IF(K16="","",IF(K16="Muy Baja",0.2,IF(K16="Baja",0.4,IF(K16="Media",0.6,IF(K16="Alta",0.8,IF(K16="Muy Alta",1,))))))</f>
        <v>0.6</v>
      </c>
      <c r="M16" s="448" t="s">
        <v>255</v>
      </c>
      <c r="N16" s="183" t="str">
        <f ca="1">IF(NOT(ISERROR(MATCH(M16,'Tabla Impacto'!$B$221:$B$223,0))),'Tabla Impacto'!$F$223&amp;"Por favor no seleccionar los criterios de impacto(Afectación Económica o presupuestal y Pérdida Reputacional)",M16)</f>
        <v xml:space="preserve"> El riesgo afecta la imagen de la entidad internamente, de conocimiento general, nivel interno, de junta directiva y accionistas y/o de proveedores</v>
      </c>
      <c r="O16" s="445" t="str">
        <f ca="1">IF(OR(N16='Tabla Impacto'!$C$11,N16='Tabla Impacto'!$D$11),"Leve",IF(OR(N16='Tabla Impacto'!$C$12,N16='Tabla Impacto'!$D$12),"Menor",IF(OR(N16='Tabla Impacto'!$C$13,N16='Tabla Impacto'!$D$13),"Moderado",IF(OR(N16='Tabla Impacto'!$C$14,N16='Tabla Impacto'!$D$14),"Mayor",IF(OR(N16='Tabla Impacto'!$C$15,N16='Tabla Impacto'!$D$15),"Catastrófico","")))))</f>
        <v>Menor</v>
      </c>
      <c r="P16" s="437">
        <f ca="1">IF(O16="","",IF(O16="Leve",0.2,IF(O16="Menor",0.4,IF(O16="Moderado",0.6,IF(O16="Mayor",0.8,IF(O16="Catastrófico",1,))))))</f>
        <v>0.4</v>
      </c>
      <c r="Q16" s="440" t="str">
        <f ca="1">IF(OR(AND(K16="Muy Baja",O16="Leve"),AND(K16="Muy Baja",O16="Menor"),AND(K16="Baja",O16="Leve")),"Bajo",IF(OR(AND(K16="Muy baja",O16="Moderado"),AND(K16="Baja",O16="Menor"),AND(K16="Baja",O16="Moderado"),AND(K16="Media",O16="Leve"),AND(K16="Media",O16="Menor"),AND(K16="Media",O16="Moderado"),AND(K16="Alta",O16="Leve"),AND(K16="Alta",O16="Menor")),"Moderado",IF(OR(AND(K16="Muy Baja",O16="Mayor"),AND(K16="Baja",O16="Mayor"),AND(K16="Media",O16="Mayor"),AND(K16="Alta",O16="Moderado"),AND(K16="Alta",O16="Mayor"),AND(K16="Muy Alta",O16="Leve"),AND(K16="Muy Alta",O16="Menor"),AND(K16="Muy Alta",O16="Moderado"),AND(K16="Muy Alta",O16="Mayor")),"Alto",IF(OR(AND(K16="Muy Baja",O16="Catastrófico"),AND(K16="Baja",O16="Catastrófico"),AND(K16="Media",O16="Catastrófico"),AND(K16="Alta",O16="Catastrófico"),AND(K16="Muy Alta",O16="Catastrófico")),"Extremo",""))))</f>
        <v>Moderado</v>
      </c>
      <c r="R16" s="143">
        <v>1</v>
      </c>
      <c r="S16" s="91" t="s">
        <v>542</v>
      </c>
      <c r="T16" s="144" t="str">
        <f t="shared" si="0"/>
        <v>Probabilidad</v>
      </c>
      <c r="U16" s="145" t="s">
        <v>15</v>
      </c>
      <c r="V16" s="145" t="s">
        <v>9</v>
      </c>
      <c r="W16" s="146" t="str">
        <f>IF(AND(U16="Preventivo",V16="Automático"),"50%",IF(AND(U16="Preventivo",V16="Manual"),"40%",IF(AND(U16="Detectivo",V16="Automático"),"40%",IF(AND(U16="Detectivo",V16="Manual"),"30%",IF(AND(U16="Correctivo",V16="Automático"),"35%",IF(AND(U16="Correctivo",V16="Manual"),"25%",""))))))</f>
        <v>30%</v>
      </c>
      <c r="X16" s="145" t="s">
        <v>19</v>
      </c>
      <c r="Y16" s="145" t="s">
        <v>22</v>
      </c>
      <c r="Z16" s="145" t="s">
        <v>110</v>
      </c>
      <c r="AA16" s="112">
        <f>IFERROR(IF(T16="Probabilidad",(L16-(+L16*W16)),IF(T16="Impacto",L16,"")),"")</f>
        <v>0.42</v>
      </c>
      <c r="AB16" s="147" t="str">
        <f t="shared" si="1"/>
        <v>Media</v>
      </c>
      <c r="AC16" s="148">
        <f t="shared" si="2"/>
        <v>0.42</v>
      </c>
      <c r="AD16" s="147" t="str">
        <f t="shared" ca="1" si="3"/>
        <v>Menor</v>
      </c>
      <c r="AE16" s="148">
        <f ca="1">IFERROR(IF(T16="Impacto",(P16-(+P16*W16)),IF(T16="Probabilidad",P16,"")),"")</f>
        <v>0.4</v>
      </c>
      <c r="AF16" s="149" t="str">
        <f t="shared" ca="1" si="4"/>
        <v>Moderado</v>
      </c>
      <c r="AG16" s="150" t="s">
        <v>122</v>
      </c>
      <c r="AH16" s="91" t="s">
        <v>543</v>
      </c>
      <c r="AI16" s="86" t="s">
        <v>197</v>
      </c>
      <c r="AJ16" s="93" t="s">
        <v>205</v>
      </c>
      <c r="AK16" s="93" t="s">
        <v>206</v>
      </c>
      <c r="AL16" s="91" t="s">
        <v>296</v>
      </c>
      <c r="AM16" s="86"/>
      <c r="AO16" s="233" t="s">
        <v>594</v>
      </c>
      <c r="AP16" s="239" t="s">
        <v>595</v>
      </c>
      <c r="AQ16" s="240">
        <v>1</v>
      </c>
      <c r="AR16" s="241" t="s">
        <v>596</v>
      </c>
      <c r="AS16" s="242" t="s">
        <v>597</v>
      </c>
      <c r="AT16" s="240">
        <v>1</v>
      </c>
      <c r="AU16" s="243"/>
      <c r="AV16" s="244" t="s">
        <v>582</v>
      </c>
      <c r="AW16" s="236" t="s">
        <v>583</v>
      </c>
      <c r="AX16" s="236" t="s">
        <v>583</v>
      </c>
      <c r="AY16" s="236" t="s">
        <v>583</v>
      </c>
      <c r="AZ16" s="230" t="s">
        <v>593</v>
      </c>
      <c r="BA16" s="115"/>
    </row>
    <row r="17" spans="1:53" s="154" customFormat="1" ht="151.5" customHeight="1" x14ac:dyDescent="0.25">
      <c r="A17" s="425"/>
      <c r="B17" s="458"/>
      <c r="C17" s="453"/>
      <c r="D17" s="455"/>
      <c r="E17" s="451"/>
      <c r="F17" s="451"/>
      <c r="G17" s="451"/>
      <c r="H17" s="433"/>
      <c r="I17" s="451"/>
      <c r="J17" s="444"/>
      <c r="K17" s="446"/>
      <c r="L17" s="438"/>
      <c r="M17" s="449"/>
      <c r="N17" s="184"/>
      <c r="O17" s="446"/>
      <c r="P17" s="438"/>
      <c r="Q17" s="441"/>
      <c r="R17" s="143">
        <v>2</v>
      </c>
      <c r="S17" s="91"/>
      <c r="T17" s="144" t="str">
        <f t="shared" si="0"/>
        <v/>
      </c>
      <c r="U17" s="145"/>
      <c r="V17" s="145"/>
      <c r="W17" s="146"/>
      <c r="X17" s="145"/>
      <c r="Y17" s="145"/>
      <c r="Z17" s="145"/>
      <c r="AA17" s="113" t="str">
        <f>IFERROR(IF(T17="Probabilidad",(AA16-(+AA16*W17)),IF(T17="Impacto",L17,"")),"")</f>
        <v/>
      </c>
      <c r="AB17" s="147" t="str">
        <f t="shared" si="1"/>
        <v/>
      </c>
      <c r="AC17" s="148" t="str">
        <f t="shared" si="2"/>
        <v/>
      </c>
      <c r="AD17" s="147" t="str">
        <f t="shared" si="3"/>
        <v/>
      </c>
      <c r="AE17" s="148" t="str">
        <f>IFERROR(IF(T17="Impacto",(P17-(+P17*W17)),IF(T17="Probabilidad",P17,"")),"")</f>
        <v/>
      </c>
      <c r="AF17" s="149" t="str">
        <f t="shared" si="4"/>
        <v/>
      </c>
      <c r="AG17" s="150"/>
      <c r="AH17" s="91"/>
      <c r="AI17" s="86"/>
      <c r="AJ17" s="93"/>
      <c r="AK17" s="93"/>
      <c r="AL17" s="91"/>
      <c r="AM17" s="86"/>
      <c r="AO17" s="204"/>
      <c r="AP17" s="204"/>
      <c r="AQ17" s="205"/>
      <c r="AR17" s="204"/>
      <c r="AS17" s="204"/>
      <c r="AT17" s="205"/>
      <c r="AU17" s="206"/>
      <c r="AV17" s="207"/>
      <c r="AW17" s="208"/>
      <c r="AX17" s="208"/>
      <c r="AY17" s="208"/>
      <c r="AZ17" s="231"/>
      <c r="BA17" s="115"/>
    </row>
    <row r="18" spans="1:53" s="115" customFormat="1" ht="151.5" customHeight="1" x14ac:dyDescent="0.25">
      <c r="A18" s="425"/>
      <c r="B18" s="459"/>
      <c r="C18" s="453"/>
      <c r="D18" s="455"/>
      <c r="E18" s="451"/>
      <c r="F18" s="451"/>
      <c r="G18" s="451"/>
      <c r="H18" s="433"/>
      <c r="I18" s="451"/>
      <c r="J18" s="444"/>
      <c r="K18" s="447"/>
      <c r="L18" s="439"/>
      <c r="M18" s="449"/>
      <c r="N18" s="182"/>
      <c r="O18" s="447"/>
      <c r="P18" s="439"/>
      <c r="Q18" s="442"/>
      <c r="R18" s="94">
        <v>3</v>
      </c>
      <c r="S18" s="79"/>
      <c r="T18" s="95" t="str">
        <f t="shared" si="0"/>
        <v/>
      </c>
      <c r="U18" s="96"/>
      <c r="V18" s="96"/>
      <c r="W18" s="97"/>
      <c r="X18" s="96"/>
      <c r="Y18" s="96"/>
      <c r="Z18" s="96"/>
      <c r="AA18" s="106" t="str">
        <f>IFERROR(IF(T18="Probabilidad",(AA17-(+AA17*W18)),IF(T18="Impacto",L18,"")),"")</f>
        <v/>
      </c>
      <c r="AB18" s="99" t="str">
        <f t="shared" si="1"/>
        <v/>
      </c>
      <c r="AC18" s="100" t="str">
        <f t="shared" si="2"/>
        <v/>
      </c>
      <c r="AD18" s="99" t="str">
        <f t="shared" si="3"/>
        <v/>
      </c>
      <c r="AE18" s="100" t="str">
        <f>IFERROR(IF(T18="Impacto",(P18-(+P18*W18)),IF(T18="Probabilidad",P18,"")),"")</f>
        <v/>
      </c>
      <c r="AF18" s="101" t="str">
        <f t="shared" si="4"/>
        <v/>
      </c>
      <c r="AG18" s="102"/>
      <c r="AH18" s="79"/>
      <c r="AI18" s="92"/>
      <c r="AJ18" s="103"/>
      <c r="AK18" s="103"/>
      <c r="AL18" s="79"/>
      <c r="AM18" s="92"/>
      <c r="AO18" s="204"/>
      <c r="AP18" s="204"/>
      <c r="AQ18" s="205"/>
      <c r="AR18" s="204"/>
      <c r="AS18" s="204"/>
      <c r="AT18" s="205"/>
      <c r="AU18" s="206"/>
      <c r="AV18" s="207"/>
      <c r="AW18" s="208"/>
      <c r="AX18" s="208"/>
      <c r="AY18" s="208"/>
      <c r="AZ18" s="231"/>
    </row>
    <row r="19" spans="1:53" s="115" customFormat="1" ht="150" customHeight="1" x14ac:dyDescent="0.25">
      <c r="A19" s="425">
        <f>1+A16</f>
        <v>5</v>
      </c>
      <c r="B19" s="457" t="s">
        <v>298</v>
      </c>
      <c r="C19" s="452" t="s">
        <v>299</v>
      </c>
      <c r="D19" s="452" t="s">
        <v>300</v>
      </c>
      <c r="E19" s="450" t="s">
        <v>120</v>
      </c>
      <c r="F19" s="454" t="s">
        <v>198</v>
      </c>
      <c r="G19" s="450" t="s">
        <v>424</v>
      </c>
      <c r="H19" s="432" t="s">
        <v>272</v>
      </c>
      <c r="I19" s="450" t="s">
        <v>115</v>
      </c>
      <c r="J19" s="443">
        <v>1460</v>
      </c>
      <c r="K19" s="445" t="str">
        <f>IF(J19&lt;=0,"",IF(J19&lt;=2,"Muy Baja",IF(J19&lt;=24,"Baja",IF(J19&lt;=500,"Media",IF(J19&lt;=5000,"Alta","Muy Alta")))))</f>
        <v>Alta</v>
      </c>
      <c r="L19" s="437">
        <f>IF(K19="","",IF(K19="Muy Baja",0.2,IF(K19="Baja",0.4,IF(K19="Media",0.6,IF(K19="Alta",0.8,IF(K19="Muy Alta",1,))))))</f>
        <v>0.8</v>
      </c>
      <c r="M19" s="448" t="s">
        <v>250</v>
      </c>
      <c r="N19" s="181" t="str">
        <f ca="1">IF(NOT(ISERROR(MATCH(M19,'Tabla Impacto'!$B$221:$B$223,0))),'Tabla Impacto'!$F$223&amp;"Por favor no seleccionar los criterios de impacto(Afectación Económica o presupuestal y Pérdida Reputacional)",M19)</f>
        <v xml:space="preserve"> El riesgo afecta la imagen de la entidad con algunos usuarios de relevancia frente al logro de los objetivos</v>
      </c>
      <c r="O19" s="445" t="str">
        <f ca="1">IF(OR(N19='Tabla Impacto'!$C$11,N19='Tabla Impacto'!$D$11),"Leve",IF(OR(N19='Tabla Impacto'!$C$12,N19='Tabla Impacto'!$D$12),"Menor",IF(OR(N19='Tabla Impacto'!$C$13,N19='Tabla Impacto'!$D$13),"Moderado",IF(OR(N19='Tabla Impacto'!$C$14,N19='Tabla Impacto'!$D$14),"Mayor",IF(OR(N19='Tabla Impacto'!$C$15,N19='Tabla Impacto'!$D$15),"Catastrófico","")))))</f>
        <v>Moderado</v>
      </c>
      <c r="P19" s="437">
        <f ca="1">IF(O19="","",IF(O19="Leve",0.2,IF(O19="Menor",0.4,IF(O19="Moderado",0.6,IF(O19="Mayor",0.8,IF(O19="Catastrófico",1,))))))</f>
        <v>0.6</v>
      </c>
      <c r="Q19" s="440" t="str">
        <f ca="1">IF(OR(AND(K19="Muy Baja",O19="Leve"),AND(K19="Muy Baja",O19="Menor"),AND(K19="Baja",O19="Leve")),"Bajo",IF(OR(AND(K19="Muy baja",O19="Moderado"),AND(K19="Baja",O19="Menor"),AND(K19="Baja",O19="Moderado"),AND(K19="Media",O19="Leve"),AND(K19="Media",O19="Menor"),AND(K19="Media",O19="Moderado"),AND(K19="Alta",O19="Leve"),AND(K19="Alta",O19="Menor")),"Moderado",IF(OR(AND(K19="Muy Baja",O19="Mayor"),AND(K19="Baja",O19="Mayor"),AND(K19="Media",O19="Mayor"),AND(K19="Alta",O19="Moderado"),AND(K19="Alta",O19="Mayor"),AND(K19="Muy Alta",O19="Leve"),AND(K19="Muy Alta",O19="Menor"),AND(K19="Muy Alta",O19="Moderado"),AND(K19="Muy Alta",O19="Mayor")),"Alto",IF(OR(AND(K19="Muy Baja",O19="Catastrófico"),AND(K19="Baja",O19="Catastrófico"),AND(K19="Media",O19="Catastrófico"),AND(K19="Alta",O19="Catastrófico"),AND(K19="Muy Alta",O19="Catastrófico")),"Extremo",""))))</f>
        <v>Alto</v>
      </c>
      <c r="R19" s="94">
        <v>1</v>
      </c>
      <c r="S19" s="79" t="s">
        <v>301</v>
      </c>
      <c r="T19" s="95" t="str">
        <f t="shared" si="0"/>
        <v>Probabilidad</v>
      </c>
      <c r="U19" s="96" t="s">
        <v>14</v>
      </c>
      <c r="V19" s="96" t="s">
        <v>9</v>
      </c>
      <c r="W19" s="97" t="str">
        <f>IF(AND(U19="Preventivo",V19="Automático"),"50%",IF(AND(U19="Preventivo",V19="Manual"),"40%",IF(AND(U19="Detectivo",V19="Automático"),"40%",IF(AND(U19="Detectivo",V19="Manual"),"30%",IF(AND(U19="Correctivo",V19="Automático"),"35%",IF(AND(U19="Correctivo",V19="Manual"),"25%",""))))))</f>
        <v>40%</v>
      </c>
      <c r="X19" s="96" t="s">
        <v>19</v>
      </c>
      <c r="Y19" s="96" t="s">
        <v>22</v>
      </c>
      <c r="Z19" s="96" t="s">
        <v>110</v>
      </c>
      <c r="AA19" s="98">
        <f>IFERROR(IF(T19="Probabilidad",(L19-(+L19*W19)),IF(T19="Impacto",L19,"")),"")</f>
        <v>0.48</v>
      </c>
      <c r="AB19" s="99" t="str">
        <f t="shared" si="1"/>
        <v>Media</v>
      </c>
      <c r="AC19" s="100">
        <f t="shared" si="2"/>
        <v>0.48</v>
      </c>
      <c r="AD19" s="99" t="str">
        <f t="shared" ca="1" si="3"/>
        <v>Moderado</v>
      </c>
      <c r="AE19" s="100">
        <f ca="1">IFERROR(IF(T19="Impacto",(P19-(+P19*W19)),IF(T19="Probabilidad",P19,"")),"")</f>
        <v>0.6</v>
      </c>
      <c r="AF19" s="101" t="str">
        <f t="shared" ca="1" si="4"/>
        <v>Moderado</v>
      </c>
      <c r="AG19" s="102" t="s">
        <v>122</v>
      </c>
      <c r="AH19" s="79" t="s">
        <v>302</v>
      </c>
      <c r="AI19" s="92" t="s">
        <v>197</v>
      </c>
      <c r="AJ19" s="93" t="s">
        <v>205</v>
      </c>
      <c r="AK19" s="93" t="s">
        <v>206</v>
      </c>
      <c r="AL19" s="79" t="s">
        <v>225</v>
      </c>
      <c r="AM19" s="92"/>
      <c r="AO19" s="245" t="s">
        <v>654</v>
      </c>
      <c r="AP19" s="246" t="s">
        <v>655</v>
      </c>
      <c r="AQ19" s="247">
        <v>1</v>
      </c>
      <c r="AR19" s="248" t="s">
        <v>656</v>
      </c>
      <c r="AS19" s="245" t="s">
        <v>657</v>
      </c>
      <c r="AT19" s="249">
        <v>1</v>
      </c>
      <c r="AU19" s="245"/>
      <c r="AV19" s="207" t="s">
        <v>582</v>
      </c>
      <c r="AW19" s="236" t="s">
        <v>583</v>
      </c>
      <c r="AX19" s="236" t="s">
        <v>583</v>
      </c>
      <c r="AY19" s="236" t="s">
        <v>583</v>
      </c>
      <c r="AZ19" s="230" t="s">
        <v>593</v>
      </c>
    </row>
    <row r="20" spans="1:53" s="115" customFormat="1" ht="151.5" customHeight="1" x14ac:dyDescent="0.25">
      <c r="A20" s="425"/>
      <c r="B20" s="458"/>
      <c r="C20" s="453"/>
      <c r="D20" s="455"/>
      <c r="E20" s="451"/>
      <c r="F20" s="451"/>
      <c r="G20" s="451"/>
      <c r="H20" s="433"/>
      <c r="I20" s="451"/>
      <c r="J20" s="444"/>
      <c r="K20" s="446"/>
      <c r="L20" s="438"/>
      <c r="M20" s="449"/>
      <c r="N20" s="182"/>
      <c r="O20" s="446"/>
      <c r="P20" s="438"/>
      <c r="Q20" s="441"/>
      <c r="R20" s="94">
        <v>2</v>
      </c>
      <c r="S20" s="210"/>
      <c r="T20" s="211"/>
      <c r="U20" s="223"/>
      <c r="V20" s="223"/>
      <c r="W20" s="222"/>
      <c r="X20" s="223"/>
      <c r="Y20" s="223"/>
      <c r="Z20" s="223"/>
      <c r="AA20" s="224"/>
      <c r="AB20" s="225"/>
      <c r="AC20" s="226"/>
      <c r="AD20" s="225"/>
      <c r="AE20" s="226"/>
      <c r="AF20" s="227"/>
      <c r="AG20" s="228"/>
      <c r="AH20" s="210"/>
      <c r="AI20" s="211"/>
      <c r="AJ20" s="229"/>
      <c r="AK20" s="229"/>
      <c r="AL20" s="210"/>
      <c r="AM20" s="211"/>
      <c r="AO20" s="245"/>
      <c r="AP20" s="246"/>
      <c r="AQ20" s="247"/>
      <c r="AR20" s="248"/>
      <c r="AS20" s="245"/>
      <c r="AT20" s="249"/>
      <c r="AU20" s="245"/>
      <c r="AV20" s="207"/>
      <c r="AW20" s="236"/>
      <c r="AX20" s="236"/>
      <c r="AY20" s="236"/>
      <c r="AZ20" s="231"/>
    </row>
    <row r="21" spans="1:53" s="115" customFormat="1" ht="151.5" customHeight="1" x14ac:dyDescent="0.25">
      <c r="A21" s="425"/>
      <c r="B21" s="459"/>
      <c r="C21" s="453"/>
      <c r="D21" s="455"/>
      <c r="E21" s="451"/>
      <c r="F21" s="451"/>
      <c r="G21" s="451"/>
      <c r="H21" s="433"/>
      <c r="I21" s="451"/>
      <c r="J21" s="444"/>
      <c r="K21" s="447"/>
      <c r="L21" s="439"/>
      <c r="M21" s="449"/>
      <c r="N21" s="182"/>
      <c r="O21" s="447"/>
      <c r="P21" s="439"/>
      <c r="Q21" s="442"/>
      <c r="R21" s="94">
        <v>3</v>
      </c>
      <c r="S21" s="79"/>
      <c r="T21" s="95" t="str">
        <f t="shared" ref="T21:T51" si="5">IF(OR(U21="Preventivo",U21="Detectivo"),"Probabilidad",IF(U21="Correctivo","Impacto",""))</f>
        <v/>
      </c>
      <c r="U21" s="96"/>
      <c r="V21" s="96"/>
      <c r="W21" s="97" t="str">
        <f t="shared" ref="W21:W50" si="6">IF(AND(U21="Preventivo",V21="Automático"),"50%",IF(AND(U21="Preventivo",V21="Manual"),"40%",IF(AND(U21="Detectivo",V21="Automático"),"40%",IF(AND(U21="Detectivo",V21="Manual"),"30%",IF(AND(U21="Correctivo",V21="Automático"),"35%",IF(AND(U21="Correctivo",V21="Manual"),"25%",""))))))</f>
        <v/>
      </c>
      <c r="X21" s="96"/>
      <c r="Y21" s="96"/>
      <c r="Z21" s="96"/>
      <c r="AA21" s="98" t="str">
        <f>IFERROR(IF(T21="Probabilidad",(AA20-(+AA20*W21)),IF(T21="Impacto",L21,"")),"")</f>
        <v/>
      </c>
      <c r="AB21" s="99" t="str">
        <f t="shared" ref="AB21:AB51" si="7">IFERROR(IF(AA21="","",IF(AA21&lt;=0.2,"Muy Baja",IF(AA21&lt;=0.4,"Baja",IF(AA21&lt;=0.6,"Media",IF(AA21&lt;=0.8,"Alta","Muy Alta"))))),"")</f>
        <v/>
      </c>
      <c r="AC21" s="100" t="str">
        <f t="shared" ref="AC21:AC51" si="8">+AA21</f>
        <v/>
      </c>
      <c r="AD21" s="99" t="str">
        <f t="shared" ref="AD21:AD51" si="9">IFERROR(IF(AE21="","",IF(AE21&lt;=0.2,"Leve",IF(AE21&lt;=0.4,"Menor",IF(AE21&lt;=0.6,"Moderado",IF(AE21&lt;=0.8,"Mayor","Catastrófico"))))),"")</f>
        <v/>
      </c>
      <c r="AE21" s="100" t="str">
        <f t="shared" ref="AE21:AE51" si="10">IFERROR(IF(T21="Impacto",(P21-(+P21*W21)),IF(T21="Probabilidad",P21,"")),"")</f>
        <v/>
      </c>
      <c r="AF21" s="101" t="str">
        <f t="shared" ref="AF21:AF51" si="11">IFERROR(IF(OR(AND(AB21="Muy Baja",AD21="Leve"),AND(AB21="Muy Baja",AD21="Menor"),AND(AB21="Baja",AD21="Leve")),"Bajo",IF(OR(AND(AB21="Muy baja",AD21="Moderado"),AND(AB21="Baja",AD21="Menor"),AND(AB21="Baja",AD21="Moderado"),AND(AB21="Media",AD21="Leve"),AND(AB21="Media",AD21="Menor"),AND(AB21="Media",AD21="Moderado"),AND(AB21="Alta",AD21="Leve"),AND(AB21="Alta",AD21="Menor")),"Moderado",IF(OR(AND(AB21="Muy Baja",AD21="Mayor"),AND(AB21="Baja",AD21="Mayor"),AND(AB21="Media",AD21="Mayor"),AND(AB21="Alta",AD21="Moderado"),AND(AB21="Alta",AD21="Mayor"),AND(AB21="Muy Alta",AD21="Leve"),AND(AB21="Muy Alta",AD21="Menor"),AND(AB21="Muy Alta",AD21="Moderado"),AND(AB21="Muy Alta",AD21="Mayor")),"Alto",IF(OR(AND(AB21="Muy Baja",AD21="Catastrófico"),AND(AB21="Baja",AD21="Catastrófico"),AND(AB21="Media",AD21="Catastrófico"),AND(AB21="Alta",AD21="Catastrófico"),AND(AB21="Muy Alta",AD21="Catastrófico")),"Extremo","")))),"")</f>
        <v/>
      </c>
      <c r="AG21" s="102"/>
      <c r="AH21" s="79"/>
      <c r="AI21" s="92"/>
      <c r="AJ21" s="103"/>
      <c r="AK21" s="103"/>
      <c r="AL21" s="79"/>
      <c r="AM21" s="92"/>
      <c r="AO21" s="204"/>
      <c r="AP21" s="204"/>
      <c r="AQ21" s="205"/>
      <c r="AR21" s="204"/>
      <c r="AS21" s="204"/>
      <c r="AT21" s="205"/>
      <c r="AU21" s="206"/>
      <c r="AV21" s="207"/>
      <c r="AW21" s="208"/>
      <c r="AX21" s="208"/>
      <c r="AY21" s="208"/>
      <c r="AZ21" s="285"/>
    </row>
    <row r="22" spans="1:53" s="115" customFormat="1" ht="191.25" x14ac:dyDescent="0.25">
      <c r="A22" s="425">
        <f>1+A19</f>
        <v>6</v>
      </c>
      <c r="B22" s="457" t="s">
        <v>298</v>
      </c>
      <c r="C22" s="452" t="s">
        <v>299</v>
      </c>
      <c r="D22" s="452" t="s">
        <v>300</v>
      </c>
      <c r="E22" s="450" t="s">
        <v>118</v>
      </c>
      <c r="F22" s="454" t="s">
        <v>199</v>
      </c>
      <c r="G22" s="450" t="s">
        <v>239</v>
      </c>
      <c r="H22" s="432" t="s">
        <v>200</v>
      </c>
      <c r="I22" s="450" t="s">
        <v>218</v>
      </c>
      <c r="J22" s="443">
        <v>1460</v>
      </c>
      <c r="K22" s="445" t="str">
        <f>IF(J22&lt;=0,"",IF(J22&lt;=2,"Muy Baja",IF(J22&lt;=24,"Baja",IF(J22&lt;=500,"Media",IF(J22&lt;=5000,"Alta","Muy Alta")))))</f>
        <v>Alta</v>
      </c>
      <c r="L22" s="437">
        <f>IF(K22="","",IF(K22="Muy Baja",0.2,IF(K22="Baja",0.4,IF(K22="Media",0.6,IF(K22="Alta",0.8,IF(K22="Muy Alta",1,))))))</f>
        <v>0.8</v>
      </c>
      <c r="M22" s="448" t="s">
        <v>257</v>
      </c>
      <c r="N22" s="181" t="str">
        <f ca="1">IF(NOT(ISERROR(MATCH(M22,'Tabla Impacto'!$B$221:$B$223,0))),'Tabla Impacto'!$F$223&amp;"Por favor no seleccionar los criterios de impacto(Afectación Económica o presupuestal y Pérdida Reputacional)",M22)</f>
        <v xml:space="preserve"> El riesgo afecta la imagen de la entidad con efecto publicitario sostenido a nivel de sector administrativo, nivel departamental o municipal</v>
      </c>
      <c r="O22" s="445" t="str">
        <f ca="1">IF(OR(N22='Tabla Impacto'!$C$11,N22='Tabla Impacto'!$D$11),"Leve",IF(OR(N22='Tabla Impacto'!$C$12,N22='Tabla Impacto'!$D$12),"Menor",IF(OR(N22='Tabla Impacto'!$C$13,N22='Tabla Impacto'!$D$13),"Moderado",IF(OR(N22='Tabla Impacto'!$C$14,N22='Tabla Impacto'!$D$14),"Mayor",IF(OR(N22='Tabla Impacto'!$C$15,N22='Tabla Impacto'!$D$15),"Catastrófico","")))))</f>
        <v>Mayor</v>
      </c>
      <c r="P22" s="437">
        <f ca="1">IF(O22="","",IF(O22="Leve",0.2,IF(O22="Menor",0.4,IF(O22="Moderado",0.6,IF(O22="Mayor",0.8,IF(O22="Catastrófico",1,))))))</f>
        <v>0.8</v>
      </c>
      <c r="Q22" s="440" t="str">
        <f ca="1">IF(OR(AND(K22="Muy Baja",O22="Leve"),AND(K22="Muy Baja",O22="Menor"),AND(K22="Baja",O22="Leve")),"Bajo",IF(OR(AND(K22="Muy baja",O22="Moderado"),AND(K22="Baja",O22="Menor"),AND(K22="Baja",O22="Moderado"),AND(K22="Media",O22="Leve"),AND(K22="Media",O22="Menor"),AND(K22="Media",O22="Moderado"),AND(K22="Alta",O22="Leve"),AND(K22="Alta",O22="Menor")),"Moderado",IF(OR(AND(K22="Muy Baja",O22="Mayor"),AND(K22="Baja",O22="Mayor"),AND(K22="Media",O22="Mayor"),AND(K22="Alta",O22="Moderado"),AND(K22="Alta",O22="Mayor"),AND(K22="Muy Alta",O22="Leve"),AND(K22="Muy Alta",O22="Menor"),AND(K22="Muy Alta",O22="Moderado"),AND(K22="Muy Alta",O22="Mayor")),"Alto",IF(OR(AND(K22="Muy Baja",O22="Catastrófico"),AND(K22="Baja",O22="Catastrófico"),AND(K22="Media",O22="Catastrófico"),AND(K22="Alta",O22="Catastrófico"),AND(K22="Muy Alta",O22="Catastrófico")),"Extremo",""))))</f>
        <v>Alto</v>
      </c>
      <c r="R22" s="94">
        <v>1</v>
      </c>
      <c r="S22" s="79" t="s">
        <v>303</v>
      </c>
      <c r="T22" s="95" t="str">
        <f t="shared" si="5"/>
        <v>Probabilidad</v>
      </c>
      <c r="U22" s="96" t="s">
        <v>14</v>
      </c>
      <c r="V22" s="96" t="s">
        <v>9</v>
      </c>
      <c r="W22" s="97" t="str">
        <f>IF(AND(U22="Preventivo",V22="Automático"),"50%",IF(AND(U22="Preventivo",V22="Manual"),"40%",IF(AND(U22="Detectivo",V22="Automático"),"40%",IF(AND(U22="Detectivo",V22="Manual"),"30%",IF(AND(U22="Correctivo",V22="Automático"),"35%",IF(AND(U22="Correctivo",V22="Manual"),"25%",""))))))</f>
        <v>40%</v>
      </c>
      <c r="X22" s="96" t="s">
        <v>19</v>
      </c>
      <c r="Y22" s="96" t="s">
        <v>22</v>
      </c>
      <c r="Z22" s="96" t="s">
        <v>110</v>
      </c>
      <c r="AA22" s="98">
        <f>IFERROR(IF(T22="Probabilidad",(L22-(+L22*W22)),IF(T22="Impacto",L22,"")),"")</f>
        <v>0.48</v>
      </c>
      <c r="AB22" s="99" t="str">
        <f t="shared" si="7"/>
        <v>Media</v>
      </c>
      <c r="AC22" s="100">
        <f t="shared" si="8"/>
        <v>0.48</v>
      </c>
      <c r="AD22" s="99" t="str">
        <f t="shared" ca="1" si="9"/>
        <v>Mayor</v>
      </c>
      <c r="AE22" s="100">
        <f ca="1">IFERROR(IF(T22="Impacto",(P22-(+P22*W22)),IF(T22="Probabilidad",P22,"")),"")</f>
        <v>0.8</v>
      </c>
      <c r="AF22" s="101" t="str">
        <f t="shared" ca="1" si="11"/>
        <v>Alto</v>
      </c>
      <c r="AG22" s="102" t="s">
        <v>122</v>
      </c>
      <c r="AH22" s="79" t="s">
        <v>304</v>
      </c>
      <c r="AI22" s="92" t="s">
        <v>197</v>
      </c>
      <c r="AJ22" s="93" t="s">
        <v>205</v>
      </c>
      <c r="AK22" s="93" t="s">
        <v>206</v>
      </c>
      <c r="AL22" s="91" t="s">
        <v>305</v>
      </c>
      <c r="AM22" s="92"/>
      <c r="AO22" s="245" t="s">
        <v>658</v>
      </c>
      <c r="AP22" s="248" t="s">
        <v>659</v>
      </c>
      <c r="AQ22" s="247">
        <v>1</v>
      </c>
      <c r="AR22" s="248" t="s">
        <v>660</v>
      </c>
      <c r="AS22" s="245" t="s">
        <v>661</v>
      </c>
      <c r="AT22" s="249">
        <v>1</v>
      </c>
      <c r="AU22" s="245"/>
      <c r="AV22" s="207" t="s">
        <v>582</v>
      </c>
      <c r="AW22" s="236" t="s">
        <v>583</v>
      </c>
      <c r="AX22" s="236" t="s">
        <v>583</v>
      </c>
      <c r="AY22" s="236" t="s">
        <v>583</v>
      </c>
      <c r="AZ22" s="230" t="s">
        <v>593</v>
      </c>
    </row>
    <row r="23" spans="1:53" s="115" customFormat="1" ht="151.5" customHeight="1" x14ac:dyDescent="0.25">
      <c r="A23" s="425"/>
      <c r="B23" s="458"/>
      <c r="C23" s="453"/>
      <c r="D23" s="455"/>
      <c r="E23" s="451"/>
      <c r="F23" s="505"/>
      <c r="G23" s="451"/>
      <c r="H23" s="433"/>
      <c r="I23" s="451"/>
      <c r="J23" s="444"/>
      <c r="K23" s="446"/>
      <c r="L23" s="438"/>
      <c r="M23" s="449"/>
      <c r="N23" s="182"/>
      <c r="O23" s="446"/>
      <c r="P23" s="438"/>
      <c r="Q23" s="441"/>
      <c r="R23" s="94">
        <v>2</v>
      </c>
      <c r="S23" s="210"/>
      <c r="T23" s="211"/>
      <c r="U23" s="223"/>
      <c r="V23" s="223"/>
      <c r="W23" s="222"/>
      <c r="X23" s="223"/>
      <c r="Y23" s="223"/>
      <c r="Z23" s="223"/>
      <c r="AA23" s="224"/>
      <c r="AB23" s="225"/>
      <c r="AC23" s="226"/>
      <c r="AD23" s="225"/>
      <c r="AE23" s="226"/>
      <c r="AF23" s="227"/>
      <c r="AG23" s="228"/>
      <c r="AH23" s="210"/>
      <c r="AI23" s="211"/>
      <c r="AJ23" s="229"/>
      <c r="AK23" s="229"/>
      <c r="AL23" s="210"/>
      <c r="AM23" s="211"/>
      <c r="AO23" s="206"/>
      <c r="AP23" s="206"/>
      <c r="AQ23" s="206"/>
      <c r="AR23" s="206"/>
      <c r="AS23" s="206"/>
      <c r="AT23" s="206"/>
      <c r="AU23" s="206"/>
      <c r="AV23" s="206"/>
      <c r="AW23" s="206"/>
      <c r="AX23" s="206"/>
      <c r="AY23" s="206"/>
      <c r="AZ23" s="206"/>
    </row>
    <row r="24" spans="1:53" s="115" customFormat="1" ht="75.75" customHeight="1" x14ac:dyDescent="0.25">
      <c r="A24" s="425"/>
      <c r="B24" s="459"/>
      <c r="C24" s="453"/>
      <c r="D24" s="455"/>
      <c r="E24" s="451"/>
      <c r="F24" s="506"/>
      <c r="G24" s="472"/>
      <c r="H24" s="467"/>
      <c r="I24" s="472"/>
      <c r="J24" s="444"/>
      <c r="K24" s="447"/>
      <c r="L24" s="439"/>
      <c r="M24" s="449"/>
      <c r="N24" s="182"/>
      <c r="O24" s="447"/>
      <c r="P24" s="439"/>
      <c r="Q24" s="442"/>
      <c r="R24" s="94">
        <v>3</v>
      </c>
      <c r="S24" s="79"/>
      <c r="T24" s="95" t="str">
        <f t="shared" ref="T24" si="12">IF(OR(U24="Preventivo",U24="Detectivo"),"Probabilidad",IF(U24="Correctivo","Impacto",""))</f>
        <v/>
      </c>
      <c r="U24" s="96"/>
      <c r="V24" s="96"/>
      <c r="W24" s="97" t="str">
        <f t="shared" ref="W24" si="13">IF(AND(U24="Preventivo",V24="Automático"),"50%",IF(AND(U24="Preventivo",V24="Manual"),"40%",IF(AND(U24="Detectivo",V24="Automático"),"40%",IF(AND(U24="Detectivo",V24="Manual"),"30%",IF(AND(U24="Correctivo",V24="Automático"),"35%",IF(AND(U24="Correctivo",V24="Manual"),"25%",""))))))</f>
        <v/>
      </c>
      <c r="X24" s="96"/>
      <c r="Y24" s="96"/>
      <c r="Z24" s="96"/>
      <c r="AA24" s="98" t="str">
        <f>IFERROR(IF(T24="Probabilidad",(AA23-(+AA23*W24)),IF(T24="Impacto",L24,"")),"")</f>
        <v/>
      </c>
      <c r="AB24" s="99" t="str">
        <f t="shared" ref="AB24" si="14">IFERROR(IF(AA24="","",IF(AA24&lt;=0.2,"Muy Baja",IF(AA24&lt;=0.4,"Baja",IF(AA24&lt;=0.6,"Media",IF(AA24&lt;=0.8,"Alta","Muy Alta"))))),"")</f>
        <v/>
      </c>
      <c r="AC24" s="100" t="str">
        <f t="shared" ref="AC24" si="15">+AA24</f>
        <v/>
      </c>
      <c r="AD24" s="99" t="str">
        <f t="shared" ref="AD24" si="16">IFERROR(IF(AE24="","",IF(AE24&lt;=0.2,"Leve",IF(AE24&lt;=0.4,"Menor",IF(AE24&lt;=0.6,"Moderado",IF(AE24&lt;=0.8,"Mayor","Catastrófico"))))),"")</f>
        <v/>
      </c>
      <c r="AE24" s="100" t="str">
        <f t="shared" ref="AE24" si="17">IFERROR(IF(T24="Impacto",(P24-(+P24*W24)),IF(T24="Probabilidad",P24,"")),"")</f>
        <v/>
      </c>
      <c r="AF24" s="101" t="str">
        <f t="shared" ref="AF24" si="18">IFERROR(IF(OR(AND(AB24="Muy Baja",AD24="Leve"),AND(AB24="Muy Baja",AD24="Menor"),AND(AB24="Baja",AD24="Leve")),"Bajo",IF(OR(AND(AB24="Muy baja",AD24="Moderado"),AND(AB24="Baja",AD24="Menor"),AND(AB24="Baja",AD24="Moderado"),AND(AB24="Media",AD24="Leve"),AND(AB24="Media",AD24="Menor"),AND(AB24="Media",AD24="Moderado"),AND(AB24="Alta",AD24="Leve"),AND(AB24="Alta",AD24="Menor")),"Moderado",IF(OR(AND(AB24="Muy Baja",AD24="Mayor"),AND(AB24="Baja",AD24="Mayor"),AND(AB24="Media",AD24="Mayor"),AND(AB24="Alta",AD24="Moderado"),AND(AB24="Alta",AD24="Mayor"),AND(AB24="Muy Alta",AD24="Leve"),AND(AB24="Muy Alta",AD24="Menor"),AND(AB24="Muy Alta",AD24="Moderado"),AND(AB24="Muy Alta",AD24="Mayor")),"Alto",IF(OR(AND(AB24="Muy Baja",AD24="Catastrófico"),AND(AB24="Baja",AD24="Catastrófico"),AND(AB24="Media",AD24="Catastrófico"),AND(AB24="Alta",AD24="Catastrófico"),AND(AB24="Muy Alta",AD24="Catastrófico")),"Extremo","")))),"")</f>
        <v/>
      </c>
      <c r="AG24" s="102"/>
      <c r="AH24" s="79"/>
      <c r="AI24" s="92"/>
      <c r="AJ24" s="103"/>
      <c r="AK24" s="103"/>
      <c r="AL24" s="79"/>
      <c r="AM24" s="92"/>
      <c r="AO24" s="204"/>
      <c r="AP24" s="204"/>
      <c r="AQ24" s="205"/>
      <c r="AR24" s="204"/>
      <c r="AS24" s="204"/>
      <c r="AT24" s="205"/>
      <c r="AU24" s="206"/>
      <c r="AV24" s="207"/>
      <c r="AW24" s="208"/>
      <c r="AX24" s="208"/>
      <c r="AY24" s="208"/>
      <c r="AZ24" s="206"/>
    </row>
    <row r="25" spans="1:53" s="115" customFormat="1" ht="178.5" x14ac:dyDescent="0.25">
      <c r="A25" s="425">
        <f>1+A22</f>
        <v>7</v>
      </c>
      <c r="B25" s="457" t="s">
        <v>306</v>
      </c>
      <c r="C25" s="452" t="s">
        <v>307</v>
      </c>
      <c r="D25" s="452" t="s">
        <v>308</v>
      </c>
      <c r="E25" s="450" t="s">
        <v>120</v>
      </c>
      <c r="F25" s="454" t="s">
        <v>310</v>
      </c>
      <c r="G25" s="450" t="s">
        <v>311</v>
      </c>
      <c r="H25" s="432" t="s">
        <v>309</v>
      </c>
      <c r="I25" s="450" t="s">
        <v>218</v>
      </c>
      <c r="J25" s="443">
        <v>12</v>
      </c>
      <c r="K25" s="445" t="str">
        <f>IF(J25&lt;=0,"",IF(J25&lt;=2,"Muy Baja",IF(J25&lt;=24,"Baja",IF(J25&lt;=500,"Media",IF(J25&lt;=5000,"Alta","Muy Alta")))))</f>
        <v>Baja</v>
      </c>
      <c r="L25" s="437">
        <f>IF(K25="","",IF(K25="Muy Baja",0.2,IF(K25="Baja",0.4,IF(K25="Media",0.6,IF(K25="Alta",0.8,IF(K25="Muy Alta",1,))))))</f>
        <v>0.4</v>
      </c>
      <c r="M25" s="448" t="s">
        <v>257</v>
      </c>
      <c r="N25" s="181" t="str">
        <f ca="1">IF(NOT(ISERROR(MATCH(M25,'Tabla Impacto'!$B$221:$B$223,0))),'Tabla Impacto'!$F$223&amp;"Por favor no seleccionar los criterios de impacto(Afectación Económica o presupuestal y Pérdida Reputacional)",M25)</f>
        <v xml:space="preserve"> El riesgo afecta la imagen de la entidad con efecto publicitario sostenido a nivel de sector administrativo, nivel departamental o municipal</v>
      </c>
      <c r="O25" s="445" t="str">
        <f ca="1">IF(OR(N25='Tabla Impacto'!$C$11,N25='Tabla Impacto'!$D$11),"Leve",IF(OR(N25='Tabla Impacto'!$C$12,N25='Tabla Impacto'!$D$12),"Menor",IF(OR(N25='Tabla Impacto'!$C$13,N25='Tabla Impacto'!$D$13),"Moderado",IF(OR(N25='Tabla Impacto'!$C$14,N25='Tabla Impacto'!$D$14),"Mayor",IF(OR(N25='Tabla Impacto'!$C$15,N25='Tabla Impacto'!$D$15),"Catastrófico","")))))</f>
        <v>Mayor</v>
      </c>
      <c r="P25" s="437">
        <f ca="1">IF(O25="","",IF(O25="Leve",0.2,IF(O25="Menor",0.4,IF(O25="Moderado",0.6,IF(O25="Mayor",0.8,IF(O25="Catastrófico",1,))))))</f>
        <v>0.8</v>
      </c>
      <c r="Q25" s="440" t="str">
        <f ca="1">IF(OR(AND(K25="Muy Baja",O25="Leve"),AND(K25="Muy Baja",O25="Menor"),AND(K25="Baja",O25="Leve")),"Bajo",IF(OR(AND(K25="Muy baja",O25="Moderado"),AND(K25="Baja",O25="Menor"),AND(K25="Baja",O25="Moderado"),AND(K25="Media",O25="Leve"),AND(K25="Media",O25="Menor"),AND(K25="Media",O25="Moderado"),AND(K25="Alta",O25="Leve"),AND(K25="Alta",O25="Menor")),"Moderado",IF(OR(AND(K25="Muy Baja",O25="Mayor"),AND(K25="Baja",O25="Mayor"),AND(K25="Media",O25="Mayor"),AND(K25="Alta",O25="Moderado"),AND(K25="Alta",O25="Mayor"),AND(K25="Muy Alta",O25="Leve"),AND(K25="Muy Alta",O25="Menor"),AND(K25="Muy Alta",O25="Moderado"),AND(K25="Muy Alta",O25="Mayor")),"Alto",IF(OR(AND(K25="Muy Baja",O25="Catastrófico"),AND(K25="Baja",O25="Catastrófico"),AND(K25="Media",O25="Catastrófico"),AND(K25="Alta",O25="Catastrófico"),AND(K25="Muy Alta",O25="Catastrófico")),"Extremo",""))))</f>
        <v>Alto</v>
      </c>
      <c r="R25" s="94">
        <v>1</v>
      </c>
      <c r="S25" s="79" t="s">
        <v>312</v>
      </c>
      <c r="T25" s="95" t="str">
        <f t="shared" si="5"/>
        <v>Probabilidad</v>
      </c>
      <c r="U25" s="96" t="s">
        <v>14</v>
      </c>
      <c r="V25" s="96" t="s">
        <v>9</v>
      </c>
      <c r="W25" s="97" t="str">
        <f t="shared" si="6"/>
        <v>40%</v>
      </c>
      <c r="X25" s="96" t="s">
        <v>20</v>
      </c>
      <c r="Y25" s="96" t="s">
        <v>22</v>
      </c>
      <c r="Z25" s="96" t="s">
        <v>111</v>
      </c>
      <c r="AA25" s="98">
        <f>IFERROR(IF(T25="Probabilidad",(L25-(+L25*W25)),IF(T25="Impacto",L25,"")),"")</f>
        <v>0.24</v>
      </c>
      <c r="AB25" s="99" t="str">
        <f t="shared" si="7"/>
        <v>Baja</v>
      </c>
      <c r="AC25" s="100">
        <f t="shared" si="8"/>
        <v>0.24</v>
      </c>
      <c r="AD25" s="99" t="str">
        <f t="shared" ca="1" si="9"/>
        <v>Mayor</v>
      </c>
      <c r="AE25" s="100">
        <f t="shared" ca="1" si="10"/>
        <v>0.8</v>
      </c>
      <c r="AF25" s="101" t="str">
        <f t="shared" ca="1" si="11"/>
        <v>Alto</v>
      </c>
      <c r="AG25" s="102" t="s">
        <v>122</v>
      </c>
      <c r="AH25" s="85" t="s">
        <v>313</v>
      </c>
      <c r="AI25" s="107" t="s">
        <v>297</v>
      </c>
      <c r="AJ25" s="93" t="s">
        <v>205</v>
      </c>
      <c r="AK25" s="93" t="s">
        <v>206</v>
      </c>
      <c r="AL25" s="85" t="s">
        <v>315</v>
      </c>
      <c r="AM25" s="92"/>
      <c r="AO25" s="245" t="s">
        <v>662</v>
      </c>
      <c r="AP25" s="245" t="s">
        <v>663</v>
      </c>
      <c r="AQ25" s="247">
        <v>1</v>
      </c>
      <c r="AR25" s="245" t="s">
        <v>664</v>
      </c>
      <c r="AS25" s="245" t="s">
        <v>665</v>
      </c>
      <c r="AT25" s="249">
        <v>0.2</v>
      </c>
      <c r="AU25" s="245"/>
      <c r="AV25" s="250" t="s">
        <v>582</v>
      </c>
      <c r="AW25" s="248" t="s">
        <v>583</v>
      </c>
      <c r="AX25" s="248" t="s">
        <v>583</v>
      </c>
      <c r="AY25" s="245" t="s">
        <v>583</v>
      </c>
      <c r="AZ25" s="230" t="s">
        <v>593</v>
      </c>
    </row>
    <row r="26" spans="1:53" s="115" customFormat="1" ht="150" customHeight="1" x14ac:dyDescent="0.25">
      <c r="A26" s="425"/>
      <c r="B26" s="458"/>
      <c r="C26" s="453"/>
      <c r="D26" s="455"/>
      <c r="E26" s="451"/>
      <c r="F26" s="451"/>
      <c r="G26" s="451"/>
      <c r="H26" s="433"/>
      <c r="I26" s="451"/>
      <c r="J26" s="444"/>
      <c r="K26" s="446"/>
      <c r="L26" s="438"/>
      <c r="M26" s="449"/>
      <c r="N26" s="182"/>
      <c r="O26" s="446"/>
      <c r="P26" s="438"/>
      <c r="Q26" s="441"/>
      <c r="R26" s="94">
        <v>2</v>
      </c>
      <c r="S26" s="210"/>
      <c r="T26" s="211"/>
      <c r="U26" s="223"/>
      <c r="V26" s="223"/>
      <c r="W26" s="222"/>
      <c r="X26" s="223"/>
      <c r="Y26" s="223"/>
      <c r="Z26" s="223"/>
      <c r="AA26" s="224"/>
      <c r="AB26" s="225"/>
      <c r="AC26" s="226"/>
      <c r="AD26" s="225"/>
      <c r="AE26" s="226"/>
      <c r="AF26" s="227"/>
      <c r="AG26" s="228"/>
      <c r="AH26" s="210"/>
      <c r="AI26" s="211"/>
      <c r="AJ26" s="229"/>
      <c r="AK26" s="229"/>
      <c r="AL26" s="210"/>
      <c r="AM26" s="211"/>
      <c r="AO26" s="206"/>
      <c r="AP26" s="206"/>
      <c r="AQ26" s="206"/>
      <c r="AR26" s="206"/>
      <c r="AS26" s="206"/>
      <c r="AT26" s="206"/>
      <c r="AU26" s="206"/>
      <c r="AV26" s="206"/>
      <c r="AW26" s="206"/>
      <c r="AX26" s="206"/>
      <c r="AY26" s="206"/>
      <c r="AZ26" s="206"/>
    </row>
    <row r="27" spans="1:53" s="115" customFormat="1" ht="151.5" customHeight="1" x14ac:dyDescent="0.25">
      <c r="A27" s="425"/>
      <c r="B27" s="459"/>
      <c r="C27" s="453"/>
      <c r="D27" s="455"/>
      <c r="E27" s="451"/>
      <c r="F27" s="451"/>
      <c r="G27" s="451"/>
      <c r="H27" s="433"/>
      <c r="I27" s="451"/>
      <c r="J27" s="444"/>
      <c r="K27" s="447"/>
      <c r="L27" s="439"/>
      <c r="M27" s="449"/>
      <c r="N27" s="182"/>
      <c r="O27" s="447"/>
      <c r="P27" s="439"/>
      <c r="Q27" s="442"/>
      <c r="R27" s="94">
        <v>3</v>
      </c>
      <c r="S27" s="79"/>
      <c r="T27" s="95" t="str">
        <f t="shared" si="5"/>
        <v/>
      </c>
      <c r="U27" s="96"/>
      <c r="V27" s="96"/>
      <c r="W27" s="97"/>
      <c r="X27" s="96"/>
      <c r="Y27" s="96"/>
      <c r="Z27" s="96"/>
      <c r="AA27" s="98" t="str">
        <f>IFERROR(IF(T27="Probabilidad",(AA26-(+AA26*W27)),IF(T27="Impacto",L27,"")),"")</f>
        <v/>
      </c>
      <c r="AB27" s="99" t="str">
        <f t="shared" si="7"/>
        <v/>
      </c>
      <c r="AC27" s="100" t="str">
        <f t="shared" si="8"/>
        <v/>
      </c>
      <c r="AD27" s="99" t="str">
        <f t="shared" si="9"/>
        <v/>
      </c>
      <c r="AE27" s="100" t="str">
        <f t="shared" si="10"/>
        <v/>
      </c>
      <c r="AF27" s="101" t="str">
        <f t="shared" si="11"/>
        <v/>
      </c>
      <c r="AG27" s="102"/>
      <c r="AH27" s="79"/>
      <c r="AI27" s="92"/>
      <c r="AJ27" s="103"/>
      <c r="AK27" s="103"/>
      <c r="AL27" s="79"/>
      <c r="AM27" s="92"/>
      <c r="AO27" s="204"/>
      <c r="AP27" s="204"/>
      <c r="AQ27" s="205"/>
      <c r="AR27" s="204"/>
      <c r="AS27" s="204"/>
      <c r="AT27" s="205"/>
      <c r="AU27" s="206"/>
      <c r="AV27" s="207"/>
      <c r="AW27" s="208"/>
      <c r="AX27" s="208"/>
      <c r="AY27" s="208"/>
      <c r="AZ27" s="206"/>
    </row>
    <row r="28" spans="1:53" s="115" customFormat="1" ht="140.25" x14ac:dyDescent="0.25">
      <c r="A28" s="425">
        <f>1+A25</f>
        <v>8</v>
      </c>
      <c r="B28" s="457" t="s">
        <v>316</v>
      </c>
      <c r="C28" s="452" t="s">
        <v>317</v>
      </c>
      <c r="D28" s="452" t="s">
        <v>318</v>
      </c>
      <c r="E28" s="450" t="s">
        <v>118</v>
      </c>
      <c r="F28" s="450" t="s">
        <v>319</v>
      </c>
      <c r="G28" s="450" t="s">
        <v>320</v>
      </c>
      <c r="H28" s="432" t="s">
        <v>422</v>
      </c>
      <c r="I28" s="450" t="s">
        <v>115</v>
      </c>
      <c r="J28" s="443">
        <v>24</v>
      </c>
      <c r="K28" s="445" t="str">
        <f>IF(J28&lt;=0,"",IF(J28&lt;=2,"Muy Baja",IF(J28&lt;=24,"Baja",IF(J28&lt;=500,"Media",IF(J28&lt;=5000,"Alta","Muy Alta")))))</f>
        <v>Baja</v>
      </c>
      <c r="L28" s="437">
        <f>IF(K28="","",IF(K28="Muy Baja",0.2,IF(K28="Baja",0.4,IF(K28="Media",0.6,IF(K28="Alta",0.8,IF(K28="Muy Alta",1,))))))</f>
        <v>0.4</v>
      </c>
      <c r="M28" s="448" t="s">
        <v>250</v>
      </c>
      <c r="N28" s="181" t="str">
        <f ca="1">IF(NOT(ISERROR(MATCH(M28,'Tabla Impacto'!$B$221:$B$223,0))),'Tabla Impacto'!$F$223&amp;"Por favor no seleccionar los criterios de impacto(Afectación Económica o presupuestal y Pérdida Reputacional)",M28)</f>
        <v xml:space="preserve"> El riesgo afecta la imagen de la entidad con algunos usuarios de relevancia frente al logro de los objetivos</v>
      </c>
      <c r="O28" s="445" t="str">
        <f ca="1">IF(OR(N28='Tabla Impacto'!$C$11,N28='Tabla Impacto'!$D$11),"Leve",IF(OR(N28='Tabla Impacto'!$C$12,N28='Tabla Impacto'!$D$12),"Menor",IF(OR(N28='Tabla Impacto'!$C$13,N28='Tabla Impacto'!$D$13),"Moderado",IF(OR(N28='Tabla Impacto'!$C$14,N28='Tabla Impacto'!$D$14),"Mayor",IF(OR(N28='Tabla Impacto'!$C$15,N28='Tabla Impacto'!$D$15),"Catastrófico","")))))</f>
        <v>Moderado</v>
      </c>
      <c r="P28" s="437">
        <f ca="1">IF(O28="","",IF(O28="Leve",0.2,IF(O28="Menor",0.4,IF(O28="Moderado",0.6,IF(O28="Mayor",0.8,IF(O28="Catastrófico",1,))))))</f>
        <v>0.6</v>
      </c>
      <c r="Q28" s="440" t="str">
        <f ca="1">IF(OR(AND(K28="Muy Baja",O28="Leve"),AND(K28="Muy Baja",O28="Menor"),AND(K28="Baja",O28="Leve")),"Bajo",IF(OR(AND(K28="Muy baja",O28="Moderado"),AND(K28="Baja",O28="Menor"),AND(K28="Baja",O28="Moderado"),AND(K28="Media",O28="Leve"),AND(K28="Media",O28="Menor"),AND(K28="Media",O28="Moderado"),AND(K28="Alta",O28="Leve"),AND(K28="Alta",O28="Menor")),"Moderado",IF(OR(AND(K28="Muy Baja",O28="Mayor"),AND(K28="Baja",O28="Mayor"),AND(K28="Media",O28="Mayor"),AND(K28="Alta",O28="Moderado"),AND(K28="Alta",O28="Mayor"),AND(K28="Muy Alta",O28="Leve"),AND(K28="Muy Alta",O28="Menor"),AND(K28="Muy Alta",O28="Moderado"),AND(K28="Muy Alta",O28="Mayor")),"Alto",IF(OR(AND(K28="Muy Baja",O28="Catastrófico"),AND(K28="Baja",O28="Catastrófico"),AND(K28="Media",O28="Catastrófico"),AND(K28="Alta",O28="Catastrófico"),AND(K28="Muy Alta",O28="Catastrófico")),"Extremo",""))))</f>
        <v>Moderado</v>
      </c>
      <c r="R28" s="94">
        <v>1</v>
      </c>
      <c r="S28" s="85" t="s">
        <v>525</v>
      </c>
      <c r="T28" s="95" t="str">
        <f t="shared" si="5"/>
        <v>Probabilidad</v>
      </c>
      <c r="U28" s="96" t="s">
        <v>14</v>
      </c>
      <c r="V28" s="96" t="s">
        <v>9</v>
      </c>
      <c r="W28" s="97" t="str">
        <f t="shared" si="6"/>
        <v>40%</v>
      </c>
      <c r="X28" s="96" t="s">
        <v>19</v>
      </c>
      <c r="Y28" s="96" t="s">
        <v>22</v>
      </c>
      <c r="Z28" s="96" t="s">
        <v>110</v>
      </c>
      <c r="AA28" s="98">
        <f>IFERROR(IF(T28="Probabilidad",(L28-(+L28*W28)),IF(T28="Impacto",L28,"")),"")</f>
        <v>0.24</v>
      </c>
      <c r="AB28" s="99" t="str">
        <f t="shared" si="7"/>
        <v>Baja</v>
      </c>
      <c r="AC28" s="100">
        <f t="shared" si="8"/>
        <v>0.24</v>
      </c>
      <c r="AD28" s="99" t="str">
        <f t="shared" ca="1" si="9"/>
        <v>Moderado</v>
      </c>
      <c r="AE28" s="100">
        <f t="shared" ca="1" si="10"/>
        <v>0.6</v>
      </c>
      <c r="AF28" s="101" t="str">
        <f t="shared" ca="1" si="11"/>
        <v>Moderado</v>
      </c>
      <c r="AG28" s="102" t="s">
        <v>122</v>
      </c>
      <c r="AH28" s="79" t="s">
        <v>423</v>
      </c>
      <c r="AI28" s="92" t="s">
        <v>197</v>
      </c>
      <c r="AJ28" s="93" t="s">
        <v>205</v>
      </c>
      <c r="AK28" s="93" t="s">
        <v>206</v>
      </c>
      <c r="AL28" s="85" t="s">
        <v>526</v>
      </c>
      <c r="AM28" s="92"/>
      <c r="AO28" s="251" t="s">
        <v>605</v>
      </c>
      <c r="AP28" s="251" t="s">
        <v>606</v>
      </c>
      <c r="AQ28" s="240">
        <v>1</v>
      </c>
      <c r="AR28" s="208" t="s">
        <v>607</v>
      </c>
      <c r="AS28" s="238" t="s">
        <v>608</v>
      </c>
      <c r="AT28" s="240">
        <v>1</v>
      </c>
      <c r="AU28" s="251"/>
      <c r="AV28" s="207" t="s">
        <v>582</v>
      </c>
      <c r="AW28" s="236" t="s">
        <v>583</v>
      </c>
      <c r="AX28" s="236" t="s">
        <v>583</v>
      </c>
      <c r="AY28" s="236" t="s">
        <v>583</v>
      </c>
      <c r="AZ28" s="230" t="s">
        <v>593</v>
      </c>
    </row>
    <row r="29" spans="1:53" s="115" customFormat="1" ht="182.25" customHeight="1" x14ac:dyDescent="0.25">
      <c r="A29" s="425"/>
      <c r="B29" s="458"/>
      <c r="C29" s="453"/>
      <c r="D29" s="455"/>
      <c r="E29" s="451"/>
      <c r="F29" s="451"/>
      <c r="G29" s="451"/>
      <c r="H29" s="433"/>
      <c r="I29" s="451"/>
      <c r="J29" s="444"/>
      <c r="K29" s="446"/>
      <c r="L29" s="438"/>
      <c r="M29" s="449"/>
      <c r="N29" s="182"/>
      <c r="O29" s="446"/>
      <c r="P29" s="438"/>
      <c r="Q29" s="441"/>
      <c r="R29" s="94">
        <v>2</v>
      </c>
      <c r="S29" s="85"/>
      <c r="T29" s="95" t="str">
        <f t="shared" si="5"/>
        <v/>
      </c>
      <c r="U29" s="96"/>
      <c r="V29" s="96"/>
      <c r="W29" s="97" t="str">
        <f t="shared" si="6"/>
        <v/>
      </c>
      <c r="X29" s="96"/>
      <c r="Y29" s="96"/>
      <c r="Z29" s="96"/>
      <c r="AA29" s="98" t="str">
        <f t="shared" ref="AA29:AA36" si="19">IFERROR(IF(T29="Probabilidad",(AA28-(+AA28*W29)),IF(T29="Impacto",L29,"")),"")</f>
        <v/>
      </c>
      <c r="AB29" s="99" t="str">
        <f t="shared" si="7"/>
        <v/>
      </c>
      <c r="AC29" s="100" t="str">
        <f t="shared" si="8"/>
        <v/>
      </c>
      <c r="AD29" s="99" t="str">
        <f t="shared" si="9"/>
        <v/>
      </c>
      <c r="AE29" s="100" t="str">
        <f t="shared" si="10"/>
        <v/>
      </c>
      <c r="AF29" s="101" t="str">
        <f t="shared" si="11"/>
        <v/>
      </c>
      <c r="AG29" s="102"/>
      <c r="AH29" s="85" t="s">
        <v>321</v>
      </c>
      <c r="AI29" s="107" t="s">
        <v>193</v>
      </c>
      <c r="AJ29" s="93" t="s">
        <v>205</v>
      </c>
      <c r="AK29" s="93" t="s">
        <v>206</v>
      </c>
      <c r="AL29" s="85"/>
      <c r="AM29" s="92"/>
      <c r="AO29" s="251" t="s">
        <v>609</v>
      </c>
      <c r="AP29" s="251" t="s">
        <v>610</v>
      </c>
      <c r="AQ29" s="240">
        <v>1</v>
      </c>
      <c r="AR29" s="208" t="s">
        <v>611</v>
      </c>
      <c r="AS29" s="238" t="s">
        <v>612</v>
      </c>
      <c r="AT29" s="240">
        <v>1</v>
      </c>
      <c r="AU29" s="251"/>
      <c r="AV29" s="207" t="s">
        <v>582</v>
      </c>
      <c r="AW29" s="236" t="s">
        <v>583</v>
      </c>
      <c r="AX29" s="236" t="s">
        <v>583</v>
      </c>
      <c r="AY29" s="236" t="s">
        <v>583</v>
      </c>
      <c r="AZ29" s="230" t="s">
        <v>593</v>
      </c>
    </row>
    <row r="30" spans="1:53" s="115" customFormat="1" ht="151.5" customHeight="1" x14ac:dyDescent="0.25">
      <c r="A30" s="425"/>
      <c r="B30" s="459"/>
      <c r="C30" s="453"/>
      <c r="D30" s="455"/>
      <c r="E30" s="451"/>
      <c r="F30" s="451"/>
      <c r="G30" s="451"/>
      <c r="H30" s="433"/>
      <c r="I30" s="451"/>
      <c r="J30" s="444"/>
      <c r="K30" s="447"/>
      <c r="L30" s="439"/>
      <c r="M30" s="449"/>
      <c r="N30" s="182"/>
      <c r="O30" s="447"/>
      <c r="P30" s="439"/>
      <c r="Q30" s="442"/>
      <c r="R30" s="94">
        <v>3</v>
      </c>
      <c r="S30" s="79"/>
      <c r="T30" s="95" t="str">
        <f t="shared" si="5"/>
        <v/>
      </c>
      <c r="U30" s="96"/>
      <c r="V30" s="96"/>
      <c r="W30" s="97"/>
      <c r="X30" s="96"/>
      <c r="Y30" s="96"/>
      <c r="Z30" s="96"/>
      <c r="AA30" s="98" t="str">
        <f t="shared" si="19"/>
        <v/>
      </c>
      <c r="AB30" s="99" t="str">
        <f t="shared" si="7"/>
        <v/>
      </c>
      <c r="AC30" s="100" t="str">
        <f t="shared" si="8"/>
        <v/>
      </c>
      <c r="AD30" s="99" t="str">
        <f t="shared" si="9"/>
        <v/>
      </c>
      <c r="AE30" s="100" t="str">
        <f t="shared" si="10"/>
        <v/>
      </c>
      <c r="AF30" s="101" t="str">
        <f t="shared" si="11"/>
        <v/>
      </c>
      <c r="AG30" s="102"/>
      <c r="AH30" s="79"/>
      <c r="AI30" s="92"/>
      <c r="AJ30" s="103"/>
      <c r="AK30" s="103"/>
      <c r="AL30" s="79"/>
      <c r="AM30" s="92"/>
      <c r="AO30" s="204"/>
      <c r="AP30" s="204"/>
      <c r="AQ30" s="205"/>
      <c r="AR30" s="204"/>
      <c r="AS30" s="204"/>
      <c r="AT30" s="205"/>
      <c r="AU30" s="206"/>
      <c r="AV30" s="207"/>
      <c r="AW30" s="208"/>
      <c r="AX30" s="208"/>
      <c r="AY30" s="208"/>
      <c r="AZ30" s="231"/>
    </row>
    <row r="31" spans="1:53" s="115" customFormat="1" ht="140.25" x14ac:dyDescent="0.25">
      <c r="A31" s="425">
        <f>1+A28</f>
        <v>9</v>
      </c>
      <c r="B31" s="457" t="s">
        <v>316</v>
      </c>
      <c r="C31" s="452" t="s">
        <v>317</v>
      </c>
      <c r="D31" s="452" t="s">
        <v>318</v>
      </c>
      <c r="E31" s="450" t="s">
        <v>120</v>
      </c>
      <c r="F31" s="456" t="s">
        <v>544</v>
      </c>
      <c r="G31" s="432" t="s">
        <v>545</v>
      </c>
      <c r="H31" s="432" t="s">
        <v>546</v>
      </c>
      <c r="I31" s="450" t="s">
        <v>117</v>
      </c>
      <c r="J31" s="443">
        <v>24</v>
      </c>
      <c r="K31" s="445" t="str">
        <f>IF(J31&lt;=0,"",IF(J31&lt;=2,"Muy Baja",IF(J31&lt;=24,"Baja",IF(J31&lt;=500,"Media",IF(J31&lt;=5000,"Alta","Muy Alta")))))</f>
        <v>Baja</v>
      </c>
      <c r="L31" s="437">
        <f>IF(K31="","",IF(K31="Muy Baja",0.2,IF(K31="Baja",0.4,IF(K31="Media",0.6,IF(K31="Alta",0.8,IF(K31="Muy Alta",1,))))))</f>
        <v>0.4</v>
      </c>
      <c r="M31" s="448" t="s">
        <v>250</v>
      </c>
      <c r="N31" s="181" t="str">
        <f ca="1">IF(NOT(ISERROR(MATCH(M31,'Tabla Impacto'!$B$221:$B$223,0))),'Tabla Impacto'!$F$223&amp;"Por favor no seleccionar los criterios de impacto(Afectación Económica o presupuestal y Pérdida Reputacional)",M31)</f>
        <v xml:space="preserve"> El riesgo afecta la imagen de la entidad con algunos usuarios de relevancia frente al logro de los objetivos</v>
      </c>
      <c r="O31" s="445" t="str">
        <f ca="1">IF(OR(N31='Tabla Impacto'!$C$11,N31='Tabla Impacto'!$D$11),"Leve",IF(OR(N31='Tabla Impacto'!$C$12,N31='Tabla Impacto'!$D$12),"Menor",IF(OR(N31='Tabla Impacto'!$C$13,N31='Tabla Impacto'!$D$13),"Moderado",IF(OR(N31='Tabla Impacto'!$C$14,N31='Tabla Impacto'!$D$14),"Mayor",IF(OR(N31='Tabla Impacto'!$C$15,N31='Tabla Impacto'!$D$15),"Catastrófico","")))))</f>
        <v>Moderado</v>
      </c>
      <c r="P31" s="437">
        <f ca="1">IF(O31="","",IF(O31="Leve",0.2,IF(O31="Menor",0.4,IF(O31="Moderado",0.6,IF(O31="Mayor",0.8,IF(O31="Catastrófico",1,))))))</f>
        <v>0.6</v>
      </c>
      <c r="Q31" s="440" t="str">
        <f ca="1">IF(OR(AND(K31="Muy Baja",O31="Leve"),AND(K31="Muy Baja",O31="Menor"),AND(K31="Baja",O31="Leve")),"Bajo",IF(OR(AND(K31="Muy baja",O31="Moderado"),AND(K31="Baja",O31="Menor"),AND(K31="Baja",O31="Moderado"),AND(K31="Media",O31="Leve"),AND(K31="Media",O31="Menor"),AND(K31="Media",O31="Moderado"),AND(K31="Alta",O31="Leve"),AND(K31="Alta",O31="Menor")),"Moderado",IF(OR(AND(K31="Muy Baja",O31="Mayor"),AND(K31="Baja",O31="Mayor"),AND(K31="Media",O31="Mayor"),AND(K31="Alta",O31="Moderado"),AND(K31="Alta",O31="Mayor"),AND(K31="Muy Alta",O31="Leve"),AND(K31="Muy Alta",O31="Menor"),AND(K31="Muy Alta",O31="Moderado"),AND(K31="Muy Alta",O31="Mayor")),"Alto",IF(OR(AND(K31="Muy Baja",O31="Catastrófico"),AND(K31="Baja",O31="Catastrófico"),AND(K31="Media",O31="Catastrófico"),AND(K31="Alta",O31="Catastrófico"),AND(K31="Muy Alta",O31="Catastrófico")),"Extremo",""))))</f>
        <v>Moderado</v>
      </c>
      <c r="R31" s="94">
        <v>1</v>
      </c>
      <c r="S31" s="79" t="s">
        <v>548</v>
      </c>
      <c r="T31" s="95" t="str">
        <f t="shared" si="5"/>
        <v>Probabilidad</v>
      </c>
      <c r="U31" s="96" t="s">
        <v>14</v>
      </c>
      <c r="V31" s="96" t="s">
        <v>9</v>
      </c>
      <c r="W31" s="97" t="str">
        <f t="shared" si="6"/>
        <v>40%</v>
      </c>
      <c r="X31" s="96" t="s">
        <v>19</v>
      </c>
      <c r="Y31" s="96" t="s">
        <v>22</v>
      </c>
      <c r="Z31" s="96" t="s">
        <v>110</v>
      </c>
      <c r="AA31" s="98">
        <f>IFERROR(IF(T31="Probabilidad",(L31-(+L31*W31)),IF(T31="Impacto",L31,"")),"")</f>
        <v>0.24</v>
      </c>
      <c r="AB31" s="99" t="str">
        <f t="shared" si="7"/>
        <v>Baja</v>
      </c>
      <c r="AC31" s="100">
        <f t="shared" si="8"/>
        <v>0.24</v>
      </c>
      <c r="AD31" s="99" t="str">
        <f t="shared" ca="1" si="9"/>
        <v>Moderado</v>
      </c>
      <c r="AE31" s="100">
        <f t="shared" ca="1" si="10"/>
        <v>0.6</v>
      </c>
      <c r="AF31" s="101" t="str">
        <f t="shared" ca="1" si="11"/>
        <v>Moderado</v>
      </c>
      <c r="AG31" s="102" t="s">
        <v>122</v>
      </c>
      <c r="AH31" s="85" t="s">
        <v>547</v>
      </c>
      <c r="AI31" s="107" t="s">
        <v>197</v>
      </c>
      <c r="AJ31" s="93" t="s">
        <v>205</v>
      </c>
      <c r="AK31" s="93" t="s">
        <v>206</v>
      </c>
      <c r="AL31" s="85" t="s">
        <v>527</v>
      </c>
      <c r="AM31" s="92"/>
      <c r="AO31" s="251" t="s">
        <v>613</v>
      </c>
      <c r="AP31" s="252" t="s">
        <v>583</v>
      </c>
      <c r="AQ31" s="252" t="s">
        <v>583</v>
      </c>
      <c r="AR31" s="208" t="s">
        <v>614</v>
      </c>
      <c r="AS31" s="252" t="s">
        <v>583</v>
      </c>
      <c r="AT31" s="252" t="s">
        <v>583</v>
      </c>
      <c r="AU31" s="251"/>
      <c r="AV31" s="207" t="s">
        <v>582</v>
      </c>
      <c r="AW31" s="236" t="s">
        <v>583</v>
      </c>
      <c r="AX31" s="236" t="s">
        <v>583</v>
      </c>
      <c r="AY31" s="236" t="s">
        <v>583</v>
      </c>
      <c r="AZ31" s="230" t="s">
        <v>615</v>
      </c>
    </row>
    <row r="32" spans="1:53" s="115" customFormat="1" ht="151.5" customHeight="1" x14ac:dyDescent="0.25">
      <c r="A32" s="425"/>
      <c r="B32" s="458"/>
      <c r="C32" s="453"/>
      <c r="D32" s="455"/>
      <c r="E32" s="451"/>
      <c r="F32" s="433"/>
      <c r="G32" s="433"/>
      <c r="H32" s="433"/>
      <c r="I32" s="451"/>
      <c r="J32" s="444"/>
      <c r="K32" s="446"/>
      <c r="L32" s="438"/>
      <c r="M32" s="449"/>
      <c r="N32" s="182"/>
      <c r="O32" s="446"/>
      <c r="P32" s="438"/>
      <c r="Q32" s="441"/>
      <c r="R32" s="94">
        <v>2</v>
      </c>
      <c r="S32" s="79"/>
      <c r="T32" s="95" t="str">
        <f t="shared" si="5"/>
        <v/>
      </c>
      <c r="U32" s="96"/>
      <c r="V32" s="96"/>
      <c r="W32" s="97" t="str">
        <f t="shared" si="6"/>
        <v/>
      </c>
      <c r="X32" s="96"/>
      <c r="Y32" s="96"/>
      <c r="Z32" s="96"/>
      <c r="AA32" s="98" t="str">
        <f t="shared" si="19"/>
        <v/>
      </c>
      <c r="AB32" s="99" t="str">
        <f t="shared" si="7"/>
        <v/>
      </c>
      <c r="AC32" s="100" t="str">
        <f t="shared" si="8"/>
        <v/>
      </c>
      <c r="AD32" s="99" t="str">
        <f t="shared" ref="AD32:AD34" si="20">IFERROR(IF(AE32="","",IF(AE32&lt;=0.2,"Leve",IF(AE32&lt;=0.4,"Menor",IF(AE32&lt;=0.6,"Moderado",IF(AE32&lt;=0.8,"Mayor","Catastrófico"))))),"")</f>
        <v/>
      </c>
      <c r="AE32" s="100" t="str">
        <f t="shared" ref="AE32:AE34" si="21">IFERROR(IF(T32="Impacto",(P32-(+P32*W32)),IF(T32="Probabilidad",P32,"")),"")</f>
        <v/>
      </c>
      <c r="AF32" s="101" t="str">
        <f t="shared" si="11"/>
        <v/>
      </c>
      <c r="AG32" s="102"/>
      <c r="AH32" s="85"/>
      <c r="AI32" s="107"/>
      <c r="AJ32" s="93"/>
      <c r="AK32" s="93"/>
      <c r="AL32" s="85"/>
      <c r="AM32" s="92"/>
      <c r="AO32" s="204"/>
      <c r="AP32" s="204"/>
      <c r="AQ32" s="205"/>
      <c r="AR32" s="204"/>
      <c r="AS32" s="204"/>
      <c r="AT32" s="205"/>
      <c r="AU32" s="206"/>
      <c r="AV32" s="207"/>
      <c r="AW32" s="208"/>
      <c r="AX32" s="208"/>
      <c r="AY32" s="208"/>
      <c r="AZ32" s="231"/>
    </row>
    <row r="33" spans="1:52" s="115" customFormat="1" ht="151.5" customHeight="1" x14ac:dyDescent="0.25">
      <c r="A33" s="425"/>
      <c r="B33" s="459"/>
      <c r="C33" s="453"/>
      <c r="D33" s="455"/>
      <c r="E33" s="451"/>
      <c r="F33" s="433"/>
      <c r="G33" s="433"/>
      <c r="H33" s="433"/>
      <c r="I33" s="451"/>
      <c r="J33" s="444"/>
      <c r="K33" s="447"/>
      <c r="L33" s="439"/>
      <c r="M33" s="449"/>
      <c r="N33" s="182"/>
      <c r="O33" s="447"/>
      <c r="P33" s="439"/>
      <c r="Q33" s="442"/>
      <c r="R33" s="94">
        <v>3</v>
      </c>
      <c r="S33" s="79"/>
      <c r="T33" s="95" t="str">
        <f t="shared" si="5"/>
        <v/>
      </c>
      <c r="U33" s="96"/>
      <c r="V33" s="96"/>
      <c r="W33" s="97" t="str">
        <f t="shared" si="6"/>
        <v/>
      </c>
      <c r="X33" s="96"/>
      <c r="Y33" s="96"/>
      <c r="Z33" s="96"/>
      <c r="AA33" s="98" t="str">
        <f t="shared" si="19"/>
        <v/>
      </c>
      <c r="AB33" s="99" t="str">
        <f t="shared" si="7"/>
        <v/>
      </c>
      <c r="AC33" s="100" t="str">
        <f t="shared" si="8"/>
        <v/>
      </c>
      <c r="AD33" s="99" t="str">
        <f t="shared" si="20"/>
        <v/>
      </c>
      <c r="AE33" s="100" t="str">
        <f t="shared" si="21"/>
        <v/>
      </c>
      <c r="AF33" s="101" t="str">
        <f t="shared" si="11"/>
        <v/>
      </c>
      <c r="AG33" s="102"/>
      <c r="AH33" s="85"/>
      <c r="AI33" s="107"/>
      <c r="AJ33" s="93"/>
      <c r="AK33" s="93"/>
      <c r="AL33" s="85"/>
      <c r="AM33" s="92"/>
      <c r="AO33" s="204"/>
      <c r="AP33" s="204"/>
      <c r="AQ33" s="205"/>
      <c r="AR33" s="204"/>
      <c r="AS33" s="204"/>
      <c r="AT33" s="205"/>
      <c r="AU33" s="206"/>
      <c r="AV33" s="207"/>
      <c r="AW33" s="208"/>
      <c r="AX33" s="208"/>
      <c r="AY33" s="208"/>
      <c r="AZ33" s="231"/>
    </row>
    <row r="34" spans="1:52" s="115" customFormat="1" ht="156.75" x14ac:dyDescent="0.25">
      <c r="A34" s="425">
        <f>1+A31</f>
        <v>10</v>
      </c>
      <c r="B34" s="457" t="s">
        <v>322</v>
      </c>
      <c r="C34" s="452" t="s">
        <v>323</v>
      </c>
      <c r="D34" s="452" t="s">
        <v>324</v>
      </c>
      <c r="E34" s="450" t="s">
        <v>118</v>
      </c>
      <c r="F34" s="450" t="s">
        <v>493</v>
      </c>
      <c r="G34" s="450" t="s">
        <v>496</v>
      </c>
      <c r="H34" s="432" t="s">
        <v>494</v>
      </c>
      <c r="I34" s="450" t="s">
        <v>117</v>
      </c>
      <c r="J34" s="443">
        <v>360</v>
      </c>
      <c r="K34" s="445" t="str">
        <f>IF(J34&lt;=0,"",IF(J34&lt;=2,"Muy Baja",IF(J34&lt;=24,"Baja",IF(J34&lt;=500,"Media",IF(J34&lt;=5000,"Alta","Muy Alta")))))</f>
        <v>Media</v>
      </c>
      <c r="L34" s="437">
        <f>IF(K34="","",IF(K34="Muy Baja",0.2,IF(K34="Baja",0.4,IF(K34="Media",0.6,IF(K34="Alta",0.8,IF(K34="Muy Alta",1,))))))</f>
        <v>0.6</v>
      </c>
      <c r="M34" s="448" t="s">
        <v>250</v>
      </c>
      <c r="N34" s="181" t="str">
        <f ca="1">IF(NOT(ISERROR(MATCH(M34,'Tabla Impacto'!$B$221:$B$223,0))),'Tabla Impacto'!$F$223&amp;"Por favor no seleccionar los criterios de impacto(Afectación Económica o presupuestal y Pérdida Reputacional)",M34)</f>
        <v xml:space="preserve"> El riesgo afecta la imagen de la entidad con algunos usuarios de relevancia frente al logro de los objetivos</v>
      </c>
      <c r="O34" s="445" t="str">
        <f ca="1">IF(OR(N34='Tabla Impacto'!$C$11,N34='Tabla Impacto'!$D$11),"Leve",IF(OR(N34='Tabla Impacto'!$C$12,N34='Tabla Impacto'!$D$12),"Menor",IF(OR(N34='Tabla Impacto'!$C$13,N34='Tabla Impacto'!$D$13),"Moderado",IF(OR(N34='Tabla Impacto'!$C$14,N34='Tabla Impacto'!$D$14),"Mayor",IF(OR(N34='Tabla Impacto'!$C$15,N34='Tabla Impacto'!$D$15),"Catastrófico","")))))</f>
        <v>Moderado</v>
      </c>
      <c r="P34" s="437">
        <f ca="1">IF(O34="","",IF(O34="Leve",0.2,IF(O34="Menor",0.4,IF(O34="Moderado",0.6,IF(O34="Mayor",0.8,IF(O34="Catastrófico",1,))))))</f>
        <v>0.6</v>
      </c>
      <c r="Q34" s="440" t="str">
        <f ca="1">IF(OR(AND(K34="Muy Baja",O34="Leve"),AND(K34="Muy Baja",O34="Menor"),AND(K34="Baja",O34="Leve")),"Bajo",IF(OR(AND(K34="Muy baja",O34="Moderado"),AND(K34="Baja",O34="Menor"),AND(K34="Baja",O34="Moderado"),AND(K34="Media",O34="Leve"),AND(K34="Media",O34="Menor"),AND(K34="Media",O34="Moderado"),AND(K34="Alta",O34="Leve"),AND(K34="Alta",O34="Menor")),"Moderado",IF(OR(AND(K34="Muy Baja",O34="Mayor"),AND(K34="Baja",O34="Mayor"),AND(K34="Media",O34="Mayor"),AND(K34="Alta",O34="Moderado"),AND(K34="Alta",O34="Mayor"),AND(K34="Muy Alta",O34="Leve"),AND(K34="Muy Alta",O34="Menor"),AND(K34="Muy Alta",O34="Moderado"),AND(K34="Muy Alta",O34="Mayor")),"Alto",IF(OR(AND(K34="Muy Baja",O34="Catastrófico"),AND(K34="Baja",O34="Catastrófico"),AND(K34="Media",O34="Catastrófico"),AND(K34="Alta",O34="Catastrófico"),AND(K34="Muy Alta",O34="Catastrófico")),"Extremo",""))))</f>
        <v>Moderado</v>
      </c>
      <c r="R34" s="94">
        <v>1</v>
      </c>
      <c r="S34" s="79" t="s">
        <v>495</v>
      </c>
      <c r="T34" s="95" t="str">
        <f t="shared" ref="T34:T36" si="22">IF(OR(U34="Preventivo",U34="Detectivo"),"Probabilidad",IF(U34="Correctivo","Impacto",""))</f>
        <v>Probabilidad</v>
      </c>
      <c r="U34" s="96" t="s">
        <v>15</v>
      </c>
      <c r="V34" s="96" t="s">
        <v>9</v>
      </c>
      <c r="W34" s="97" t="str">
        <f t="shared" ref="W34:W36" si="23">IF(AND(U34="Preventivo",V34="Automático"),"50%",IF(AND(U34="Preventivo",V34="Manual"),"40%",IF(AND(U34="Detectivo",V34="Automático"),"40%",IF(AND(U34="Detectivo",V34="Manual"),"30%",IF(AND(U34="Correctivo",V34="Automático"),"35%",IF(AND(U34="Correctivo",V34="Manual"),"25%",""))))))</f>
        <v>30%</v>
      </c>
      <c r="X34" s="96" t="s">
        <v>20</v>
      </c>
      <c r="Y34" s="96" t="s">
        <v>22</v>
      </c>
      <c r="Z34" s="96" t="s">
        <v>110</v>
      </c>
      <c r="AA34" s="98">
        <f>IFERROR(IF(T34="Probabilidad",(L34-(+L34*W34)),IF(T34="Impacto",L34,"")),"")</f>
        <v>0.42</v>
      </c>
      <c r="AB34" s="99" t="str">
        <f t="shared" ref="AB34:AB36" si="24">IFERROR(IF(AA34="","",IF(AA34&lt;=0.2,"Muy Baja",IF(AA34&lt;=0.4,"Baja",IF(AA34&lt;=0.6,"Media",IF(AA34&lt;=0.8,"Alta","Muy Alta"))))),"")</f>
        <v>Media</v>
      </c>
      <c r="AC34" s="100">
        <f t="shared" ref="AC34:AC36" si="25">+AA34</f>
        <v>0.42</v>
      </c>
      <c r="AD34" s="99" t="str">
        <f t="shared" ca="1" si="20"/>
        <v>Moderado</v>
      </c>
      <c r="AE34" s="100">
        <f t="shared" ca="1" si="21"/>
        <v>0.6</v>
      </c>
      <c r="AF34" s="101" t="str">
        <f t="shared" ref="AF34:AF36" ca="1" si="26">IFERROR(IF(OR(AND(AB34="Muy Baja",AD34="Leve"),AND(AB34="Muy Baja",AD34="Menor"),AND(AB34="Baja",AD34="Leve")),"Bajo",IF(OR(AND(AB34="Muy baja",AD34="Moderado"),AND(AB34="Baja",AD34="Menor"),AND(AB34="Baja",AD34="Moderado"),AND(AB34="Media",AD34="Leve"),AND(AB34="Media",AD34="Menor"),AND(AB34="Media",AD34="Moderado"),AND(AB34="Alta",AD34="Leve"),AND(AB34="Alta",AD34="Menor")),"Moderado",IF(OR(AND(AB34="Muy Baja",AD34="Mayor"),AND(AB34="Baja",AD34="Mayor"),AND(AB34="Media",AD34="Mayor"),AND(AB34="Alta",AD34="Moderado"),AND(AB34="Alta",AD34="Mayor"),AND(AB34="Muy Alta",AD34="Leve"),AND(AB34="Muy Alta",AD34="Menor"),AND(AB34="Muy Alta",AD34="Moderado"),AND(AB34="Muy Alta",AD34="Mayor")),"Alto",IF(OR(AND(AB34="Muy Baja",AD34="Catastrófico"),AND(AB34="Baja",AD34="Catastrófico"),AND(AB34="Media",AD34="Catastrófico"),AND(AB34="Alta",AD34="Catastrófico"),AND(AB34="Muy Alta",AD34="Catastrófico")),"Extremo","")))),"")</f>
        <v>Moderado</v>
      </c>
      <c r="AG34" s="102" t="s">
        <v>122</v>
      </c>
      <c r="AH34" s="85" t="s">
        <v>497</v>
      </c>
      <c r="AI34" s="107" t="s">
        <v>325</v>
      </c>
      <c r="AJ34" s="93" t="s">
        <v>205</v>
      </c>
      <c r="AK34" s="93" t="s">
        <v>206</v>
      </c>
      <c r="AL34" s="85" t="s">
        <v>483</v>
      </c>
      <c r="AM34" s="92"/>
      <c r="AO34" s="253" t="s">
        <v>666</v>
      </c>
      <c r="AP34" s="254" t="s">
        <v>667</v>
      </c>
      <c r="AQ34" s="255">
        <v>1</v>
      </c>
      <c r="AR34" s="253" t="s">
        <v>668</v>
      </c>
      <c r="AS34" s="254" t="s">
        <v>667</v>
      </c>
      <c r="AT34" s="254" t="s">
        <v>583</v>
      </c>
      <c r="AU34" s="253"/>
      <c r="AV34" s="254" t="s">
        <v>582</v>
      </c>
      <c r="AW34" s="254" t="s">
        <v>583</v>
      </c>
      <c r="AX34" s="254" t="s">
        <v>583</v>
      </c>
      <c r="AY34" s="256" t="s">
        <v>583</v>
      </c>
      <c r="AZ34" s="230" t="s">
        <v>593</v>
      </c>
    </row>
    <row r="35" spans="1:52" s="115" customFormat="1" ht="151.5" customHeight="1" x14ac:dyDescent="0.25">
      <c r="A35" s="425"/>
      <c r="B35" s="458"/>
      <c r="C35" s="453"/>
      <c r="D35" s="455"/>
      <c r="E35" s="451"/>
      <c r="F35" s="451"/>
      <c r="G35" s="451"/>
      <c r="H35" s="433"/>
      <c r="I35" s="451"/>
      <c r="J35" s="444"/>
      <c r="K35" s="446"/>
      <c r="L35" s="438"/>
      <c r="M35" s="449"/>
      <c r="N35" s="182"/>
      <c r="O35" s="446"/>
      <c r="P35" s="438"/>
      <c r="Q35" s="441"/>
      <c r="R35" s="94">
        <v>2</v>
      </c>
      <c r="S35" s="210"/>
      <c r="T35" s="211"/>
      <c r="U35" s="223"/>
      <c r="V35" s="223"/>
      <c r="W35" s="222"/>
      <c r="X35" s="223"/>
      <c r="Y35" s="223"/>
      <c r="Z35" s="223"/>
      <c r="AA35" s="224"/>
      <c r="AB35" s="225"/>
      <c r="AC35" s="226"/>
      <c r="AD35" s="225"/>
      <c r="AE35" s="226"/>
      <c r="AF35" s="227"/>
      <c r="AG35" s="228"/>
      <c r="AH35" s="210"/>
      <c r="AI35" s="211"/>
      <c r="AJ35" s="229"/>
      <c r="AK35" s="229"/>
      <c r="AL35" s="210"/>
      <c r="AM35" s="211"/>
      <c r="AO35" s="206"/>
      <c r="AP35" s="206"/>
      <c r="AQ35" s="206"/>
      <c r="AR35" s="206"/>
      <c r="AS35" s="206"/>
      <c r="AT35" s="206"/>
      <c r="AU35" s="206"/>
      <c r="AV35" s="206"/>
      <c r="AW35" s="206"/>
      <c r="AX35" s="206"/>
      <c r="AY35" s="206"/>
      <c r="AZ35" s="206"/>
    </row>
    <row r="36" spans="1:52" s="115" customFormat="1" ht="151.5" customHeight="1" x14ac:dyDescent="0.25">
      <c r="A36" s="425"/>
      <c r="B36" s="459"/>
      <c r="C36" s="453"/>
      <c r="D36" s="455"/>
      <c r="E36" s="451"/>
      <c r="F36" s="451"/>
      <c r="G36" s="451"/>
      <c r="H36" s="433"/>
      <c r="I36" s="451"/>
      <c r="J36" s="444"/>
      <c r="K36" s="447"/>
      <c r="L36" s="439"/>
      <c r="M36" s="449"/>
      <c r="N36" s="182"/>
      <c r="O36" s="447"/>
      <c r="P36" s="439"/>
      <c r="Q36" s="442"/>
      <c r="R36" s="94">
        <v>3</v>
      </c>
      <c r="S36" s="79"/>
      <c r="T36" s="95" t="str">
        <f t="shared" si="22"/>
        <v/>
      </c>
      <c r="U36" s="96"/>
      <c r="V36" s="96"/>
      <c r="W36" s="97" t="str">
        <f t="shared" si="23"/>
        <v/>
      </c>
      <c r="X36" s="96"/>
      <c r="Y36" s="96"/>
      <c r="Z36" s="96"/>
      <c r="AA36" s="98" t="str">
        <f t="shared" si="19"/>
        <v/>
      </c>
      <c r="AB36" s="99" t="str">
        <f t="shared" si="24"/>
        <v/>
      </c>
      <c r="AC36" s="100" t="str">
        <f t="shared" si="25"/>
        <v/>
      </c>
      <c r="AD36" s="99" t="str">
        <f t="shared" ref="AD36" si="27">IFERROR(IF(AE36="","",IF(AE36&lt;=0.2,"Leve",IF(AE36&lt;=0.4,"Menor",IF(AE36&lt;=0.6,"Moderado",IF(AE36&lt;=0.8,"Mayor","Catastrófico"))))),"")</f>
        <v/>
      </c>
      <c r="AE36" s="100" t="str">
        <f t="shared" ref="AE36" si="28">IFERROR(IF(T36="Impacto",(P36-(+P36*W36)),IF(T36="Probabilidad",P36,"")),"")</f>
        <v/>
      </c>
      <c r="AF36" s="101" t="str">
        <f t="shared" si="26"/>
        <v/>
      </c>
      <c r="AG36" s="102"/>
      <c r="AH36" s="85"/>
      <c r="AI36" s="107"/>
      <c r="AJ36" s="93"/>
      <c r="AK36" s="93"/>
      <c r="AL36" s="85"/>
      <c r="AM36" s="92"/>
      <c r="AO36" s="204"/>
      <c r="AP36" s="204"/>
      <c r="AQ36" s="205"/>
      <c r="AR36" s="204"/>
      <c r="AS36" s="204"/>
      <c r="AT36" s="205"/>
      <c r="AU36" s="206"/>
      <c r="AV36" s="207"/>
      <c r="AW36" s="208"/>
      <c r="AX36" s="208"/>
      <c r="AY36" s="208"/>
      <c r="AZ36" s="231"/>
    </row>
    <row r="37" spans="1:52" s="115" customFormat="1" ht="140.25" x14ac:dyDescent="0.25">
      <c r="A37" s="425">
        <f>1+A34</f>
        <v>11</v>
      </c>
      <c r="B37" s="457" t="s">
        <v>326</v>
      </c>
      <c r="C37" s="452" t="s">
        <v>327</v>
      </c>
      <c r="D37" s="452" t="s">
        <v>328</v>
      </c>
      <c r="E37" s="450" t="s">
        <v>120</v>
      </c>
      <c r="F37" s="454" t="s">
        <v>455</v>
      </c>
      <c r="G37" s="454" t="s">
        <v>224</v>
      </c>
      <c r="H37" s="432" t="s">
        <v>456</v>
      </c>
      <c r="I37" s="450" t="s">
        <v>115</v>
      </c>
      <c r="J37" s="443">
        <v>98</v>
      </c>
      <c r="K37" s="445" t="str">
        <f>IF(J37&lt;=0,"",IF(J37&lt;=2,"Muy Baja",IF(J37&lt;=24,"Baja",IF(J37&lt;=500,"Media",IF(J37&lt;=5000,"Alta","Muy Alta")))))</f>
        <v>Media</v>
      </c>
      <c r="L37" s="437">
        <f>IF(K37="","",IF(K37="Muy Baja",0.2,IF(K37="Baja",0.4,IF(K37="Media",0.6,IF(K37="Alta",0.8,IF(K37="Muy Alta",1,))))))</f>
        <v>0.6</v>
      </c>
      <c r="M37" s="448" t="s">
        <v>250</v>
      </c>
      <c r="N37" s="181" t="str">
        <f ca="1">IF(NOT(ISERROR(MATCH(M37,'Tabla Impacto'!$B$221:$B$223,0))),'Tabla Impacto'!$F$223&amp;"Por favor no seleccionar los criterios de impacto(Afectación Económica o presupuestal y Pérdida Reputacional)",M37)</f>
        <v xml:space="preserve"> El riesgo afecta la imagen de la entidad con algunos usuarios de relevancia frente al logro de los objetivos</v>
      </c>
      <c r="O37" s="445" t="str">
        <f ca="1">IF(OR(N37='Tabla Impacto'!$C$11,N37='Tabla Impacto'!$D$11),"Leve",IF(OR(N37='Tabla Impacto'!$C$12,N37='Tabla Impacto'!$D$12),"Menor",IF(OR(N37='Tabla Impacto'!$C$13,N37='Tabla Impacto'!$D$13),"Moderado",IF(OR(N37='Tabla Impacto'!$C$14,N37='Tabla Impacto'!$D$14),"Mayor",IF(OR(N37='Tabla Impacto'!$C$15,N37='Tabla Impacto'!$D$15),"Catastrófico","")))))</f>
        <v>Moderado</v>
      </c>
      <c r="P37" s="437">
        <f ca="1">IF(O37="","",IF(O37="Leve",0.2,IF(O37="Menor",0.4,IF(O37="Moderado",0.6,IF(O37="Mayor",0.8,IF(O37="Catastrófico",1,))))))</f>
        <v>0.6</v>
      </c>
      <c r="Q37" s="440" t="str">
        <f ca="1">IF(OR(AND(K37="Muy Baja",O37="Leve"),AND(K37="Muy Baja",O37="Menor"),AND(K37="Baja",O37="Leve")),"Bajo",IF(OR(AND(K37="Muy baja",O37="Moderado"),AND(K37="Baja",O37="Menor"),AND(K37="Baja",O37="Moderado"),AND(K37="Media",O37="Leve"),AND(K37="Media",O37="Menor"),AND(K37="Media",O37="Moderado"),AND(K37="Alta",O37="Leve"),AND(K37="Alta",O37="Menor")),"Moderado",IF(OR(AND(K37="Muy Baja",O37="Mayor"),AND(K37="Baja",O37="Mayor"),AND(K37="Media",O37="Mayor"),AND(K37="Alta",O37="Moderado"),AND(K37="Alta",O37="Mayor"),AND(K37="Muy Alta",O37="Leve"),AND(K37="Muy Alta",O37="Menor"),AND(K37="Muy Alta",O37="Moderado"),AND(K37="Muy Alta",O37="Mayor")),"Alto",IF(OR(AND(K37="Muy Baja",O37="Catastrófico"),AND(K37="Baja",O37="Catastrófico"),AND(K37="Media",O37="Catastrófico"),AND(K37="Alta",O37="Catastrófico"),AND(K37="Muy Alta",O37="Catastrófico")),"Extremo",""))))</f>
        <v>Moderado</v>
      </c>
      <c r="R37" s="94">
        <v>1</v>
      </c>
      <c r="S37" s="79" t="s">
        <v>457</v>
      </c>
      <c r="T37" s="95" t="str">
        <f t="shared" si="5"/>
        <v>Probabilidad</v>
      </c>
      <c r="U37" s="96" t="s">
        <v>14</v>
      </c>
      <c r="V37" s="96" t="s">
        <v>9</v>
      </c>
      <c r="W37" s="97" t="str">
        <f t="shared" si="6"/>
        <v>40%</v>
      </c>
      <c r="X37" s="96" t="s">
        <v>19</v>
      </c>
      <c r="Y37" s="96" t="s">
        <v>22</v>
      </c>
      <c r="Z37" s="96" t="s">
        <v>110</v>
      </c>
      <c r="AA37" s="98">
        <f>IFERROR(IF(T37="Probabilidad",(L37-(+L37*W37)),IF(T37="Impacto",L37,"")),"")</f>
        <v>0.36</v>
      </c>
      <c r="AB37" s="99" t="str">
        <f t="shared" si="7"/>
        <v>Baja</v>
      </c>
      <c r="AC37" s="100">
        <f t="shared" si="8"/>
        <v>0.36</v>
      </c>
      <c r="AD37" s="99" t="str">
        <f t="shared" ca="1" si="9"/>
        <v>Moderado</v>
      </c>
      <c r="AE37" s="100">
        <f t="shared" ca="1" si="10"/>
        <v>0.6</v>
      </c>
      <c r="AF37" s="101" t="str">
        <f t="shared" ca="1" si="11"/>
        <v>Moderado</v>
      </c>
      <c r="AG37" s="102" t="s">
        <v>122</v>
      </c>
      <c r="AH37" s="79" t="s">
        <v>329</v>
      </c>
      <c r="AI37" s="92" t="s">
        <v>195</v>
      </c>
      <c r="AJ37" s="93" t="s">
        <v>205</v>
      </c>
      <c r="AK37" s="93" t="s">
        <v>206</v>
      </c>
      <c r="AL37" s="79" t="s">
        <v>225</v>
      </c>
      <c r="AM37" s="92"/>
      <c r="AO37" s="233" t="s">
        <v>676</v>
      </c>
      <c r="AP37" s="257" t="s">
        <v>677</v>
      </c>
      <c r="AQ37" s="258">
        <v>1</v>
      </c>
      <c r="AR37" s="236" t="s">
        <v>678</v>
      </c>
      <c r="AS37" s="233" t="s">
        <v>679</v>
      </c>
      <c r="AT37" s="205">
        <v>1</v>
      </c>
      <c r="AU37" s="233"/>
      <c r="AV37" s="207" t="s">
        <v>582</v>
      </c>
      <c r="AW37" s="236" t="s">
        <v>583</v>
      </c>
      <c r="AX37" s="236" t="s">
        <v>583</v>
      </c>
      <c r="AY37" s="233" t="s">
        <v>583</v>
      </c>
      <c r="AZ37" s="230" t="s">
        <v>593</v>
      </c>
    </row>
    <row r="38" spans="1:52" s="115" customFormat="1" ht="151.5" customHeight="1" x14ac:dyDescent="0.25">
      <c r="A38" s="425"/>
      <c r="B38" s="458"/>
      <c r="C38" s="455"/>
      <c r="D38" s="455"/>
      <c r="E38" s="451"/>
      <c r="F38" s="451"/>
      <c r="G38" s="451"/>
      <c r="H38" s="433"/>
      <c r="I38" s="451"/>
      <c r="J38" s="444"/>
      <c r="K38" s="446"/>
      <c r="L38" s="438"/>
      <c r="M38" s="449"/>
      <c r="N38" s="182"/>
      <c r="O38" s="446"/>
      <c r="P38" s="438"/>
      <c r="Q38" s="441"/>
      <c r="R38" s="94">
        <v>2</v>
      </c>
      <c r="S38" s="79" t="s">
        <v>421</v>
      </c>
      <c r="T38" s="95" t="str">
        <f t="shared" si="5"/>
        <v>Probabilidad</v>
      </c>
      <c r="U38" s="96" t="s">
        <v>14</v>
      </c>
      <c r="V38" s="96" t="s">
        <v>9</v>
      </c>
      <c r="W38" s="97"/>
      <c r="X38" s="96" t="s">
        <v>19</v>
      </c>
      <c r="Y38" s="96" t="s">
        <v>22</v>
      </c>
      <c r="Z38" s="96" t="s">
        <v>110</v>
      </c>
      <c r="AA38" s="98">
        <f>IFERROR(IF(T38="Probabilidad",(L38-(+L38*W38)),IF(T38="Impacto",L38,"")),"")</f>
        <v>0</v>
      </c>
      <c r="AB38" s="99" t="str">
        <f t="shared" ref="AB38" si="29">IFERROR(IF(AA38="","",IF(AA38&lt;=0.2,"Muy Baja",IF(AA38&lt;=0.4,"Baja",IF(AA38&lt;=0.6,"Media",IF(AA38&lt;=0.8,"Alta","Muy Alta"))))),"")</f>
        <v>Muy Baja</v>
      </c>
      <c r="AC38" s="100">
        <f t="shared" ref="AC38" si="30">+AA38</f>
        <v>0</v>
      </c>
      <c r="AD38" s="99" t="str">
        <f t="shared" ref="AD38" si="31">IFERROR(IF(AE38="","",IF(AE38&lt;=0.2,"Leve",IF(AE38&lt;=0.4,"Menor",IF(AE38&lt;=0.6,"Moderado",IF(AE38&lt;=0.8,"Mayor","Catastrófico"))))),"")</f>
        <v>Leve</v>
      </c>
      <c r="AE38" s="100">
        <f t="shared" ref="AE38" si="32">IFERROR(IF(T38="Impacto",(P38-(+P38*W38)),IF(T38="Probabilidad",P38,"")),"")</f>
        <v>0</v>
      </c>
      <c r="AF38" s="101" t="str">
        <f t="shared" ref="AF38" si="33">IFERROR(IF(OR(AND(AB38="Muy Baja",AD38="Leve"),AND(AB38="Muy Baja",AD38="Menor"),AND(AB38="Baja",AD38="Leve")),"Bajo",IF(OR(AND(AB38="Muy baja",AD38="Moderado"),AND(AB38="Baja",AD38="Menor"),AND(AB38="Baja",AD38="Moderado"),AND(AB38="Media",AD38="Leve"),AND(AB38="Media",AD38="Menor"),AND(AB38="Media",AD38="Moderado"),AND(AB38="Alta",AD38="Leve"),AND(AB38="Alta",AD38="Menor")),"Moderado",IF(OR(AND(AB38="Muy Baja",AD38="Mayor"),AND(AB38="Baja",AD38="Mayor"),AND(AB38="Media",AD38="Mayor"),AND(AB38="Alta",AD38="Moderado"),AND(AB38="Alta",AD38="Mayor"),AND(AB38="Muy Alta",AD38="Leve"),AND(AB38="Muy Alta",AD38="Menor"),AND(AB38="Muy Alta",AD38="Moderado"),AND(AB38="Muy Alta",AD38="Mayor")),"Alto",IF(OR(AND(AB38="Muy Baja",AD38="Catastrófico"),AND(AB38="Baja",AD38="Catastrófico"),AND(AB38="Media",AD38="Catastrófico"),AND(AB38="Alta",AD38="Catastrófico"),AND(AB38="Muy Alta",AD38="Catastrófico")),"Extremo","")))),"")</f>
        <v>Bajo</v>
      </c>
      <c r="AG38" s="102" t="s">
        <v>122</v>
      </c>
      <c r="AH38" s="79"/>
      <c r="AI38" s="92"/>
      <c r="AJ38" s="103"/>
      <c r="AK38" s="103"/>
      <c r="AL38" s="79"/>
      <c r="AM38" s="92"/>
      <c r="AO38" s="233" t="s">
        <v>671</v>
      </c>
      <c r="AP38" s="257" t="s">
        <v>672</v>
      </c>
      <c r="AQ38" s="258">
        <v>1</v>
      </c>
      <c r="AR38" s="236" t="s">
        <v>583</v>
      </c>
      <c r="AS38" s="236" t="s">
        <v>583</v>
      </c>
      <c r="AT38" s="236" t="s">
        <v>583</v>
      </c>
      <c r="AU38" s="236"/>
      <c r="AV38" s="236" t="s">
        <v>582</v>
      </c>
      <c r="AW38" s="236" t="s">
        <v>583</v>
      </c>
      <c r="AX38" s="236" t="s">
        <v>583</v>
      </c>
      <c r="AY38" s="236" t="s">
        <v>583</v>
      </c>
      <c r="AZ38" s="230" t="s">
        <v>686</v>
      </c>
    </row>
    <row r="39" spans="1:52" s="115" customFormat="1" ht="151.5" customHeight="1" x14ac:dyDescent="0.25">
      <c r="A39" s="425"/>
      <c r="B39" s="458"/>
      <c r="C39" s="455"/>
      <c r="D39" s="455"/>
      <c r="E39" s="451"/>
      <c r="F39" s="451"/>
      <c r="G39" s="451"/>
      <c r="H39" s="433"/>
      <c r="I39" s="451"/>
      <c r="J39" s="444"/>
      <c r="K39" s="446"/>
      <c r="L39" s="438"/>
      <c r="M39" s="449"/>
      <c r="N39" s="182"/>
      <c r="O39" s="446"/>
      <c r="P39" s="438"/>
      <c r="Q39" s="441"/>
      <c r="R39" s="94">
        <v>3</v>
      </c>
      <c r="S39" s="79" t="s">
        <v>458</v>
      </c>
      <c r="T39" s="95" t="str">
        <f t="shared" ref="T39" si="34">IF(OR(U39="Preventivo",U39="Detectivo"),"Probabilidad",IF(U39="Correctivo","Impacto",""))</f>
        <v>Probabilidad</v>
      </c>
      <c r="U39" s="96" t="s">
        <v>14</v>
      </c>
      <c r="V39" s="96" t="s">
        <v>9</v>
      </c>
      <c r="W39" s="97"/>
      <c r="X39" s="96" t="s">
        <v>19</v>
      </c>
      <c r="Y39" s="96" t="s">
        <v>22</v>
      </c>
      <c r="Z39" s="96" t="s">
        <v>110</v>
      </c>
      <c r="AA39" s="98">
        <f t="shared" ref="AA39:AA40" si="35">IFERROR(IF(T39="Probabilidad",(L39-(+L39*W39)),IF(T39="Impacto",L39,"")),"")</f>
        <v>0</v>
      </c>
      <c r="AB39" s="99" t="str">
        <f t="shared" ref="AB39" si="36">IFERROR(IF(AA39="","",IF(AA39&lt;=0.2,"Muy Baja",IF(AA39&lt;=0.4,"Baja",IF(AA39&lt;=0.6,"Media",IF(AA39&lt;=0.8,"Alta","Muy Alta"))))),"")</f>
        <v>Muy Baja</v>
      </c>
      <c r="AC39" s="100">
        <f t="shared" ref="AC39" si="37">+AA39</f>
        <v>0</v>
      </c>
      <c r="AD39" s="99" t="str">
        <f t="shared" ref="AD39" si="38">IFERROR(IF(AE39="","",IF(AE39&lt;=0.2,"Leve",IF(AE39&lt;=0.4,"Menor",IF(AE39&lt;=0.6,"Moderado",IF(AE39&lt;=0.8,"Mayor","Catastrófico"))))),"")</f>
        <v>Leve</v>
      </c>
      <c r="AE39" s="100">
        <f t="shared" ref="AE39" si="39">IFERROR(IF(T39="Impacto",(P39-(+P39*W39)),IF(T39="Probabilidad",P39,"")),"")</f>
        <v>0</v>
      </c>
      <c r="AF39" s="101" t="str">
        <f t="shared" ref="AF39" si="40">IFERROR(IF(OR(AND(AB39="Muy Baja",AD39="Leve"),AND(AB39="Muy Baja",AD39="Menor"),AND(AB39="Baja",AD39="Leve")),"Bajo",IF(OR(AND(AB39="Muy baja",AD39="Moderado"),AND(AB39="Baja",AD39="Menor"),AND(AB39="Baja",AD39="Moderado"),AND(AB39="Media",AD39="Leve"),AND(AB39="Media",AD39="Menor"),AND(AB39="Media",AD39="Moderado"),AND(AB39="Alta",AD39="Leve"),AND(AB39="Alta",AD39="Menor")),"Moderado",IF(OR(AND(AB39="Muy Baja",AD39="Mayor"),AND(AB39="Baja",AD39="Mayor"),AND(AB39="Media",AD39="Mayor"),AND(AB39="Alta",AD39="Moderado"),AND(AB39="Alta",AD39="Mayor"),AND(AB39="Muy Alta",AD39="Leve"),AND(AB39="Muy Alta",AD39="Menor"),AND(AB39="Muy Alta",AD39="Moderado"),AND(AB39="Muy Alta",AD39="Mayor")),"Alto",IF(OR(AND(AB39="Muy Baja",AD39="Catastrófico"),AND(AB39="Baja",AD39="Catastrófico"),AND(AB39="Media",AD39="Catastrófico"),AND(AB39="Alta",AD39="Catastrófico"),AND(AB39="Muy Alta",AD39="Catastrófico")),"Extremo","")))),"")</f>
        <v>Bajo</v>
      </c>
      <c r="AG39" s="102" t="s">
        <v>122</v>
      </c>
      <c r="AH39" s="79"/>
      <c r="AI39" s="92"/>
      <c r="AJ39" s="103"/>
      <c r="AK39" s="103"/>
      <c r="AL39" s="79"/>
      <c r="AM39" s="92"/>
      <c r="AO39" s="233" t="s">
        <v>673</v>
      </c>
      <c r="AP39" s="257" t="s">
        <v>674</v>
      </c>
      <c r="AQ39" s="258">
        <v>1</v>
      </c>
      <c r="AR39" s="236" t="s">
        <v>583</v>
      </c>
      <c r="AS39" s="236" t="s">
        <v>583</v>
      </c>
      <c r="AT39" s="236" t="s">
        <v>583</v>
      </c>
      <c r="AU39" s="236" t="s">
        <v>583</v>
      </c>
      <c r="AV39" s="236" t="s">
        <v>583</v>
      </c>
      <c r="AW39" s="236" t="s">
        <v>583</v>
      </c>
      <c r="AX39" s="236" t="s">
        <v>583</v>
      </c>
      <c r="AY39" s="236" t="s">
        <v>583</v>
      </c>
      <c r="AZ39" s="230" t="s">
        <v>686</v>
      </c>
    </row>
    <row r="40" spans="1:52" s="115" customFormat="1" ht="129" customHeight="1" x14ac:dyDescent="0.25">
      <c r="A40" s="425"/>
      <c r="B40" s="459"/>
      <c r="C40" s="455"/>
      <c r="D40" s="455"/>
      <c r="E40" s="451"/>
      <c r="F40" s="451"/>
      <c r="G40" s="451"/>
      <c r="H40" s="433"/>
      <c r="I40" s="451"/>
      <c r="J40" s="444"/>
      <c r="K40" s="447"/>
      <c r="L40" s="439"/>
      <c r="M40" s="449"/>
      <c r="N40" s="182"/>
      <c r="O40" s="447"/>
      <c r="P40" s="439"/>
      <c r="Q40" s="442"/>
      <c r="R40" s="94">
        <v>4</v>
      </c>
      <c r="S40" s="79" t="s">
        <v>459</v>
      </c>
      <c r="T40" s="95" t="str">
        <f t="shared" si="5"/>
        <v>Probabilidad</v>
      </c>
      <c r="U40" s="96" t="s">
        <v>14</v>
      </c>
      <c r="V40" s="96" t="s">
        <v>9</v>
      </c>
      <c r="W40" s="97"/>
      <c r="X40" s="96" t="s">
        <v>19</v>
      </c>
      <c r="Y40" s="96" t="s">
        <v>22</v>
      </c>
      <c r="Z40" s="96" t="s">
        <v>110</v>
      </c>
      <c r="AA40" s="98">
        <f t="shared" si="35"/>
        <v>0</v>
      </c>
      <c r="AB40" s="99" t="str">
        <f t="shared" si="7"/>
        <v>Muy Baja</v>
      </c>
      <c r="AC40" s="100">
        <f t="shared" si="8"/>
        <v>0</v>
      </c>
      <c r="AD40" s="99" t="str">
        <f t="shared" si="9"/>
        <v>Leve</v>
      </c>
      <c r="AE40" s="100">
        <f t="shared" si="10"/>
        <v>0</v>
      </c>
      <c r="AF40" s="101" t="str">
        <f t="shared" si="11"/>
        <v>Bajo</v>
      </c>
      <c r="AG40" s="102" t="s">
        <v>122</v>
      </c>
      <c r="AH40" s="79"/>
      <c r="AI40" s="92"/>
      <c r="AJ40" s="103"/>
      <c r="AK40" s="103"/>
      <c r="AL40" s="79"/>
      <c r="AM40" s="92"/>
      <c r="AO40" s="233" t="s">
        <v>673</v>
      </c>
      <c r="AP40" s="257" t="s">
        <v>675</v>
      </c>
      <c r="AQ40" s="258">
        <v>0.5</v>
      </c>
      <c r="AR40" s="236" t="s">
        <v>583</v>
      </c>
      <c r="AS40" s="236" t="s">
        <v>583</v>
      </c>
      <c r="AT40" s="236" t="s">
        <v>583</v>
      </c>
      <c r="AU40" s="236" t="s">
        <v>583</v>
      </c>
      <c r="AV40" s="236" t="s">
        <v>583</v>
      </c>
      <c r="AW40" s="236" t="s">
        <v>583</v>
      </c>
      <c r="AX40" s="236" t="s">
        <v>583</v>
      </c>
      <c r="AY40" s="236" t="s">
        <v>583</v>
      </c>
      <c r="AZ40" s="230" t="s">
        <v>686</v>
      </c>
    </row>
    <row r="41" spans="1:52" s="115" customFormat="1" ht="127.5" x14ac:dyDescent="0.25">
      <c r="A41" s="425">
        <f>1+A37</f>
        <v>12</v>
      </c>
      <c r="B41" s="457" t="s">
        <v>326</v>
      </c>
      <c r="C41" s="452" t="s">
        <v>327</v>
      </c>
      <c r="D41" s="452" t="s">
        <v>328</v>
      </c>
      <c r="E41" s="450" t="s">
        <v>120</v>
      </c>
      <c r="F41" s="451" t="s">
        <v>330</v>
      </c>
      <c r="G41" s="451" t="s">
        <v>331</v>
      </c>
      <c r="H41" s="432" t="s">
        <v>332</v>
      </c>
      <c r="I41" s="450" t="s">
        <v>218</v>
      </c>
      <c r="J41" s="443">
        <v>49</v>
      </c>
      <c r="K41" s="445" t="str">
        <f>IF(J41&lt;=0,"",IF(J41&lt;=2,"Muy Baja",IF(J41&lt;=24,"Baja",IF(J41&lt;=500,"Media",IF(J41&lt;=5000,"Alta","Muy Alta")))))</f>
        <v>Media</v>
      </c>
      <c r="L41" s="437">
        <f>IF(K41="","",IF(K41="Muy Baja",0.2,IF(K41="Baja",0.4,IF(K41="Media",0.6,IF(K41="Alta",0.8,IF(K41="Muy Alta",1,))))))</f>
        <v>0.6</v>
      </c>
      <c r="M41" s="448" t="s">
        <v>250</v>
      </c>
      <c r="N41" s="181" t="str">
        <f ca="1">IF(NOT(ISERROR(MATCH(M41,'Tabla Impacto'!$B$221:$B$223,0))),'Tabla Impacto'!$F$223&amp;"Por favor no seleccionar los criterios de impacto(Afectación Económica o presupuestal y Pérdida Reputacional)",M41)</f>
        <v xml:space="preserve"> El riesgo afecta la imagen de la entidad con algunos usuarios de relevancia frente al logro de los objetivos</v>
      </c>
      <c r="O41" s="445" t="str">
        <f ca="1">IF(OR(N41='Tabla Impacto'!$C$11,N41='Tabla Impacto'!$D$11),"Leve",IF(OR(N41='Tabla Impacto'!$C$12,N41='Tabla Impacto'!$D$12),"Menor",IF(OR(N41='Tabla Impacto'!$C$13,N41='Tabla Impacto'!$D$13),"Moderado",IF(OR(N41='Tabla Impacto'!$C$14,N41='Tabla Impacto'!$D$14),"Mayor",IF(OR(N41='Tabla Impacto'!$C$15,N41='Tabla Impacto'!$D$15),"Catastrófico","")))))</f>
        <v>Moderado</v>
      </c>
      <c r="P41" s="437">
        <f ca="1">IF(O41="","",IF(O41="Leve",0.2,IF(O41="Menor",0.4,IF(O41="Moderado",0.6,IF(O41="Mayor",0.8,IF(O41="Catastrófico",1,))))))</f>
        <v>0.6</v>
      </c>
      <c r="Q41" s="440" t="str">
        <f ca="1">IF(OR(AND(K41="Muy Baja",O41="Leve"),AND(K41="Muy Baja",O41="Menor"),AND(K41="Baja",O41="Leve")),"Bajo",IF(OR(AND(K41="Muy baja",O41="Moderado"),AND(K41="Baja",O41="Menor"),AND(K41="Baja",O41="Moderado"),AND(K41="Media",O41="Leve"),AND(K41="Media",O41="Menor"),AND(K41="Media",O41="Moderado"),AND(K41="Alta",O41="Leve"),AND(K41="Alta",O41="Menor")),"Moderado",IF(OR(AND(K41="Muy Baja",O41="Mayor"),AND(K41="Baja",O41="Mayor"),AND(K41="Media",O41="Mayor"),AND(K41="Alta",O41="Moderado"),AND(K41="Alta",O41="Mayor"),AND(K41="Muy Alta",O41="Leve"),AND(K41="Muy Alta",O41="Menor"),AND(K41="Muy Alta",O41="Moderado"),AND(K41="Muy Alta",O41="Mayor")),"Alto",IF(OR(AND(K41="Muy Baja",O41="Catastrófico"),AND(K41="Baja",O41="Catastrófico"),AND(K41="Media",O41="Catastrófico"),AND(K41="Alta",O41="Catastrófico"),AND(K41="Muy Alta",O41="Catastrófico")),"Extremo",""))))</f>
        <v>Moderado</v>
      </c>
      <c r="R41" s="94">
        <v>1</v>
      </c>
      <c r="S41" s="79" t="s">
        <v>333</v>
      </c>
      <c r="T41" s="95" t="str">
        <f t="shared" si="5"/>
        <v>Probabilidad</v>
      </c>
      <c r="U41" s="96" t="s">
        <v>14</v>
      </c>
      <c r="V41" s="96" t="s">
        <v>9</v>
      </c>
      <c r="W41" s="97" t="str">
        <f t="shared" si="6"/>
        <v>40%</v>
      </c>
      <c r="X41" s="96" t="s">
        <v>19</v>
      </c>
      <c r="Y41" s="96" t="s">
        <v>22</v>
      </c>
      <c r="Z41" s="96" t="s">
        <v>110</v>
      </c>
      <c r="AA41" s="98">
        <f>IFERROR(IF(T41="Probabilidad",(L41-(+L41*W41)),IF(T41="Impacto",L41,"")),"")</f>
        <v>0.36</v>
      </c>
      <c r="AB41" s="99" t="str">
        <f t="shared" si="7"/>
        <v>Baja</v>
      </c>
      <c r="AC41" s="100">
        <f t="shared" si="8"/>
        <v>0.36</v>
      </c>
      <c r="AD41" s="99" t="str">
        <f t="shared" ca="1" si="9"/>
        <v>Moderado</v>
      </c>
      <c r="AE41" s="100">
        <f t="shared" ca="1" si="10"/>
        <v>0.6</v>
      </c>
      <c r="AF41" s="101" t="str">
        <f t="shared" ca="1" si="11"/>
        <v>Moderado</v>
      </c>
      <c r="AG41" s="102" t="s">
        <v>122</v>
      </c>
      <c r="AH41" s="79" t="s">
        <v>226</v>
      </c>
      <c r="AI41" s="92" t="s">
        <v>195</v>
      </c>
      <c r="AJ41" s="93" t="s">
        <v>205</v>
      </c>
      <c r="AK41" s="93" t="s">
        <v>206</v>
      </c>
      <c r="AL41" s="79" t="s">
        <v>227</v>
      </c>
      <c r="AM41" s="92"/>
      <c r="AO41" s="233" t="s">
        <v>669</v>
      </c>
      <c r="AP41" s="207" t="s">
        <v>583</v>
      </c>
      <c r="AQ41" s="236" t="s">
        <v>583</v>
      </c>
      <c r="AR41" s="236" t="s">
        <v>670</v>
      </c>
      <c r="AS41" s="257" t="s">
        <v>583</v>
      </c>
      <c r="AT41" s="257" t="s">
        <v>583</v>
      </c>
      <c r="AU41" s="257" t="s">
        <v>583</v>
      </c>
      <c r="AV41" s="257" t="s">
        <v>583</v>
      </c>
      <c r="AW41" s="257" t="s">
        <v>583</v>
      </c>
      <c r="AX41" s="257" t="s">
        <v>583</v>
      </c>
      <c r="AY41" s="257" t="s">
        <v>583</v>
      </c>
      <c r="AZ41" s="230" t="s">
        <v>687</v>
      </c>
    </row>
    <row r="42" spans="1:52" s="115" customFormat="1" ht="151.5" customHeight="1" x14ac:dyDescent="0.25">
      <c r="A42" s="425"/>
      <c r="B42" s="458"/>
      <c r="C42" s="455"/>
      <c r="D42" s="455"/>
      <c r="E42" s="451"/>
      <c r="F42" s="451" t="s">
        <v>201</v>
      </c>
      <c r="G42" s="451" t="s">
        <v>202</v>
      </c>
      <c r="H42" s="433"/>
      <c r="I42" s="451"/>
      <c r="J42" s="444"/>
      <c r="K42" s="446"/>
      <c r="L42" s="438"/>
      <c r="M42" s="449"/>
      <c r="N42" s="182"/>
      <c r="O42" s="446"/>
      <c r="P42" s="438"/>
      <c r="Q42" s="441"/>
      <c r="R42" s="94">
        <v>2</v>
      </c>
      <c r="S42" s="79"/>
      <c r="T42" s="95" t="str">
        <f t="shared" si="5"/>
        <v/>
      </c>
      <c r="U42" s="96"/>
      <c r="V42" s="96"/>
      <c r="W42" s="97"/>
      <c r="X42" s="96"/>
      <c r="Y42" s="96"/>
      <c r="Z42" s="96"/>
      <c r="AA42" s="98"/>
      <c r="AB42" s="99"/>
      <c r="AC42" s="100"/>
      <c r="AD42" s="99"/>
      <c r="AE42" s="100"/>
      <c r="AF42" s="101"/>
      <c r="AG42" s="102"/>
      <c r="AH42" s="79"/>
      <c r="AI42" s="92"/>
      <c r="AJ42" s="103"/>
      <c r="AK42" s="103"/>
      <c r="AL42" s="79"/>
      <c r="AM42" s="92"/>
      <c r="AO42" s="204"/>
      <c r="AP42" s="204"/>
      <c r="AQ42" s="205"/>
      <c r="AR42" s="204"/>
      <c r="AS42" s="204"/>
      <c r="AT42" s="205"/>
      <c r="AU42" s="206"/>
      <c r="AV42" s="207"/>
      <c r="AW42" s="208"/>
      <c r="AX42" s="208"/>
      <c r="AY42" s="208"/>
      <c r="AZ42" s="231"/>
    </row>
    <row r="43" spans="1:52" s="115" customFormat="1" ht="151.5" customHeight="1" x14ac:dyDescent="0.25">
      <c r="A43" s="425"/>
      <c r="B43" s="459"/>
      <c r="C43" s="455"/>
      <c r="D43" s="455"/>
      <c r="E43" s="451"/>
      <c r="F43" s="451" t="s">
        <v>201</v>
      </c>
      <c r="G43" s="451" t="s">
        <v>202</v>
      </c>
      <c r="H43" s="433"/>
      <c r="I43" s="451"/>
      <c r="J43" s="444"/>
      <c r="K43" s="447"/>
      <c r="L43" s="439"/>
      <c r="M43" s="449"/>
      <c r="N43" s="182"/>
      <c r="O43" s="447"/>
      <c r="P43" s="439"/>
      <c r="Q43" s="442"/>
      <c r="R43" s="94">
        <v>3</v>
      </c>
      <c r="S43" s="79"/>
      <c r="T43" s="95" t="str">
        <f t="shared" si="5"/>
        <v/>
      </c>
      <c r="U43" s="96"/>
      <c r="V43" s="96"/>
      <c r="W43" s="97"/>
      <c r="X43" s="96"/>
      <c r="Y43" s="96"/>
      <c r="Z43" s="96"/>
      <c r="AA43" s="98"/>
      <c r="AB43" s="99"/>
      <c r="AC43" s="100"/>
      <c r="AD43" s="99"/>
      <c r="AE43" s="100"/>
      <c r="AF43" s="101"/>
      <c r="AG43" s="102"/>
      <c r="AH43" s="79"/>
      <c r="AI43" s="92"/>
      <c r="AJ43" s="103"/>
      <c r="AK43" s="103"/>
      <c r="AL43" s="79"/>
      <c r="AM43" s="92"/>
      <c r="AO43" s="204"/>
      <c r="AP43" s="204"/>
      <c r="AQ43" s="205"/>
      <c r="AR43" s="204"/>
      <c r="AS43" s="204"/>
      <c r="AT43" s="205"/>
      <c r="AU43" s="206"/>
      <c r="AV43" s="207"/>
      <c r="AW43" s="208"/>
      <c r="AX43" s="208"/>
      <c r="AY43" s="208"/>
      <c r="AZ43" s="231"/>
    </row>
    <row r="44" spans="1:52" s="115" customFormat="1" ht="178.5" x14ac:dyDescent="0.25">
      <c r="A44" s="425">
        <f>1+A41</f>
        <v>13</v>
      </c>
      <c r="B44" s="457" t="s">
        <v>326</v>
      </c>
      <c r="C44" s="452" t="s">
        <v>327</v>
      </c>
      <c r="D44" s="452" t="s">
        <v>328</v>
      </c>
      <c r="E44" s="450" t="s">
        <v>120</v>
      </c>
      <c r="F44" s="454" t="s">
        <v>334</v>
      </c>
      <c r="G44" s="454" t="s">
        <v>340</v>
      </c>
      <c r="H44" s="432" t="s">
        <v>460</v>
      </c>
      <c r="I44" s="450" t="s">
        <v>218</v>
      </c>
      <c r="J44" s="443">
        <v>231</v>
      </c>
      <c r="K44" s="445" t="str">
        <f>IF(J44&lt;=0,"",IF(J44&lt;=2,"Muy Baja",IF(J44&lt;=24,"Baja",IF(J44&lt;=500,"Media",IF(J44&lt;=5000,"Alta","Muy Alta")))))</f>
        <v>Media</v>
      </c>
      <c r="L44" s="437">
        <f>IF(K44="","",IF(K44="Muy Baja",0.2,IF(K44="Baja",0.4,IF(K44="Media",0.6,IF(K44="Alta",0.8,IF(K44="Muy Alta",1,))))))</f>
        <v>0.6</v>
      </c>
      <c r="M44" s="448" t="s">
        <v>250</v>
      </c>
      <c r="N44" s="181" t="str">
        <f ca="1">IF(NOT(ISERROR(MATCH(M44,'Tabla Impacto'!$B$221:$B$223,0))),'Tabla Impacto'!$F$223&amp;"Por favor no seleccionar los criterios de impacto(Afectación Económica o presupuestal y Pérdida Reputacional)",M44)</f>
        <v xml:space="preserve"> El riesgo afecta la imagen de la entidad con algunos usuarios de relevancia frente al logro de los objetivos</v>
      </c>
      <c r="O44" s="445" t="str">
        <f ca="1">IF(OR(N44='Tabla Impacto'!$C$11,N44='Tabla Impacto'!$D$11),"Leve",IF(OR(N44='Tabla Impacto'!$C$12,N44='Tabla Impacto'!$D$12),"Menor",IF(OR(N44='Tabla Impacto'!$C$13,N44='Tabla Impacto'!$D$13),"Moderado",IF(OR(N44='Tabla Impacto'!$C$14,N44='Tabla Impacto'!$D$14),"Mayor",IF(OR(N44='Tabla Impacto'!$C$15,N44='Tabla Impacto'!$D$15),"Catastrófico","")))))</f>
        <v>Moderado</v>
      </c>
      <c r="P44" s="437">
        <f ca="1">IF(O44="","",IF(O44="Leve",0.2,IF(O44="Menor",0.4,IF(O44="Moderado",0.6,IF(O44="Mayor",0.8,IF(O44="Catastrófico",1,))))))</f>
        <v>0.6</v>
      </c>
      <c r="Q44" s="440" t="str">
        <f ca="1">IF(OR(AND(K44="Muy Baja",O44="Leve"),AND(K44="Muy Baja",O44="Menor"),AND(K44="Baja",O44="Leve")),"Bajo",IF(OR(AND(K44="Muy baja",O44="Moderado"),AND(K44="Baja",O44="Menor"),AND(K44="Baja",O44="Moderado"),AND(K44="Media",O44="Leve"),AND(K44="Media",O44="Menor"),AND(K44="Media",O44="Moderado"),AND(K44="Alta",O44="Leve"),AND(K44="Alta",O44="Menor")),"Moderado",IF(OR(AND(K44="Muy Baja",O44="Mayor"),AND(K44="Baja",O44="Mayor"),AND(K44="Media",O44="Mayor"),AND(K44="Alta",O44="Moderado"),AND(K44="Alta",O44="Mayor"),AND(K44="Muy Alta",O44="Leve"),AND(K44="Muy Alta",O44="Menor"),AND(K44="Muy Alta",O44="Moderado"),AND(K44="Muy Alta",O44="Mayor")),"Alto",IF(OR(AND(K44="Muy Baja",O44="Catastrófico"),AND(K44="Baja",O44="Catastrófico"),AND(K44="Media",O44="Catastrófico"),AND(K44="Alta",O44="Catastrófico"),AND(K44="Muy Alta",O44="Catastrófico")),"Extremo",""))))</f>
        <v>Moderado</v>
      </c>
      <c r="R44" s="94">
        <v>1</v>
      </c>
      <c r="S44" s="79" t="s">
        <v>461</v>
      </c>
      <c r="T44" s="95" t="str">
        <f t="shared" si="5"/>
        <v>Probabilidad</v>
      </c>
      <c r="U44" s="96" t="s">
        <v>14</v>
      </c>
      <c r="V44" s="96" t="s">
        <v>9</v>
      </c>
      <c r="W44" s="97" t="str">
        <f t="shared" ref="W44:W48" si="41">IF(AND(U44="Preventivo",V44="Automático"),"50%",IF(AND(U44="Preventivo",V44="Manual"),"40%",IF(AND(U44="Detectivo",V44="Automático"),"40%",IF(AND(U44="Detectivo",V44="Manual"),"30%",IF(AND(U44="Correctivo",V44="Automático"),"35%",IF(AND(U44="Correctivo",V44="Manual"),"25%",""))))))</f>
        <v>40%</v>
      </c>
      <c r="X44" s="96" t="s">
        <v>20</v>
      </c>
      <c r="Y44" s="96" t="s">
        <v>22</v>
      </c>
      <c r="Z44" s="96" t="s">
        <v>111</v>
      </c>
      <c r="AA44" s="98">
        <f>IFERROR(IF(T44="Probabilidad",(L44-(+L44*W44)),IF(T44="Impacto",L44,"")),"")</f>
        <v>0.36</v>
      </c>
      <c r="AB44" s="99" t="str">
        <f t="shared" ref="AB44:AB48" si="42">IFERROR(IF(AA44="","",IF(AA44&lt;=0.2,"Muy Baja",IF(AA44&lt;=0.4,"Baja",IF(AA44&lt;=0.6,"Media",IF(AA44&lt;=0.8,"Alta","Muy Alta"))))),"")</f>
        <v>Baja</v>
      </c>
      <c r="AC44" s="100">
        <f t="shared" ref="AC44:AC48" si="43">+AA44</f>
        <v>0.36</v>
      </c>
      <c r="AD44" s="99" t="str">
        <f t="shared" ref="AD44:AD48" ca="1" si="44">IFERROR(IF(AE44="","",IF(AE44&lt;=0.2,"Leve",IF(AE44&lt;=0.4,"Menor",IF(AE44&lt;=0.6,"Moderado",IF(AE44&lt;=0.8,"Mayor","Catastrófico"))))),"")</f>
        <v>Moderado</v>
      </c>
      <c r="AE44" s="100">
        <f t="shared" ref="AE44:AE48" ca="1" si="45">IFERROR(IF(T44="Impacto",(P44-(+P44*W44)),IF(T44="Probabilidad",P44,"")),"")</f>
        <v>0.6</v>
      </c>
      <c r="AF44" s="101" t="str">
        <f t="shared" ref="AF44:AF48" ca="1" si="46">IFERROR(IF(OR(AND(AB44="Muy Baja",AD44="Leve"),AND(AB44="Muy Baja",AD44="Menor"),AND(AB44="Baja",AD44="Leve")),"Bajo",IF(OR(AND(AB44="Muy baja",AD44="Moderado"),AND(AB44="Baja",AD44="Menor"),AND(AB44="Baja",AD44="Moderado"),AND(AB44="Media",AD44="Leve"),AND(AB44="Media",AD44="Menor"),AND(AB44="Media",AD44="Moderado"),AND(AB44="Alta",AD44="Leve"),AND(AB44="Alta",AD44="Menor")),"Moderado",IF(OR(AND(AB44="Muy Baja",AD44="Mayor"),AND(AB44="Baja",AD44="Mayor"),AND(AB44="Media",AD44="Mayor"),AND(AB44="Alta",AD44="Moderado"),AND(AB44="Alta",AD44="Mayor"),AND(AB44="Muy Alta",AD44="Leve"),AND(AB44="Muy Alta",AD44="Menor"),AND(AB44="Muy Alta",AD44="Moderado"),AND(AB44="Muy Alta",AD44="Mayor")),"Alto",IF(OR(AND(AB44="Muy Baja",AD44="Catastrófico"),AND(AB44="Baja",AD44="Catastrófico"),AND(AB44="Media",AD44="Catastrófico"),AND(AB44="Alta",AD44="Catastrófico"),AND(AB44="Muy Alta",AD44="Catastrófico")),"Extremo","")))),"")</f>
        <v>Moderado</v>
      </c>
      <c r="AG44" s="102" t="s">
        <v>122</v>
      </c>
      <c r="AH44" s="79" t="s">
        <v>335</v>
      </c>
      <c r="AI44" s="92" t="s">
        <v>297</v>
      </c>
      <c r="AJ44" s="93" t="s">
        <v>205</v>
      </c>
      <c r="AK44" s="93" t="s">
        <v>206</v>
      </c>
      <c r="AL44" s="79" t="s">
        <v>425</v>
      </c>
      <c r="AM44" s="92"/>
      <c r="AO44" s="233" t="s">
        <v>680</v>
      </c>
      <c r="AP44" s="257" t="s">
        <v>681</v>
      </c>
      <c r="AQ44" s="258">
        <v>0.5</v>
      </c>
      <c r="AR44" s="236" t="s">
        <v>682</v>
      </c>
      <c r="AS44" s="233" t="s">
        <v>683</v>
      </c>
      <c r="AT44" s="205">
        <v>0.5</v>
      </c>
      <c r="AU44" s="257" t="s">
        <v>583</v>
      </c>
      <c r="AV44" s="233" t="s">
        <v>583</v>
      </c>
      <c r="AW44" s="233" t="s">
        <v>583</v>
      </c>
      <c r="AX44" s="233" t="s">
        <v>583</v>
      </c>
      <c r="AY44" s="233" t="s">
        <v>583</v>
      </c>
      <c r="AZ44" s="230" t="s">
        <v>593</v>
      </c>
    </row>
    <row r="45" spans="1:52" s="115" customFormat="1" ht="151.5" customHeight="1" x14ac:dyDescent="0.25">
      <c r="A45" s="425"/>
      <c r="B45" s="458"/>
      <c r="C45" s="455"/>
      <c r="D45" s="455"/>
      <c r="E45" s="451"/>
      <c r="F45" s="451"/>
      <c r="G45" s="451"/>
      <c r="H45" s="433"/>
      <c r="I45" s="451"/>
      <c r="J45" s="444"/>
      <c r="K45" s="446"/>
      <c r="L45" s="438"/>
      <c r="M45" s="449"/>
      <c r="N45" s="182"/>
      <c r="O45" s="446"/>
      <c r="P45" s="438"/>
      <c r="Q45" s="441"/>
      <c r="R45" s="94">
        <v>2</v>
      </c>
      <c r="S45" s="79" t="s">
        <v>462</v>
      </c>
      <c r="T45" s="95" t="str">
        <f t="shared" si="5"/>
        <v>Impacto</v>
      </c>
      <c r="U45" s="96" t="s">
        <v>16</v>
      </c>
      <c r="V45" s="96" t="s">
        <v>9</v>
      </c>
      <c r="W45" s="97" t="str">
        <f t="shared" si="41"/>
        <v>25%</v>
      </c>
      <c r="X45" s="96" t="s">
        <v>20</v>
      </c>
      <c r="Y45" s="96" t="s">
        <v>22</v>
      </c>
      <c r="Z45" s="96" t="s">
        <v>111</v>
      </c>
      <c r="AA45" s="98">
        <f>IFERROR(IF(T45="Probabilidad",(L45-(+L45*W45)),IF(T45="Impacto",L45,"")),"")</f>
        <v>0</v>
      </c>
      <c r="AB45" s="99" t="str">
        <f t="shared" si="42"/>
        <v>Muy Baja</v>
      </c>
      <c r="AC45" s="100">
        <f t="shared" si="43"/>
        <v>0</v>
      </c>
      <c r="AD45" s="99" t="str">
        <f t="shared" si="44"/>
        <v>Leve</v>
      </c>
      <c r="AE45" s="100">
        <f t="shared" si="45"/>
        <v>0</v>
      </c>
      <c r="AF45" s="101" t="str">
        <f t="shared" si="46"/>
        <v>Bajo</v>
      </c>
      <c r="AG45" s="102" t="s">
        <v>122</v>
      </c>
      <c r="AH45" s="79"/>
      <c r="AI45" s="92"/>
      <c r="AJ45" s="103"/>
      <c r="AK45" s="103"/>
      <c r="AL45" s="79"/>
      <c r="AM45" s="92"/>
      <c r="AO45" s="233" t="s">
        <v>684</v>
      </c>
      <c r="AP45" s="257" t="s">
        <v>685</v>
      </c>
      <c r="AQ45" s="258">
        <v>0.5</v>
      </c>
      <c r="AR45" s="236" t="s">
        <v>583</v>
      </c>
      <c r="AS45" s="236" t="s">
        <v>583</v>
      </c>
      <c r="AT45" s="236" t="s">
        <v>583</v>
      </c>
      <c r="AU45" s="236" t="s">
        <v>583</v>
      </c>
      <c r="AV45" s="236" t="s">
        <v>583</v>
      </c>
      <c r="AW45" s="236" t="s">
        <v>583</v>
      </c>
      <c r="AX45" s="236" t="s">
        <v>583</v>
      </c>
      <c r="AY45" s="236" t="s">
        <v>583</v>
      </c>
      <c r="AZ45" s="230" t="s">
        <v>686</v>
      </c>
    </row>
    <row r="46" spans="1:52" s="115" customFormat="1" ht="151.5" customHeight="1" x14ac:dyDescent="0.25">
      <c r="A46" s="425"/>
      <c r="B46" s="458"/>
      <c r="C46" s="455"/>
      <c r="D46" s="455"/>
      <c r="E46" s="451"/>
      <c r="F46" s="451"/>
      <c r="G46" s="451"/>
      <c r="H46" s="433"/>
      <c r="I46" s="451"/>
      <c r="J46" s="444"/>
      <c r="K46" s="446"/>
      <c r="L46" s="438"/>
      <c r="M46" s="449"/>
      <c r="N46" s="182"/>
      <c r="O46" s="446"/>
      <c r="P46" s="438"/>
      <c r="Q46" s="441"/>
      <c r="R46" s="94">
        <v>3</v>
      </c>
      <c r="S46" s="79" t="s">
        <v>463</v>
      </c>
      <c r="T46" s="95" t="s">
        <v>4</v>
      </c>
      <c r="U46" s="96" t="s">
        <v>15</v>
      </c>
      <c r="V46" s="96" t="s">
        <v>9</v>
      </c>
      <c r="W46" s="97" t="str">
        <f t="shared" si="41"/>
        <v>30%</v>
      </c>
      <c r="X46" s="96" t="s">
        <v>20</v>
      </c>
      <c r="Y46" s="96" t="s">
        <v>22</v>
      </c>
      <c r="Z46" s="96" t="s">
        <v>111</v>
      </c>
      <c r="AA46" s="98">
        <f t="shared" ref="AA46:AA47" si="47">IFERROR(IF(T46="Probabilidad",(L46-(+L46*W46)),IF(T46="Impacto",L46,"")),"")</f>
        <v>0</v>
      </c>
      <c r="AB46" s="99" t="str">
        <f t="shared" ref="AB46" si="48">IFERROR(IF(AA46="","",IF(AA46&lt;=0.2,"Muy Baja",IF(AA46&lt;=0.4,"Baja",IF(AA46&lt;=0.6,"Media",IF(AA46&lt;=0.8,"Alta","Muy Alta"))))),"")</f>
        <v>Muy Baja</v>
      </c>
      <c r="AC46" s="100">
        <f t="shared" ref="AC46" si="49">+AA46</f>
        <v>0</v>
      </c>
      <c r="AD46" s="99" t="str">
        <f t="shared" ref="AD46" si="50">IFERROR(IF(AE46="","",IF(AE46&lt;=0.2,"Leve",IF(AE46&lt;=0.4,"Menor",IF(AE46&lt;=0.6,"Moderado",IF(AE46&lt;=0.8,"Mayor","Catastrófico"))))),"")</f>
        <v>Leve</v>
      </c>
      <c r="AE46" s="100">
        <f t="shared" ref="AE46" si="51">IFERROR(IF(T46="Impacto",(P46-(+P46*W46)),IF(T46="Probabilidad",P46,"")),"")</f>
        <v>0</v>
      </c>
      <c r="AF46" s="101" t="str">
        <f t="shared" ref="AF46" si="52">IFERROR(IF(OR(AND(AB46="Muy Baja",AD46="Leve"),AND(AB46="Muy Baja",AD46="Menor"),AND(AB46="Baja",AD46="Leve")),"Bajo",IF(OR(AND(AB46="Muy baja",AD46="Moderado"),AND(AB46="Baja",AD46="Menor"),AND(AB46="Baja",AD46="Moderado"),AND(AB46="Media",AD46="Leve"),AND(AB46="Media",AD46="Menor"),AND(AB46="Media",AD46="Moderado"),AND(AB46="Alta",AD46="Leve"),AND(AB46="Alta",AD46="Menor")),"Moderado",IF(OR(AND(AB46="Muy Baja",AD46="Mayor"),AND(AB46="Baja",AD46="Mayor"),AND(AB46="Media",AD46="Mayor"),AND(AB46="Alta",AD46="Moderado"),AND(AB46="Alta",AD46="Mayor"),AND(AB46="Muy Alta",AD46="Leve"),AND(AB46="Muy Alta",AD46="Menor"),AND(AB46="Muy Alta",AD46="Moderado"),AND(AB46="Muy Alta",AD46="Mayor")),"Alto",IF(OR(AND(AB46="Muy Baja",AD46="Catastrófico"),AND(AB46="Baja",AD46="Catastrófico"),AND(AB46="Media",AD46="Catastrófico"),AND(AB46="Alta",AD46="Catastrófico"),AND(AB46="Muy Alta",AD46="Catastrófico")),"Extremo","")))),"")</f>
        <v>Bajo</v>
      </c>
      <c r="AG46" s="102" t="s">
        <v>122</v>
      </c>
      <c r="AH46" s="79"/>
      <c r="AI46" s="92"/>
      <c r="AJ46" s="103"/>
      <c r="AK46" s="103"/>
      <c r="AL46" s="79"/>
      <c r="AM46" s="92"/>
      <c r="AO46" s="233" t="s">
        <v>684</v>
      </c>
      <c r="AP46" s="257" t="s">
        <v>685</v>
      </c>
      <c r="AQ46" s="258">
        <v>1.5</v>
      </c>
      <c r="AR46" s="236" t="s">
        <v>583</v>
      </c>
      <c r="AS46" s="236" t="s">
        <v>583</v>
      </c>
      <c r="AT46" s="236" t="s">
        <v>583</v>
      </c>
      <c r="AU46" s="236" t="s">
        <v>583</v>
      </c>
      <c r="AV46" s="236" t="s">
        <v>583</v>
      </c>
      <c r="AW46" s="236" t="s">
        <v>583</v>
      </c>
      <c r="AX46" s="236" t="s">
        <v>583</v>
      </c>
      <c r="AY46" s="236" t="s">
        <v>583</v>
      </c>
      <c r="AZ46" s="230" t="s">
        <v>686</v>
      </c>
    </row>
    <row r="47" spans="1:52" s="115" customFormat="1" ht="151.5" customHeight="1" x14ac:dyDescent="0.25">
      <c r="A47" s="425"/>
      <c r="B47" s="458"/>
      <c r="C47" s="455"/>
      <c r="D47" s="455"/>
      <c r="E47" s="451"/>
      <c r="F47" s="451"/>
      <c r="G47" s="451"/>
      <c r="H47" s="433"/>
      <c r="I47" s="451"/>
      <c r="J47" s="444"/>
      <c r="K47" s="446"/>
      <c r="L47" s="438"/>
      <c r="M47" s="449"/>
      <c r="N47" s="182"/>
      <c r="O47" s="446"/>
      <c r="P47" s="438"/>
      <c r="Q47" s="441"/>
      <c r="R47" s="94">
        <v>4</v>
      </c>
      <c r="S47" s="79" t="s">
        <v>464</v>
      </c>
      <c r="T47" s="95" t="s">
        <v>4</v>
      </c>
      <c r="U47" s="96" t="s">
        <v>15</v>
      </c>
      <c r="V47" s="96" t="s">
        <v>9</v>
      </c>
      <c r="W47" s="97" t="str">
        <f t="shared" si="41"/>
        <v>30%</v>
      </c>
      <c r="X47" s="96" t="s">
        <v>20</v>
      </c>
      <c r="Y47" s="96" t="s">
        <v>22</v>
      </c>
      <c r="Z47" s="96" t="s">
        <v>111</v>
      </c>
      <c r="AA47" s="98">
        <f t="shared" si="47"/>
        <v>0</v>
      </c>
      <c r="AB47" s="99" t="str">
        <f t="shared" si="42"/>
        <v>Muy Baja</v>
      </c>
      <c r="AC47" s="100">
        <f t="shared" si="43"/>
        <v>0</v>
      </c>
      <c r="AD47" s="99" t="str">
        <f t="shared" si="44"/>
        <v>Leve</v>
      </c>
      <c r="AE47" s="100">
        <f t="shared" si="45"/>
        <v>0</v>
      </c>
      <c r="AF47" s="101" t="str">
        <f t="shared" si="46"/>
        <v>Bajo</v>
      </c>
      <c r="AG47" s="102" t="s">
        <v>122</v>
      </c>
      <c r="AH47" s="79"/>
      <c r="AI47" s="92"/>
      <c r="AJ47" s="103"/>
      <c r="AK47" s="103"/>
      <c r="AL47" s="79"/>
      <c r="AM47" s="92"/>
      <c r="AO47" s="233" t="s">
        <v>684</v>
      </c>
      <c r="AP47" s="257" t="s">
        <v>685</v>
      </c>
      <c r="AQ47" s="258">
        <v>2.5</v>
      </c>
      <c r="AR47" s="236" t="s">
        <v>583</v>
      </c>
      <c r="AS47" s="236" t="s">
        <v>583</v>
      </c>
      <c r="AT47" s="236" t="s">
        <v>583</v>
      </c>
      <c r="AU47" s="236" t="s">
        <v>583</v>
      </c>
      <c r="AV47" s="236" t="s">
        <v>583</v>
      </c>
      <c r="AW47" s="236" t="s">
        <v>583</v>
      </c>
      <c r="AX47" s="236" t="s">
        <v>583</v>
      </c>
      <c r="AY47" s="236" t="s">
        <v>583</v>
      </c>
      <c r="AZ47" s="230" t="s">
        <v>686</v>
      </c>
    </row>
    <row r="48" spans="1:52" s="115" customFormat="1" ht="151.5" customHeight="1" x14ac:dyDescent="0.25">
      <c r="A48" s="425"/>
      <c r="B48" s="459"/>
      <c r="C48" s="455"/>
      <c r="D48" s="455"/>
      <c r="E48" s="451"/>
      <c r="F48" s="451"/>
      <c r="G48" s="451"/>
      <c r="H48" s="433"/>
      <c r="I48" s="451"/>
      <c r="J48" s="444"/>
      <c r="K48" s="447"/>
      <c r="L48" s="439"/>
      <c r="M48" s="449"/>
      <c r="N48" s="182"/>
      <c r="O48" s="447"/>
      <c r="P48" s="439"/>
      <c r="Q48" s="442"/>
      <c r="R48" s="94">
        <v>5</v>
      </c>
      <c r="S48" s="79" t="s">
        <v>465</v>
      </c>
      <c r="T48" s="95" t="s">
        <v>4</v>
      </c>
      <c r="U48" s="96" t="s">
        <v>16</v>
      </c>
      <c r="V48" s="96" t="s">
        <v>9</v>
      </c>
      <c r="W48" s="97" t="str">
        <f t="shared" si="41"/>
        <v>25%</v>
      </c>
      <c r="X48" s="96" t="s">
        <v>20</v>
      </c>
      <c r="Y48" s="96" t="s">
        <v>22</v>
      </c>
      <c r="Z48" s="96" t="s">
        <v>111</v>
      </c>
      <c r="AA48" s="98">
        <f>IFERROR(IF(T48="Probabilidad",(L48-(+L48*W48)),IF(T48="Impacto",L48,"")),"")</f>
        <v>0</v>
      </c>
      <c r="AB48" s="99" t="str">
        <f t="shared" si="42"/>
        <v>Muy Baja</v>
      </c>
      <c r="AC48" s="100">
        <f t="shared" si="43"/>
        <v>0</v>
      </c>
      <c r="AD48" s="99" t="str">
        <f t="shared" si="44"/>
        <v>Leve</v>
      </c>
      <c r="AE48" s="100">
        <f t="shared" si="45"/>
        <v>0</v>
      </c>
      <c r="AF48" s="101" t="str">
        <f t="shared" si="46"/>
        <v>Bajo</v>
      </c>
      <c r="AG48" s="102" t="s">
        <v>122</v>
      </c>
      <c r="AH48" s="79"/>
      <c r="AI48" s="92"/>
      <c r="AJ48" s="103"/>
      <c r="AK48" s="103"/>
      <c r="AL48" s="79"/>
      <c r="AM48" s="92"/>
      <c r="AO48" s="233" t="s">
        <v>684</v>
      </c>
      <c r="AP48" s="257" t="s">
        <v>685</v>
      </c>
      <c r="AQ48" s="258">
        <v>3.5</v>
      </c>
      <c r="AR48" s="236" t="s">
        <v>583</v>
      </c>
      <c r="AS48" s="236" t="s">
        <v>583</v>
      </c>
      <c r="AT48" s="236" t="s">
        <v>583</v>
      </c>
      <c r="AU48" s="236" t="s">
        <v>583</v>
      </c>
      <c r="AV48" s="236" t="s">
        <v>583</v>
      </c>
      <c r="AW48" s="236" t="s">
        <v>583</v>
      </c>
      <c r="AX48" s="236" t="s">
        <v>583</v>
      </c>
      <c r="AY48" s="236" t="s">
        <v>583</v>
      </c>
      <c r="AZ48" s="230" t="s">
        <v>686</v>
      </c>
    </row>
    <row r="49" spans="1:52" s="115" customFormat="1" ht="153" x14ac:dyDescent="0.25">
      <c r="A49" s="425">
        <f>1+A44</f>
        <v>14</v>
      </c>
      <c r="B49" s="457" t="s">
        <v>336</v>
      </c>
      <c r="C49" s="452" t="s">
        <v>337</v>
      </c>
      <c r="D49" s="452" t="s">
        <v>338</v>
      </c>
      <c r="E49" s="450" t="s">
        <v>118</v>
      </c>
      <c r="F49" s="454" t="s">
        <v>339</v>
      </c>
      <c r="G49" s="454" t="s">
        <v>417</v>
      </c>
      <c r="H49" s="432" t="s">
        <v>427</v>
      </c>
      <c r="I49" s="450" t="s">
        <v>115</v>
      </c>
      <c r="J49" s="443">
        <v>1</v>
      </c>
      <c r="K49" s="445" t="str">
        <f>IF(J49&lt;=0,"",IF(J49&lt;=2,"Muy Baja",IF(J49&lt;=24,"Baja",IF(J49&lt;=500,"Media",IF(J49&lt;=5000,"Alta","Muy Alta")))))</f>
        <v>Muy Baja</v>
      </c>
      <c r="L49" s="437">
        <f>IF(K49="","",IF(K49="Muy Baja",0.2,IF(K49="Baja",0.4,IF(K49="Media",0.6,IF(K49="Alta",0.8,IF(K49="Muy Alta",1,))))))</f>
        <v>0.2</v>
      </c>
      <c r="M49" s="448" t="s">
        <v>250</v>
      </c>
      <c r="N49" s="181" t="str">
        <f ca="1">IF(NOT(ISERROR(MATCH(M49,'Tabla Impacto'!$B$221:$B$223,0))),'Tabla Impacto'!$F$223&amp;"Por favor no seleccionar los criterios de impacto(Afectación Económica o presupuestal y Pérdida Reputacional)",M49)</f>
        <v xml:space="preserve"> El riesgo afecta la imagen de la entidad con algunos usuarios de relevancia frente al logro de los objetivos</v>
      </c>
      <c r="O49" s="445" t="str">
        <f ca="1">IF(OR(N49='Tabla Impacto'!$C$11,N49='Tabla Impacto'!$D$11),"Leve",IF(OR(N49='Tabla Impacto'!$C$12,N49='Tabla Impacto'!$D$12),"Menor",IF(OR(N49='Tabla Impacto'!$C$13,N49='Tabla Impacto'!$D$13),"Moderado",IF(OR(N49='Tabla Impacto'!$C$14,N49='Tabla Impacto'!$D$14),"Mayor",IF(OR(N49='Tabla Impacto'!$C$15,N49='Tabla Impacto'!$D$15),"Catastrófico","")))))</f>
        <v>Moderado</v>
      </c>
      <c r="P49" s="437">
        <f ca="1">IF(O49="","",IF(O49="Leve",0.2,IF(O49="Menor",0.4,IF(O49="Moderado",0.6,IF(O49="Mayor",0.8,IF(O49="Catastrófico",1,))))))</f>
        <v>0.6</v>
      </c>
      <c r="Q49" s="440" t="str">
        <f ca="1">IF(OR(AND(K49="Muy Baja",O49="Leve"),AND(K49="Muy Baja",O49="Menor"),AND(K49="Baja",O49="Leve")),"Bajo",IF(OR(AND(K49="Muy baja",O49="Moderado"),AND(K49="Baja",O49="Menor"),AND(K49="Baja",O49="Moderado"),AND(K49="Media",O49="Leve"),AND(K49="Media",O49="Menor"),AND(K49="Media",O49="Moderado"),AND(K49="Alta",O49="Leve"),AND(K49="Alta",O49="Menor")),"Moderado",IF(OR(AND(K49="Muy Baja",O49="Mayor"),AND(K49="Baja",O49="Mayor"),AND(K49="Media",O49="Mayor"),AND(K49="Alta",O49="Moderado"),AND(K49="Alta",O49="Mayor"),AND(K49="Muy Alta",O49="Leve"),AND(K49="Muy Alta",O49="Menor"),AND(K49="Muy Alta",O49="Moderado"),AND(K49="Muy Alta",O49="Mayor")),"Alto",IF(OR(AND(K49="Muy Baja",O49="Catastrófico"),AND(K49="Baja",O49="Catastrófico"),AND(K49="Media",O49="Catastrófico"),AND(K49="Alta",O49="Catastrófico"),AND(K49="Muy Alta",O49="Catastrófico")),"Extremo",""))))</f>
        <v>Moderado</v>
      </c>
      <c r="R49" s="94">
        <v>1</v>
      </c>
      <c r="S49" s="91" t="s">
        <v>428</v>
      </c>
      <c r="T49" s="95" t="str">
        <f t="shared" si="5"/>
        <v>Probabilidad</v>
      </c>
      <c r="U49" s="96" t="s">
        <v>14</v>
      </c>
      <c r="V49" s="96" t="s">
        <v>9</v>
      </c>
      <c r="W49" s="97" t="str">
        <f t="shared" si="6"/>
        <v>40%</v>
      </c>
      <c r="X49" s="96" t="s">
        <v>19</v>
      </c>
      <c r="Y49" s="96" t="s">
        <v>22</v>
      </c>
      <c r="Z49" s="96" t="s">
        <v>110</v>
      </c>
      <c r="AA49" s="98">
        <f>IFERROR(IF(T49="Probabilidad",(L49-(+L49*W49)),IF(T49="Impacto",L49,"")),"")</f>
        <v>0.12</v>
      </c>
      <c r="AB49" s="99" t="str">
        <f t="shared" si="7"/>
        <v>Muy Baja</v>
      </c>
      <c r="AC49" s="100">
        <f t="shared" si="8"/>
        <v>0.12</v>
      </c>
      <c r="AD49" s="99" t="str">
        <f t="shared" ca="1" si="9"/>
        <v>Moderado</v>
      </c>
      <c r="AE49" s="100">
        <f t="shared" ca="1" si="10"/>
        <v>0.6</v>
      </c>
      <c r="AF49" s="101" t="str">
        <f t="shared" ca="1" si="11"/>
        <v>Moderado</v>
      </c>
      <c r="AG49" s="102" t="s">
        <v>122</v>
      </c>
      <c r="AH49" s="79" t="s">
        <v>429</v>
      </c>
      <c r="AI49" s="92" t="s">
        <v>195</v>
      </c>
      <c r="AJ49" s="103" t="s">
        <v>205</v>
      </c>
      <c r="AK49" s="103" t="s">
        <v>206</v>
      </c>
      <c r="AL49" s="79" t="s">
        <v>225</v>
      </c>
      <c r="AM49" s="92"/>
      <c r="AO49" s="259" t="s">
        <v>598</v>
      </c>
      <c r="AP49" s="259" t="s">
        <v>599</v>
      </c>
      <c r="AQ49" s="250" t="s">
        <v>583</v>
      </c>
      <c r="AR49" s="259" t="s">
        <v>600</v>
      </c>
      <c r="AS49" s="250" t="s">
        <v>583</v>
      </c>
      <c r="AT49" s="249" t="s">
        <v>583</v>
      </c>
      <c r="AU49" s="250"/>
      <c r="AV49" s="250" t="s">
        <v>582</v>
      </c>
      <c r="AW49" s="250" t="s">
        <v>583</v>
      </c>
      <c r="AX49" s="250" t="s">
        <v>583</v>
      </c>
      <c r="AY49" s="250" t="s">
        <v>583</v>
      </c>
      <c r="AZ49" s="230" t="s">
        <v>601</v>
      </c>
    </row>
    <row r="50" spans="1:52" s="115" customFormat="1" ht="151.5" customHeight="1" x14ac:dyDescent="0.25">
      <c r="A50" s="425"/>
      <c r="B50" s="458"/>
      <c r="C50" s="455"/>
      <c r="D50" s="453"/>
      <c r="E50" s="451"/>
      <c r="F50" s="451"/>
      <c r="G50" s="451"/>
      <c r="H50" s="433"/>
      <c r="I50" s="451"/>
      <c r="J50" s="444"/>
      <c r="K50" s="446"/>
      <c r="L50" s="438"/>
      <c r="M50" s="449"/>
      <c r="N50" s="182"/>
      <c r="O50" s="446"/>
      <c r="P50" s="438"/>
      <c r="Q50" s="441"/>
      <c r="R50" s="94">
        <v>2</v>
      </c>
      <c r="S50" s="79"/>
      <c r="T50" s="95" t="str">
        <f t="shared" si="5"/>
        <v/>
      </c>
      <c r="U50" s="96"/>
      <c r="V50" s="96"/>
      <c r="W50" s="97" t="str">
        <f t="shared" si="6"/>
        <v/>
      </c>
      <c r="X50" s="96"/>
      <c r="Y50" s="96"/>
      <c r="Z50" s="96"/>
      <c r="AA50" s="108" t="str">
        <f>IFERROR(IF(T50="Probabilidad",(AA49-(+AA49*W50)),IF(T50="Impacto",L50,"")),"")</f>
        <v/>
      </c>
      <c r="AB50" s="99" t="str">
        <f t="shared" si="7"/>
        <v/>
      </c>
      <c r="AC50" s="100" t="str">
        <f t="shared" si="8"/>
        <v/>
      </c>
      <c r="AD50" s="99" t="str">
        <f t="shared" si="9"/>
        <v/>
      </c>
      <c r="AE50" s="100" t="str">
        <f t="shared" si="10"/>
        <v/>
      </c>
      <c r="AF50" s="101" t="str">
        <f t="shared" si="11"/>
        <v/>
      </c>
      <c r="AG50" s="102"/>
      <c r="AH50" s="79"/>
      <c r="AI50" s="92"/>
      <c r="AJ50" s="103"/>
      <c r="AK50" s="103"/>
      <c r="AL50" s="79"/>
      <c r="AM50" s="92"/>
      <c r="AO50" s="204"/>
      <c r="AP50" s="204"/>
      <c r="AQ50" s="205"/>
      <c r="AR50" s="204"/>
      <c r="AS50" s="204"/>
      <c r="AT50" s="205"/>
      <c r="AU50" s="206"/>
      <c r="AV50" s="207"/>
      <c r="AW50" s="208"/>
      <c r="AX50" s="208"/>
      <c r="AY50" s="208"/>
      <c r="AZ50" s="231"/>
    </row>
    <row r="51" spans="1:52" s="115" customFormat="1" ht="151.5" customHeight="1" x14ac:dyDescent="0.25">
      <c r="A51" s="425"/>
      <c r="B51" s="459"/>
      <c r="C51" s="455"/>
      <c r="D51" s="453"/>
      <c r="E51" s="451"/>
      <c r="F51" s="451"/>
      <c r="G51" s="451"/>
      <c r="H51" s="433"/>
      <c r="I51" s="451"/>
      <c r="J51" s="444"/>
      <c r="K51" s="447"/>
      <c r="L51" s="439"/>
      <c r="M51" s="449"/>
      <c r="N51" s="182"/>
      <c r="O51" s="447"/>
      <c r="P51" s="439"/>
      <c r="Q51" s="442"/>
      <c r="R51" s="94">
        <v>3</v>
      </c>
      <c r="S51" s="79"/>
      <c r="T51" s="95" t="str">
        <f t="shared" si="5"/>
        <v/>
      </c>
      <c r="U51" s="96"/>
      <c r="V51" s="96"/>
      <c r="W51" s="97"/>
      <c r="X51" s="96"/>
      <c r="Y51" s="96"/>
      <c r="Z51" s="96"/>
      <c r="AA51" s="98" t="str">
        <f>IFERROR(IF(T51="Probabilidad",(AA50-(+AA50*W51)),IF(T51="Impacto",L51,"")),"")</f>
        <v/>
      </c>
      <c r="AB51" s="99" t="str">
        <f t="shared" si="7"/>
        <v/>
      </c>
      <c r="AC51" s="100" t="str">
        <f t="shared" si="8"/>
        <v/>
      </c>
      <c r="AD51" s="99" t="str">
        <f t="shared" si="9"/>
        <v/>
      </c>
      <c r="AE51" s="100" t="str">
        <f t="shared" si="10"/>
        <v/>
      </c>
      <c r="AF51" s="101" t="str">
        <f t="shared" si="11"/>
        <v/>
      </c>
      <c r="AG51" s="102"/>
      <c r="AH51" s="79"/>
      <c r="AI51" s="92"/>
      <c r="AJ51" s="103"/>
      <c r="AK51" s="103"/>
      <c r="AL51" s="79"/>
      <c r="AM51" s="92"/>
      <c r="AO51" s="204"/>
      <c r="AP51" s="204"/>
      <c r="AQ51" s="205"/>
      <c r="AR51" s="204"/>
      <c r="AS51" s="204"/>
      <c r="AT51" s="205"/>
      <c r="AU51" s="206"/>
      <c r="AV51" s="207"/>
      <c r="AW51" s="208"/>
      <c r="AX51" s="208"/>
      <c r="AY51" s="208"/>
      <c r="AZ51" s="231"/>
    </row>
    <row r="52" spans="1:52" s="115" customFormat="1" ht="114.75" x14ac:dyDescent="0.25">
      <c r="A52" s="425">
        <f>1+A49</f>
        <v>15</v>
      </c>
      <c r="B52" s="457" t="s">
        <v>336</v>
      </c>
      <c r="C52" s="452" t="s">
        <v>337</v>
      </c>
      <c r="D52" s="452" t="s">
        <v>338</v>
      </c>
      <c r="E52" s="450" t="s">
        <v>120</v>
      </c>
      <c r="F52" s="454" t="s">
        <v>341</v>
      </c>
      <c r="G52" s="454" t="s">
        <v>342</v>
      </c>
      <c r="H52" s="432" t="s">
        <v>343</v>
      </c>
      <c r="I52" s="450" t="s">
        <v>117</v>
      </c>
      <c r="J52" s="443">
        <v>7</v>
      </c>
      <c r="K52" s="445" t="str">
        <f>IF(J52&lt;=0,"",IF(J52&lt;=2,"Muy Baja",IF(J52&lt;=24,"Baja",IF(J52&lt;=500,"Media",IF(J52&lt;=5000,"Alta","Muy Alta")))))</f>
        <v>Baja</v>
      </c>
      <c r="L52" s="437">
        <f>IF(K52="","",IF(K52="Muy Baja",0.2,IF(K52="Baja",0.4,IF(K52="Media",0.6,IF(K52="Alta",0.8,IF(K52="Muy Alta",1,))))))</f>
        <v>0.4</v>
      </c>
      <c r="M52" s="448" t="s">
        <v>250</v>
      </c>
      <c r="N52" s="181" t="str">
        <f ca="1">IF(NOT(ISERROR(MATCH(M52,'Tabla Impacto'!$B$221:$B$223,0))),'Tabla Impacto'!$F$223&amp;"Por favor no seleccionar los criterios de impacto(Afectación Económica o presupuestal y Pérdida Reputacional)",M52)</f>
        <v xml:space="preserve"> El riesgo afecta la imagen de la entidad con algunos usuarios de relevancia frente al logro de los objetivos</v>
      </c>
      <c r="O52" s="445" t="str">
        <f ca="1">IF(OR(N52='Tabla Impacto'!$C$11,N52='Tabla Impacto'!$D$11),"Leve",IF(OR(N52='Tabla Impacto'!$C$12,N52='Tabla Impacto'!$D$12),"Menor",IF(OR(N52='Tabla Impacto'!$C$13,N52='Tabla Impacto'!$D$13),"Moderado",IF(OR(N52='Tabla Impacto'!$C$14,N52='Tabla Impacto'!$D$14),"Mayor",IF(OR(N52='Tabla Impacto'!$C$15,N52='Tabla Impacto'!$D$15),"Catastrófico","")))))</f>
        <v>Moderado</v>
      </c>
      <c r="P52" s="437">
        <f ca="1">IF(O52="","",IF(O52="Leve",0.2,IF(O52="Menor",0.4,IF(O52="Moderado",0.6,IF(O52="Mayor",0.8,IF(O52="Catastrófico",1,))))))</f>
        <v>0.6</v>
      </c>
      <c r="Q52" s="440" t="str">
        <f ca="1">IF(OR(AND(K52="Muy Baja",O52="Leve"),AND(K52="Muy Baja",O52="Menor"),AND(K52="Baja",O52="Leve")),"Bajo",IF(OR(AND(K52="Muy baja",O52="Moderado"),AND(K52="Baja",O52="Menor"),AND(K52="Baja",O52="Moderado"),AND(K52="Media",O52="Leve"),AND(K52="Media",O52="Menor"),AND(K52="Media",O52="Moderado"),AND(K52="Alta",O52="Leve"),AND(K52="Alta",O52="Menor")),"Moderado",IF(OR(AND(K52="Muy Baja",O52="Mayor"),AND(K52="Baja",O52="Mayor"),AND(K52="Media",O52="Mayor"),AND(K52="Alta",O52="Moderado"),AND(K52="Alta",O52="Mayor"),AND(K52="Muy Alta",O52="Leve"),AND(K52="Muy Alta",O52="Menor"),AND(K52="Muy Alta",O52="Moderado"),AND(K52="Muy Alta",O52="Mayor")),"Alto",IF(OR(AND(K52="Muy Baja",O52="Catastrófico"),AND(K52="Baja",O52="Catastrófico"),AND(K52="Media",O52="Catastrófico"),AND(K52="Alta",O52="Catastrófico"),AND(K52="Muy Alta",O52="Catastrófico")),"Extremo",""))))</f>
        <v>Moderado</v>
      </c>
      <c r="R52" s="94">
        <v>1</v>
      </c>
      <c r="S52" s="79" t="s">
        <v>430</v>
      </c>
      <c r="T52" s="95" t="str">
        <f t="shared" ref="T52:T71" si="53">IF(OR(U52="Preventivo",U52="Detectivo"),"Probabilidad",IF(U52="Correctivo","Impacto",""))</f>
        <v>Probabilidad</v>
      </c>
      <c r="U52" s="96" t="s">
        <v>15</v>
      </c>
      <c r="V52" s="96" t="s">
        <v>9</v>
      </c>
      <c r="W52" s="97" t="str">
        <f>IF(AND(U52="Preventivo",V52="Automático"),"50%",IF(AND(U52="Preventivo",V52="Manual"),"40%",IF(AND(U52="Detectivo",V52="Automático"),"40%",IF(AND(U52="Detectivo",V52="Manual"),"30%",IF(AND(U52="Correctivo",V52="Automático"),"35%",IF(AND(U52="Correctivo",V52="Manual"),"25%",""))))))</f>
        <v>30%</v>
      </c>
      <c r="X52" s="96" t="s">
        <v>20</v>
      </c>
      <c r="Y52" s="96" t="s">
        <v>22</v>
      </c>
      <c r="Z52" s="96" t="s">
        <v>110</v>
      </c>
      <c r="AA52" s="98">
        <f>IFERROR(IF(T52="Probabilidad",(L52-(+L52*W52)),IF(T52="Impacto",L52,"")),"")</f>
        <v>0.28000000000000003</v>
      </c>
      <c r="AB52" s="99" t="str">
        <f t="shared" ref="AB52:AB70" si="54">IFERROR(IF(AA52="","",IF(AA52&lt;=0.2,"Muy Baja",IF(AA52&lt;=0.4,"Baja",IF(AA52&lt;=0.6,"Media",IF(AA52&lt;=0.8,"Alta","Muy Alta"))))),"")</f>
        <v>Baja</v>
      </c>
      <c r="AC52" s="100">
        <f t="shared" ref="AC52:AC70" si="55">+AA52</f>
        <v>0.28000000000000003</v>
      </c>
      <c r="AD52" s="99" t="str">
        <f t="shared" ref="AD52:AD70" ca="1" si="56">IFERROR(IF(AE52="","",IF(AE52&lt;=0.2,"Leve",IF(AE52&lt;=0.4,"Menor",IF(AE52&lt;=0.6,"Moderado",IF(AE52&lt;=0.8,"Mayor","Catastrófico"))))),"")</f>
        <v>Moderado</v>
      </c>
      <c r="AE52" s="100">
        <f t="shared" ref="AE52:AE62" ca="1" si="57">IFERROR(IF(T52="Impacto",(P52-(+P52*W52)),IF(T52="Probabilidad",P52,"")),"")</f>
        <v>0.6</v>
      </c>
      <c r="AF52" s="101" t="str">
        <f t="shared" ref="AF52:AF70" ca="1" si="58">IFERROR(IF(OR(AND(AB52="Muy Baja",AD52="Leve"),AND(AB52="Muy Baja",AD52="Menor"),AND(AB52="Baja",AD52="Leve")),"Bajo",IF(OR(AND(AB52="Muy baja",AD52="Moderado"),AND(AB52="Baja",AD52="Menor"),AND(AB52="Baja",AD52="Moderado"),AND(AB52="Media",AD52="Leve"),AND(AB52="Media",AD52="Menor"),AND(AB52="Media",AD52="Moderado"),AND(AB52="Alta",AD52="Leve"),AND(AB52="Alta",AD52="Menor")),"Moderado",IF(OR(AND(AB52="Muy Baja",AD52="Mayor"),AND(AB52="Baja",AD52="Mayor"),AND(AB52="Media",AD52="Mayor"),AND(AB52="Alta",AD52="Moderado"),AND(AB52="Alta",AD52="Mayor"),AND(AB52="Muy Alta",AD52="Leve"),AND(AB52="Muy Alta",AD52="Menor"),AND(AB52="Muy Alta",AD52="Moderado"),AND(AB52="Muy Alta",AD52="Mayor")),"Alto",IF(OR(AND(AB52="Muy Baja",AD52="Catastrófico"),AND(AB52="Baja",AD52="Catastrófico"),AND(AB52="Media",AD52="Catastrófico"),AND(AB52="Alta",AD52="Catastrófico"),AND(AB52="Muy Alta",AD52="Catastrófico")),"Extremo","")))),"")</f>
        <v>Moderado</v>
      </c>
      <c r="AG52" s="102" t="s">
        <v>122</v>
      </c>
      <c r="AH52" s="79" t="s">
        <v>431</v>
      </c>
      <c r="AI52" s="92" t="s">
        <v>197</v>
      </c>
      <c r="AJ52" s="103" t="s">
        <v>205</v>
      </c>
      <c r="AK52" s="103" t="s">
        <v>206</v>
      </c>
      <c r="AL52" s="79" t="s">
        <v>413</v>
      </c>
      <c r="AM52" s="92"/>
      <c r="AO52" s="259" t="s">
        <v>602</v>
      </c>
      <c r="AP52" s="260" t="s">
        <v>603</v>
      </c>
      <c r="AQ52" s="249">
        <v>1</v>
      </c>
      <c r="AR52" s="259" t="s">
        <v>604</v>
      </c>
      <c r="AS52" s="260" t="s">
        <v>603</v>
      </c>
      <c r="AT52" s="249">
        <v>1</v>
      </c>
      <c r="AU52" s="250"/>
      <c r="AV52" s="250" t="s">
        <v>582</v>
      </c>
      <c r="AW52" s="250" t="s">
        <v>583</v>
      </c>
      <c r="AX52" s="250" t="s">
        <v>583</v>
      </c>
      <c r="AY52" s="250" t="s">
        <v>583</v>
      </c>
      <c r="AZ52" s="230" t="s">
        <v>593</v>
      </c>
    </row>
    <row r="53" spans="1:52" s="115" customFormat="1" ht="151.5" customHeight="1" x14ac:dyDescent="0.25">
      <c r="A53" s="425"/>
      <c r="B53" s="458"/>
      <c r="C53" s="455"/>
      <c r="D53" s="453"/>
      <c r="E53" s="451"/>
      <c r="F53" s="451"/>
      <c r="G53" s="451"/>
      <c r="H53" s="433"/>
      <c r="I53" s="451"/>
      <c r="J53" s="444"/>
      <c r="K53" s="446"/>
      <c r="L53" s="438"/>
      <c r="M53" s="449"/>
      <c r="N53" s="182"/>
      <c r="O53" s="446"/>
      <c r="P53" s="438"/>
      <c r="Q53" s="441"/>
      <c r="R53" s="94">
        <v>2</v>
      </c>
      <c r="S53" s="79"/>
      <c r="T53" s="95" t="str">
        <f t="shared" si="53"/>
        <v/>
      </c>
      <c r="U53" s="96"/>
      <c r="V53" s="96"/>
      <c r="W53" s="97"/>
      <c r="X53" s="96"/>
      <c r="Y53" s="96"/>
      <c r="Z53" s="96"/>
      <c r="AA53" s="98" t="str">
        <f>IFERROR(IF(T53="Probabilidad",(AA52-(+AA52*W53)),IF(T53="Impacto",L53,"")),"")</f>
        <v/>
      </c>
      <c r="AB53" s="99" t="str">
        <f t="shared" si="54"/>
        <v/>
      </c>
      <c r="AC53" s="100" t="str">
        <f t="shared" si="55"/>
        <v/>
      </c>
      <c r="AD53" s="99" t="str">
        <f t="shared" si="56"/>
        <v/>
      </c>
      <c r="AE53" s="100" t="str">
        <f t="shared" si="57"/>
        <v/>
      </c>
      <c r="AF53" s="101" t="str">
        <f t="shared" si="58"/>
        <v/>
      </c>
      <c r="AG53" s="102"/>
      <c r="AH53" s="79"/>
      <c r="AI53" s="92"/>
      <c r="AJ53" s="103"/>
      <c r="AK53" s="103"/>
      <c r="AL53" s="79"/>
      <c r="AM53" s="92"/>
      <c r="AO53" s="204"/>
      <c r="AP53" s="204"/>
      <c r="AQ53" s="205"/>
      <c r="AR53" s="204"/>
      <c r="AS53" s="204"/>
      <c r="AT53" s="205"/>
      <c r="AU53" s="206"/>
      <c r="AV53" s="207"/>
      <c r="AW53" s="208"/>
      <c r="AX53" s="208"/>
      <c r="AY53" s="208"/>
      <c r="AZ53" s="231"/>
    </row>
    <row r="54" spans="1:52" s="115" customFormat="1" ht="151.5" customHeight="1" x14ac:dyDescent="0.25">
      <c r="A54" s="425"/>
      <c r="B54" s="459"/>
      <c r="C54" s="455"/>
      <c r="D54" s="453"/>
      <c r="E54" s="451"/>
      <c r="F54" s="451"/>
      <c r="G54" s="451"/>
      <c r="H54" s="433"/>
      <c r="I54" s="451"/>
      <c r="J54" s="444"/>
      <c r="K54" s="447"/>
      <c r="L54" s="439"/>
      <c r="M54" s="449"/>
      <c r="N54" s="182"/>
      <c r="O54" s="447"/>
      <c r="P54" s="439"/>
      <c r="Q54" s="442"/>
      <c r="R54" s="94">
        <v>3</v>
      </c>
      <c r="S54" s="79"/>
      <c r="T54" s="95" t="str">
        <f t="shared" si="53"/>
        <v/>
      </c>
      <c r="U54" s="96"/>
      <c r="V54" s="96"/>
      <c r="W54" s="97"/>
      <c r="X54" s="96"/>
      <c r="Y54" s="96"/>
      <c r="Z54" s="96"/>
      <c r="AA54" s="98" t="str">
        <f>IFERROR(IF(T54="Probabilidad",(AA53-(+AA53*W54)),IF(T54="Impacto",L54,"")),"")</f>
        <v/>
      </c>
      <c r="AB54" s="99" t="str">
        <f t="shared" si="54"/>
        <v/>
      </c>
      <c r="AC54" s="100" t="str">
        <f t="shared" si="55"/>
        <v/>
      </c>
      <c r="AD54" s="99" t="str">
        <f t="shared" si="56"/>
        <v/>
      </c>
      <c r="AE54" s="100" t="str">
        <f t="shared" si="57"/>
        <v/>
      </c>
      <c r="AF54" s="101" t="str">
        <f t="shared" si="58"/>
        <v/>
      </c>
      <c r="AG54" s="102"/>
      <c r="AH54" s="79"/>
      <c r="AI54" s="92"/>
      <c r="AJ54" s="103"/>
      <c r="AK54" s="103"/>
      <c r="AL54" s="79"/>
      <c r="AM54" s="92"/>
      <c r="AO54" s="204"/>
      <c r="AP54" s="204"/>
      <c r="AQ54" s="205"/>
      <c r="AR54" s="204"/>
      <c r="AS54" s="204"/>
      <c r="AT54" s="205"/>
      <c r="AU54" s="206"/>
      <c r="AV54" s="207"/>
      <c r="AW54" s="208"/>
      <c r="AX54" s="208"/>
      <c r="AY54" s="208"/>
      <c r="AZ54" s="231"/>
    </row>
    <row r="55" spans="1:52" s="115" customFormat="1" ht="127.5" x14ac:dyDescent="0.25">
      <c r="A55" s="425">
        <f>1+A52</f>
        <v>16</v>
      </c>
      <c r="B55" s="457" t="s">
        <v>207</v>
      </c>
      <c r="C55" s="452" t="s">
        <v>223</v>
      </c>
      <c r="D55" s="452" t="s">
        <v>344</v>
      </c>
      <c r="E55" s="450" t="s">
        <v>120</v>
      </c>
      <c r="F55" s="450" t="s">
        <v>208</v>
      </c>
      <c r="G55" s="450" t="s">
        <v>209</v>
      </c>
      <c r="H55" s="432" t="s">
        <v>262</v>
      </c>
      <c r="I55" s="450" t="s">
        <v>115</v>
      </c>
      <c r="J55" s="443">
        <v>2</v>
      </c>
      <c r="K55" s="445" t="str">
        <f>IF(J55&lt;=0,"",IF(J55&lt;=2,"Muy Baja",IF(J55&lt;=24,"Baja",IF(J55&lt;=500,"Media",IF(J55&lt;=5000,"Alta","Muy Alta")))))</f>
        <v>Muy Baja</v>
      </c>
      <c r="L55" s="437">
        <f>IF(K55="","",IF(K55="Muy Baja",0.2,IF(K55="Baja",0.4,IF(K55="Media",0.6,IF(K55="Alta",0.8,IF(K55="Muy Alta",1,))))))</f>
        <v>0.2</v>
      </c>
      <c r="M55" s="448" t="s">
        <v>249</v>
      </c>
      <c r="N55" s="181" t="str">
        <f ca="1">IF(NOT(ISERROR(MATCH(M55,'Tabla Impacto'!$B$221:$B$223,0))),'Tabla Impacto'!$F$223&amp;"Por favor no seleccionar los criterios de impacto(Afectación Económica o presupuestal y Pérdida Reputacional)",M55)</f>
        <v xml:space="preserve"> Entre 50 y 100 SMLMV </v>
      </c>
      <c r="O55" s="445" t="str">
        <f ca="1">IF(OR(N55='Tabla Impacto'!$C$11,N55='Tabla Impacto'!$D$11),"Leve",IF(OR(N55='Tabla Impacto'!$C$12,N55='Tabla Impacto'!$D$12),"Menor",IF(OR(N55='Tabla Impacto'!$C$13,N55='Tabla Impacto'!$D$13),"Moderado",IF(OR(N55='Tabla Impacto'!$C$14,N55='Tabla Impacto'!$D$14),"Mayor",IF(OR(N55='Tabla Impacto'!$C$15,N55='Tabla Impacto'!$D$15),"Catastrófico","")))))</f>
        <v>Moderado</v>
      </c>
      <c r="P55" s="437">
        <f ca="1">IF(O55="","",IF(O55="Leve",0.2,IF(O55="Menor",0.4,IF(O55="Moderado",0.6,IF(O55="Mayor",0.8,IF(O55="Catastrófico",1,))))))</f>
        <v>0.6</v>
      </c>
      <c r="Q55" s="440" t="str">
        <f ca="1">IF(OR(AND(K55="Muy Baja",O55="Leve"),AND(K55="Muy Baja",O55="Menor"),AND(K55="Baja",O55="Leve")),"Bajo",IF(OR(AND(K55="Muy baja",O55="Moderado"),AND(K55="Baja",O55="Menor"),AND(K55="Baja",O55="Moderado"),AND(K55="Media",O55="Leve"),AND(K55="Media",O55="Menor"),AND(K55="Media",O55="Moderado"),AND(K55="Alta",O55="Leve"),AND(K55="Alta",O55="Menor")),"Moderado",IF(OR(AND(K55="Muy Baja",O55="Mayor"),AND(K55="Baja",O55="Mayor"),AND(K55="Media",O55="Mayor"),AND(K55="Alta",O55="Moderado"),AND(K55="Alta",O55="Mayor"),AND(K55="Muy Alta",O55="Leve"),AND(K55="Muy Alta",O55="Menor"),AND(K55="Muy Alta",O55="Moderado"),AND(K55="Muy Alta",O55="Mayor")),"Alto",IF(OR(AND(K55="Muy Baja",O55="Catastrófico"),AND(K55="Baja",O55="Catastrófico"),AND(K55="Media",O55="Catastrófico"),AND(K55="Alta",O55="Catastrófico"),AND(K55="Muy Alta",O55="Catastrófico")),"Extremo",""))))</f>
        <v>Moderado</v>
      </c>
      <c r="R55" s="94">
        <v>1</v>
      </c>
      <c r="S55" s="79" t="s">
        <v>345</v>
      </c>
      <c r="T55" s="95" t="str">
        <f t="shared" si="53"/>
        <v>Probabilidad</v>
      </c>
      <c r="U55" s="96" t="s">
        <v>14</v>
      </c>
      <c r="V55" s="96" t="s">
        <v>9</v>
      </c>
      <c r="W55" s="97" t="str">
        <f>IF(AND(U55="Preventivo",V55="Automático"),"50%",IF(AND(U55="Preventivo",V55="Manual"),"40%",IF(AND(U55="Detectivo",V55="Automático"),"40%",IF(AND(U55="Detectivo",V55="Manual"),"30%",IF(AND(U55="Correctivo",V55="Automático"),"35%",IF(AND(U55="Correctivo",V55="Manual"),"25%",""))))))</f>
        <v>40%</v>
      </c>
      <c r="X55" s="96" t="s">
        <v>20</v>
      </c>
      <c r="Y55" s="96" t="s">
        <v>22</v>
      </c>
      <c r="Z55" s="96" t="s">
        <v>110</v>
      </c>
      <c r="AA55" s="98">
        <f>IFERROR(IF(T55="Probabilidad",(L55-(+L55*W55)),IF(T55="Impacto",L55,"")),"")</f>
        <v>0.12</v>
      </c>
      <c r="AB55" s="99" t="str">
        <f t="shared" si="54"/>
        <v>Muy Baja</v>
      </c>
      <c r="AC55" s="100">
        <f t="shared" si="55"/>
        <v>0.12</v>
      </c>
      <c r="AD55" s="99" t="str">
        <f t="shared" ca="1" si="56"/>
        <v>Moderado</v>
      </c>
      <c r="AE55" s="100">
        <f t="shared" ca="1" si="57"/>
        <v>0.6</v>
      </c>
      <c r="AF55" s="101" t="str">
        <f t="shared" ca="1" si="58"/>
        <v>Moderado</v>
      </c>
      <c r="AG55" s="102" t="s">
        <v>122</v>
      </c>
      <c r="AH55" s="91" t="s">
        <v>263</v>
      </c>
      <c r="AI55" s="92" t="s">
        <v>203</v>
      </c>
      <c r="AJ55" s="103" t="s">
        <v>205</v>
      </c>
      <c r="AK55" s="103" t="s">
        <v>206</v>
      </c>
      <c r="AL55" s="79" t="s">
        <v>225</v>
      </c>
      <c r="AM55" s="92"/>
      <c r="AO55" s="261" t="s">
        <v>620</v>
      </c>
      <c r="AP55" s="261" t="s">
        <v>621</v>
      </c>
      <c r="AQ55" s="262">
        <v>1</v>
      </c>
      <c r="AR55" s="263" t="s">
        <v>622</v>
      </c>
      <c r="AS55" s="261" t="s">
        <v>621</v>
      </c>
      <c r="AT55" s="262">
        <v>1</v>
      </c>
      <c r="AU55" s="264"/>
      <c r="AV55" s="250" t="s">
        <v>582</v>
      </c>
      <c r="AW55" s="250" t="s">
        <v>583</v>
      </c>
      <c r="AX55" s="250" t="s">
        <v>583</v>
      </c>
      <c r="AY55" s="250" t="s">
        <v>583</v>
      </c>
      <c r="AZ55" s="230" t="s">
        <v>593</v>
      </c>
    </row>
    <row r="56" spans="1:52" s="115" customFormat="1" ht="151.5" customHeight="1" x14ac:dyDescent="0.25">
      <c r="A56" s="425"/>
      <c r="B56" s="458"/>
      <c r="C56" s="455"/>
      <c r="D56" s="453"/>
      <c r="E56" s="451"/>
      <c r="F56" s="451"/>
      <c r="G56" s="451"/>
      <c r="H56" s="433"/>
      <c r="I56" s="451"/>
      <c r="J56" s="444"/>
      <c r="K56" s="446"/>
      <c r="L56" s="438"/>
      <c r="M56" s="449"/>
      <c r="N56" s="182"/>
      <c r="O56" s="446"/>
      <c r="P56" s="438"/>
      <c r="Q56" s="441"/>
      <c r="R56" s="94">
        <v>2</v>
      </c>
      <c r="S56" s="79"/>
      <c r="T56" s="95" t="str">
        <f t="shared" si="53"/>
        <v/>
      </c>
      <c r="U56" s="96"/>
      <c r="V56" s="96"/>
      <c r="W56" s="97"/>
      <c r="X56" s="96"/>
      <c r="Y56" s="96"/>
      <c r="Z56" s="96"/>
      <c r="AA56" s="98" t="str">
        <f>IFERROR(IF(T56="Probabilidad",(AA55-(+AA55*W56)),IF(T56="Impacto",L56,"")),"")</f>
        <v/>
      </c>
      <c r="AB56" s="99" t="str">
        <f t="shared" si="54"/>
        <v/>
      </c>
      <c r="AC56" s="100" t="str">
        <f t="shared" si="55"/>
        <v/>
      </c>
      <c r="AD56" s="99" t="str">
        <f t="shared" si="56"/>
        <v/>
      </c>
      <c r="AE56" s="100" t="str">
        <f t="shared" si="57"/>
        <v/>
      </c>
      <c r="AF56" s="101" t="str">
        <f t="shared" si="58"/>
        <v/>
      </c>
      <c r="AG56" s="102"/>
      <c r="AH56" s="79"/>
      <c r="AI56" s="92"/>
      <c r="AJ56" s="103"/>
      <c r="AK56" s="103"/>
      <c r="AL56" s="79"/>
      <c r="AM56" s="92"/>
      <c r="AO56" s="204"/>
      <c r="AP56" s="204"/>
      <c r="AQ56" s="205"/>
      <c r="AR56" s="204"/>
      <c r="AS56" s="204"/>
      <c r="AT56" s="205"/>
      <c r="AU56" s="206"/>
      <c r="AV56" s="207"/>
      <c r="AW56" s="208"/>
      <c r="AX56" s="208"/>
      <c r="AY56" s="208"/>
      <c r="AZ56" s="231"/>
    </row>
    <row r="57" spans="1:52" s="115" customFormat="1" ht="151.5" customHeight="1" x14ac:dyDescent="0.25">
      <c r="A57" s="425"/>
      <c r="B57" s="459"/>
      <c r="C57" s="455"/>
      <c r="D57" s="453"/>
      <c r="E57" s="451"/>
      <c r="F57" s="451"/>
      <c r="G57" s="451"/>
      <c r="H57" s="433"/>
      <c r="I57" s="451"/>
      <c r="J57" s="444"/>
      <c r="K57" s="447"/>
      <c r="L57" s="439"/>
      <c r="M57" s="449"/>
      <c r="N57" s="182"/>
      <c r="O57" s="447"/>
      <c r="P57" s="439"/>
      <c r="Q57" s="442"/>
      <c r="R57" s="94">
        <v>3</v>
      </c>
      <c r="S57" s="79"/>
      <c r="T57" s="95" t="str">
        <f t="shared" si="53"/>
        <v/>
      </c>
      <c r="U57" s="96"/>
      <c r="V57" s="96"/>
      <c r="W57" s="97"/>
      <c r="X57" s="96"/>
      <c r="Y57" s="96"/>
      <c r="Z57" s="96"/>
      <c r="AA57" s="98" t="str">
        <f>IFERROR(IF(T57="Probabilidad",(AA56-(+AA56*W57)),IF(T57="Impacto",L57,"")),"")</f>
        <v/>
      </c>
      <c r="AB57" s="99" t="str">
        <f t="shared" si="54"/>
        <v/>
      </c>
      <c r="AC57" s="100" t="str">
        <f t="shared" si="55"/>
        <v/>
      </c>
      <c r="AD57" s="99" t="str">
        <f t="shared" si="56"/>
        <v/>
      </c>
      <c r="AE57" s="100" t="str">
        <f t="shared" si="57"/>
        <v/>
      </c>
      <c r="AF57" s="101" t="str">
        <f t="shared" si="58"/>
        <v/>
      </c>
      <c r="AG57" s="102"/>
      <c r="AH57" s="79"/>
      <c r="AI57" s="92"/>
      <c r="AJ57" s="103"/>
      <c r="AK57" s="103"/>
      <c r="AL57" s="79"/>
      <c r="AM57" s="92"/>
      <c r="AO57" s="206"/>
      <c r="AP57" s="206"/>
      <c r="AQ57" s="206"/>
      <c r="AR57" s="206"/>
      <c r="AS57" s="206"/>
      <c r="AT57" s="206"/>
      <c r="AU57" s="206"/>
      <c r="AV57" s="206"/>
      <c r="AW57" s="206"/>
      <c r="AX57" s="206"/>
      <c r="AY57" s="206"/>
      <c r="AZ57" s="206"/>
    </row>
    <row r="58" spans="1:52" s="115" customFormat="1" ht="89.25" x14ac:dyDescent="0.25">
      <c r="A58" s="425">
        <f>1+A55</f>
        <v>17</v>
      </c>
      <c r="B58" s="457" t="s">
        <v>207</v>
      </c>
      <c r="C58" s="452" t="s">
        <v>223</v>
      </c>
      <c r="D58" s="452" t="s">
        <v>344</v>
      </c>
      <c r="E58" s="450" t="s">
        <v>118</v>
      </c>
      <c r="F58" s="450" t="s">
        <v>240</v>
      </c>
      <c r="G58" s="450" t="s">
        <v>241</v>
      </c>
      <c r="H58" s="432" t="s">
        <v>242</v>
      </c>
      <c r="I58" s="450" t="s">
        <v>218</v>
      </c>
      <c r="J58" s="443">
        <v>10</v>
      </c>
      <c r="K58" s="445" t="str">
        <f>IF(J58&lt;=0,"",IF(J58&lt;=2,"Muy Baja",IF(J58&lt;=24,"Baja",IF(J58&lt;=500,"Media",IF(J58&lt;=5000,"Alta","Muy Alta")))))</f>
        <v>Baja</v>
      </c>
      <c r="L58" s="437">
        <f>IF(K58="","",IF(K58="Muy Baja",0.2,IF(K58="Baja",0.4,IF(K58="Media",0.6,IF(K58="Alta",0.8,IF(K58="Muy Alta",1,))))))</f>
        <v>0.4</v>
      </c>
      <c r="M58" s="448" t="s">
        <v>250</v>
      </c>
      <c r="N58" s="181" t="str">
        <f ca="1">IF(NOT(ISERROR(MATCH(M58,'Tabla Impacto'!$B$221:$B$223,0))),'Tabla Impacto'!$F$223&amp;"Por favor no seleccionar los criterios de impacto(Afectación Económica o presupuestal y Pérdida Reputacional)",M58)</f>
        <v xml:space="preserve"> El riesgo afecta la imagen de la entidad con algunos usuarios de relevancia frente al logro de los objetivos</v>
      </c>
      <c r="O58" s="445" t="str">
        <f ca="1">IF(OR(N58='Tabla Impacto'!$C$11,N58='Tabla Impacto'!$D$11),"Leve",IF(OR(N58='Tabla Impacto'!$C$12,N58='Tabla Impacto'!$D$12),"Menor",IF(OR(N58='Tabla Impacto'!$C$13,N58='Tabla Impacto'!$D$13),"Moderado",IF(OR(N58='Tabla Impacto'!$C$14,N58='Tabla Impacto'!$D$14),"Mayor",IF(OR(N58='Tabla Impacto'!$C$15,N58='Tabla Impacto'!$D$15),"Catastrófico","")))))</f>
        <v>Moderado</v>
      </c>
      <c r="P58" s="437">
        <f ca="1">IF(O58="","",IF(O58="Leve",0.2,IF(O58="Menor",0.4,IF(O58="Moderado",0.6,IF(O58="Mayor",0.8,IF(O58="Catastrófico",1,))))))</f>
        <v>0.6</v>
      </c>
      <c r="Q58" s="440" t="str">
        <f ca="1">IF(OR(AND(K58="Muy Baja",O58="Leve"),AND(K58="Muy Baja",O58="Menor"),AND(K58="Baja",O58="Leve")),"Bajo",IF(OR(AND(K58="Muy baja",O58="Moderado"),AND(K58="Baja",O58="Menor"),AND(K58="Baja",O58="Moderado"),AND(K58="Media",O58="Leve"),AND(K58="Media",O58="Menor"),AND(K58="Media",O58="Moderado"),AND(K58="Alta",O58="Leve"),AND(K58="Alta",O58="Menor")),"Moderado",IF(OR(AND(K58="Muy Baja",O58="Mayor"),AND(K58="Baja",O58="Mayor"),AND(K58="Media",O58="Mayor"),AND(K58="Alta",O58="Moderado"),AND(K58="Alta",O58="Mayor"),AND(K58="Muy Alta",O58="Leve"),AND(K58="Muy Alta",O58="Menor"),AND(K58="Muy Alta",O58="Moderado"),AND(K58="Muy Alta",O58="Mayor")),"Alto",IF(OR(AND(K58="Muy Baja",O58="Catastrófico"),AND(K58="Baja",O58="Catastrófico"),AND(K58="Media",O58="Catastrófico"),AND(K58="Alta",O58="Catastrófico"),AND(K58="Muy Alta",O58="Catastrófico")),"Extremo",""))))</f>
        <v>Moderado</v>
      </c>
      <c r="R58" s="94">
        <v>1</v>
      </c>
      <c r="S58" s="79" t="s">
        <v>432</v>
      </c>
      <c r="T58" s="95" t="str">
        <f t="shared" si="53"/>
        <v>Probabilidad</v>
      </c>
      <c r="U58" s="96" t="s">
        <v>15</v>
      </c>
      <c r="V58" s="96" t="s">
        <v>9</v>
      </c>
      <c r="W58" s="97" t="str">
        <f>IF(AND(U58="Preventivo",V58="Automático"),"50%",IF(AND(U58="Preventivo",V58="Manual"),"40%",IF(AND(U58="Detectivo",V58="Automático"),"40%",IF(AND(U58="Detectivo",V58="Manual"),"30%",IF(AND(U58="Correctivo",V58="Automático"),"35%",IF(AND(U58="Correctivo",V58="Manual"),"25%",""))))))</f>
        <v>30%</v>
      </c>
      <c r="X58" s="96" t="s">
        <v>20</v>
      </c>
      <c r="Y58" s="96" t="s">
        <v>23</v>
      </c>
      <c r="Z58" s="96" t="s">
        <v>111</v>
      </c>
      <c r="AA58" s="98">
        <f>IFERROR(IF(T58="Probabilidad",(L58-(+L58*W58)),IF(T58="Impacto",L58,"")),"")</f>
        <v>0.28000000000000003</v>
      </c>
      <c r="AB58" s="99" t="str">
        <f t="shared" si="54"/>
        <v>Baja</v>
      </c>
      <c r="AC58" s="100">
        <f t="shared" si="55"/>
        <v>0.28000000000000003</v>
      </c>
      <c r="AD58" s="99" t="str">
        <f t="shared" ca="1" si="56"/>
        <v>Moderado</v>
      </c>
      <c r="AE58" s="100">
        <f t="shared" ca="1" si="57"/>
        <v>0.6</v>
      </c>
      <c r="AF58" s="101" t="str">
        <f t="shared" ca="1" si="58"/>
        <v>Moderado</v>
      </c>
      <c r="AG58" s="102" t="s">
        <v>122</v>
      </c>
      <c r="AH58" s="79" t="s">
        <v>264</v>
      </c>
      <c r="AI58" s="92" t="s">
        <v>346</v>
      </c>
      <c r="AJ58" s="103" t="s">
        <v>205</v>
      </c>
      <c r="AK58" s="103" t="s">
        <v>206</v>
      </c>
      <c r="AL58" s="91" t="s">
        <v>347</v>
      </c>
      <c r="AM58" s="92"/>
      <c r="AO58" s="265" t="s">
        <v>623</v>
      </c>
      <c r="AP58" s="261" t="s">
        <v>624</v>
      </c>
      <c r="AQ58" s="266">
        <v>1</v>
      </c>
      <c r="AR58" s="261" t="s">
        <v>625</v>
      </c>
      <c r="AS58" s="261" t="s">
        <v>624</v>
      </c>
      <c r="AT58" s="266">
        <v>1</v>
      </c>
      <c r="AU58" s="206"/>
      <c r="AV58" s="250" t="s">
        <v>582</v>
      </c>
      <c r="AW58" s="250" t="s">
        <v>583</v>
      </c>
      <c r="AX58" s="250" t="s">
        <v>583</v>
      </c>
      <c r="AY58" s="250" t="s">
        <v>583</v>
      </c>
      <c r="AZ58" s="230" t="s">
        <v>593</v>
      </c>
    </row>
    <row r="59" spans="1:52" s="115" customFormat="1" ht="151.5" customHeight="1" x14ac:dyDescent="0.25">
      <c r="A59" s="425"/>
      <c r="B59" s="458"/>
      <c r="C59" s="455"/>
      <c r="D59" s="453"/>
      <c r="E59" s="451"/>
      <c r="F59" s="451"/>
      <c r="G59" s="451"/>
      <c r="H59" s="433"/>
      <c r="I59" s="451"/>
      <c r="J59" s="444"/>
      <c r="K59" s="446"/>
      <c r="L59" s="438"/>
      <c r="M59" s="449"/>
      <c r="N59" s="182"/>
      <c r="O59" s="446"/>
      <c r="P59" s="438"/>
      <c r="Q59" s="441"/>
      <c r="R59" s="94">
        <v>2</v>
      </c>
      <c r="S59" s="79"/>
      <c r="T59" s="95" t="str">
        <f t="shared" si="53"/>
        <v/>
      </c>
      <c r="U59" s="96"/>
      <c r="V59" s="96"/>
      <c r="W59" s="97"/>
      <c r="X59" s="96"/>
      <c r="Y59" s="96"/>
      <c r="Z59" s="96"/>
      <c r="AA59" s="98" t="str">
        <f>IFERROR(IF(T59="Probabilidad",(AA58-(+AA58*W59)),IF(T59="Impacto",L59,"")),"")</f>
        <v/>
      </c>
      <c r="AB59" s="99" t="str">
        <f t="shared" si="54"/>
        <v/>
      </c>
      <c r="AC59" s="100" t="str">
        <f t="shared" si="55"/>
        <v/>
      </c>
      <c r="AD59" s="99" t="str">
        <f t="shared" si="56"/>
        <v/>
      </c>
      <c r="AE59" s="100" t="str">
        <f t="shared" si="57"/>
        <v/>
      </c>
      <c r="AF59" s="101" t="str">
        <f t="shared" si="58"/>
        <v/>
      </c>
      <c r="AG59" s="102"/>
      <c r="AH59" s="79"/>
      <c r="AI59" s="92"/>
      <c r="AJ59" s="103"/>
      <c r="AK59" s="103"/>
      <c r="AL59" s="79"/>
      <c r="AM59" s="92"/>
      <c r="AO59" s="206"/>
      <c r="AP59" s="206"/>
      <c r="AQ59" s="206"/>
      <c r="AR59" s="206"/>
      <c r="AS59" s="206"/>
      <c r="AT59" s="206"/>
      <c r="AU59" s="206"/>
      <c r="AV59" s="206"/>
      <c r="AW59" s="206"/>
      <c r="AX59" s="206"/>
      <c r="AY59" s="206"/>
      <c r="AZ59" s="206"/>
    </row>
    <row r="60" spans="1:52" s="115" customFormat="1" ht="151.5" customHeight="1" x14ac:dyDescent="0.25">
      <c r="A60" s="425"/>
      <c r="B60" s="459"/>
      <c r="C60" s="455"/>
      <c r="D60" s="453"/>
      <c r="E60" s="451"/>
      <c r="F60" s="451"/>
      <c r="G60" s="451"/>
      <c r="H60" s="433"/>
      <c r="I60" s="451"/>
      <c r="J60" s="444"/>
      <c r="K60" s="447"/>
      <c r="L60" s="439"/>
      <c r="M60" s="449"/>
      <c r="N60" s="182"/>
      <c r="O60" s="447"/>
      <c r="P60" s="439"/>
      <c r="Q60" s="442"/>
      <c r="R60" s="94">
        <v>3</v>
      </c>
      <c r="S60" s="79"/>
      <c r="T60" s="95" t="str">
        <f t="shared" si="53"/>
        <v/>
      </c>
      <c r="U60" s="96"/>
      <c r="V60" s="96"/>
      <c r="W60" s="97"/>
      <c r="X60" s="96"/>
      <c r="Y60" s="96"/>
      <c r="Z60" s="96"/>
      <c r="AA60" s="98" t="str">
        <f>IFERROR(IF(T60="Probabilidad",(AA59-(+AA59*W60)),IF(T60="Impacto",L60,"")),"")</f>
        <v/>
      </c>
      <c r="AB60" s="99" t="str">
        <f t="shared" si="54"/>
        <v/>
      </c>
      <c r="AC60" s="100" t="str">
        <f t="shared" si="55"/>
        <v/>
      </c>
      <c r="AD60" s="99" t="str">
        <f t="shared" si="56"/>
        <v/>
      </c>
      <c r="AE60" s="100" t="str">
        <f t="shared" si="57"/>
        <v/>
      </c>
      <c r="AF60" s="101" t="str">
        <f t="shared" si="58"/>
        <v/>
      </c>
      <c r="AG60" s="102"/>
      <c r="AH60" s="79"/>
      <c r="AI60" s="92"/>
      <c r="AJ60" s="103"/>
      <c r="AK60" s="103"/>
      <c r="AL60" s="79"/>
      <c r="AM60" s="92"/>
      <c r="AO60" s="206"/>
      <c r="AP60" s="206"/>
      <c r="AQ60" s="206"/>
      <c r="AR60" s="206"/>
      <c r="AS60" s="206"/>
      <c r="AT60" s="206"/>
      <c r="AU60" s="206"/>
      <c r="AV60" s="206"/>
      <c r="AW60" s="206"/>
      <c r="AX60" s="206"/>
      <c r="AY60" s="206"/>
      <c r="AZ60" s="206"/>
    </row>
    <row r="61" spans="1:52" s="115" customFormat="1" ht="142.5" customHeight="1" x14ac:dyDescent="0.25">
      <c r="A61" s="425">
        <f>1+A58</f>
        <v>18</v>
      </c>
      <c r="B61" s="457" t="s">
        <v>210</v>
      </c>
      <c r="C61" s="452" t="s">
        <v>348</v>
      </c>
      <c r="D61" s="452" t="s">
        <v>349</v>
      </c>
      <c r="E61" s="450" t="s">
        <v>118</v>
      </c>
      <c r="F61" s="450" t="s">
        <v>350</v>
      </c>
      <c r="G61" s="450" t="s">
        <v>351</v>
      </c>
      <c r="H61" s="432" t="s">
        <v>352</v>
      </c>
      <c r="I61" s="450" t="s">
        <v>218</v>
      </c>
      <c r="J61" s="443">
        <v>355</v>
      </c>
      <c r="K61" s="445" t="str">
        <f>IF(J61&lt;=0,"",IF(J61&lt;=2,"Muy Baja",IF(J61&lt;=24,"Baja",IF(J61&lt;=500,"Media",IF(J61&lt;=5000,"Alta","Muy Alta")))))</f>
        <v>Media</v>
      </c>
      <c r="L61" s="437">
        <f>IF(K61="","",IF(K61="Muy Baja",0.2,IF(K61="Baja",0.4,IF(K61="Media",0.6,IF(K61="Alta",0.8,IF(K61="Muy Alta",1,))))))</f>
        <v>0.6</v>
      </c>
      <c r="M61" s="448" t="s">
        <v>257</v>
      </c>
      <c r="N61" s="181" t="str">
        <f ca="1">IF(NOT(ISERROR(MATCH(M61,'Tabla Impacto'!$B$221:$B$223,0))),'Tabla Impacto'!$F$223&amp;"Por favor no seleccionar los criterios de impacto(Afectación Económica o presupuestal y Pérdida Reputacional)",M61)</f>
        <v xml:space="preserve"> El riesgo afecta la imagen de la entidad con efecto publicitario sostenido a nivel de sector administrativo, nivel departamental o municipal</v>
      </c>
      <c r="O61" s="445" t="str">
        <f ca="1">IF(OR(N61='Tabla Impacto'!$C$11,N61='Tabla Impacto'!$D$11),"Leve",IF(OR(N61='Tabla Impacto'!$C$12,N61='Tabla Impacto'!$D$12),"Menor",IF(OR(N61='Tabla Impacto'!$C$13,N61='Tabla Impacto'!$D$13),"Moderado",IF(OR(N61='Tabla Impacto'!$C$14,N61='Tabla Impacto'!$D$14),"Mayor",IF(OR(N61='Tabla Impacto'!$C$15,N61='Tabla Impacto'!$D$15),"Catastrófico","")))))</f>
        <v>Mayor</v>
      </c>
      <c r="P61" s="437">
        <f ca="1">IF(O61="","",IF(O61="Leve",0.2,IF(O61="Menor",0.4,IF(O61="Moderado",0.6,IF(O61="Mayor",0.8,IF(O61="Catastrófico",1,))))))</f>
        <v>0.8</v>
      </c>
      <c r="Q61" s="440" t="str">
        <f ca="1">IF(OR(AND(K61="Muy Baja",O61="Leve"),AND(K61="Muy Baja",O61="Menor"),AND(K61="Baja",O61="Leve")),"Bajo",IF(OR(AND(K61="Muy baja",O61="Moderado"),AND(K61="Baja",O61="Menor"),AND(K61="Baja",O61="Moderado"),AND(K61="Media",O61="Leve"),AND(K61="Media",O61="Menor"),AND(K61="Media",O61="Moderado"),AND(K61="Alta",O61="Leve"),AND(K61="Alta",O61="Menor")),"Moderado",IF(OR(AND(K61="Muy Baja",O61="Mayor"),AND(K61="Baja",O61="Mayor"),AND(K61="Media",O61="Mayor"),AND(K61="Alta",O61="Moderado"),AND(K61="Alta",O61="Mayor"),AND(K61="Muy Alta",O61="Leve"),AND(K61="Muy Alta",O61="Menor"),AND(K61="Muy Alta",O61="Moderado"),AND(K61="Muy Alta",O61="Mayor")),"Alto",IF(OR(AND(K61="Muy Baja",O61="Catastrófico"),AND(K61="Baja",O61="Catastrófico"),AND(K61="Media",O61="Catastrófico"),AND(K61="Alta",O61="Catastrófico"),AND(K61="Muy Alta",O61="Catastrófico")),"Extremo",""))))</f>
        <v>Alto</v>
      </c>
      <c r="R61" s="94">
        <v>1</v>
      </c>
      <c r="S61" s="79" t="s">
        <v>475</v>
      </c>
      <c r="T61" s="95" t="str">
        <f t="shared" si="53"/>
        <v>Probabilidad</v>
      </c>
      <c r="U61" s="96" t="s">
        <v>14</v>
      </c>
      <c r="V61" s="96" t="s">
        <v>9</v>
      </c>
      <c r="W61" s="97" t="str">
        <f>IF(AND(U61="Preventivo",V61="Automático"),"50%",IF(AND(U61="Preventivo",V61="Manual"),"40%",IF(AND(U61="Detectivo",V61="Automático"),"40%",IF(AND(U61="Detectivo",V61="Manual"),"30%",IF(AND(U61="Correctivo",V61="Automático"),"35%",IF(AND(U61="Correctivo",V61="Manual"),"25%",""))))))</f>
        <v>40%</v>
      </c>
      <c r="X61" s="96" t="s">
        <v>19</v>
      </c>
      <c r="Y61" s="96" t="s">
        <v>22</v>
      </c>
      <c r="Z61" s="96" t="s">
        <v>110</v>
      </c>
      <c r="AA61" s="98">
        <f>IFERROR(IF(T61="Probabilidad",(L61-(+L61*W61)),IF(T61="Impacto",L61,"")),"")</f>
        <v>0.36</v>
      </c>
      <c r="AB61" s="99" t="str">
        <f t="shared" si="54"/>
        <v>Baja</v>
      </c>
      <c r="AC61" s="100">
        <f t="shared" si="55"/>
        <v>0.36</v>
      </c>
      <c r="AD61" s="99" t="str">
        <f t="shared" ca="1" si="56"/>
        <v>Mayor</v>
      </c>
      <c r="AE61" s="100">
        <f t="shared" ca="1" si="57"/>
        <v>0.8</v>
      </c>
      <c r="AF61" s="101" t="str">
        <f t="shared" ca="1" si="58"/>
        <v>Alto</v>
      </c>
      <c r="AG61" s="102" t="s">
        <v>122</v>
      </c>
      <c r="AH61" s="79" t="s">
        <v>353</v>
      </c>
      <c r="AI61" s="104" t="s">
        <v>297</v>
      </c>
      <c r="AJ61" s="103" t="s">
        <v>205</v>
      </c>
      <c r="AK61" s="103" t="s">
        <v>206</v>
      </c>
      <c r="AL61" s="79" t="s">
        <v>354</v>
      </c>
      <c r="AM61" s="92"/>
      <c r="AO61" s="390" t="s">
        <v>616</v>
      </c>
      <c r="AP61" s="390" t="s">
        <v>617</v>
      </c>
      <c r="AQ61" s="391">
        <v>1</v>
      </c>
      <c r="AR61" s="390" t="s">
        <v>618</v>
      </c>
      <c r="AS61" s="390" t="s">
        <v>619</v>
      </c>
      <c r="AT61" s="391">
        <v>1</v>
      </c>
      <c r="AU61" s="390"/>
      <c r="AV61" s="390" t="s">
        <v>582</v>
      </c>
      <c r="AW61" s="388" t="s">
        <v>583</v>
      </c>
      <c r="AX61" s="388" t="s">
        <v>583</v>
      </c>
      <c r="AY61" s="388" t="s">
        <v>583</v>
      </c>
      <c r="AZ61" s="389" t="s">
        <v>593</v>
      </c>
    </row>
    <row r="62" spans="1:52" s="115" customFormat="1" ht="151.5" customHeight="1" x14ac:dyDescent="0.25">
      <c r="A62" s="425"/>
      <c r="B62" s="458"/>
      <c r="C62" s="455"/>
      <c r="D62" s="453"/>
      <c r="E62" s="451"/>
      <c r="F62" s="451"/>
      <c r="G62" s="451"/>
      <c r="H62" s="433"/>
      <c r="I62" s="451"/>
      <c r="J62" s="444"/>
      <c r="K62" s="446"/>
      <c r="L62" s="438"/>
      <c r="M62" s="449"/>
      <c r="N62" s="182"/>
      <c r="O62" s="446"/>
      <c r="P62" s="438"/>
      <c r="Q62" s="441"/>
      <c r="R62" s="94">
        <v>2</v>
      </c>
      <c r="S62" s="79" t="s">
        <v>476</v>
      </c>
      <c r="T62" s="95" t="str">
        <f t="shared" si="53"/>
        <v>Probabilidad</v>
      </c>
      <c r="U62" s="96" t="s">
        <v>14</v>
      </c>
      <c r="V62" s="96" t="s">
        <v>9</v>
      </c>
      <c r="W62" s="97" t="str">
        <f>IF(AND(U62="Preventivo",V62="Automático"),"50%",IF(AND(U62="Preventivo",V62="Manual"),"40%",IF(AND(U62="Detectivo",V62="Automático"),"40%",IF(AND(U62="Detectivo",V62="Manual"),"30%",IF(AND(U62="Correctivo",V62="Automático"),"35%",IF(AND(U62="Correctivo",V62="Manual"),"25%",""))))))</f>
        <v>40%</v>
      </c>
      <c r="X62" s="96" t="s">
        <v>19</v>
      </c>
      <c r="Y62" s="96" t="s">
        <v>477</v>
      </c>
      <c r="Z62" s="96" t="s">
        <v>110</v>
      </c>
      <c r="AA62" s="98">
        <f>IFERROR(IF(T62="Probabilidad",(AA61-(+AA61*W62)),IF(T62="Impacto",L62,"")),"")</f>
        <v>0.216</v>
      </c>
      <c r="AB62" s="99" t="str">
        <f t="shared" si="54"/>
        <v>Baja</v>
      </c>
      <c r="AC62" s="100">
        <f t="shared" si="55"/>
        <v>0.216</v>
      </c>
      <c r="AD62" s="99" t="str">
        <f t="shared" si="56"/>
        <v>Leve</v>
      </c>
      <c r="AE62" s="100">
        <f t="shared" si="57"/>
        <v>0</v>
      </c>
      <c r="AF62" s="101" t="str">
        <f t="shared" si="58"/>
        <v>Bajo</v>
      </c>
      <c r="AG62" s="102" t="s">
        <v>122</v>
      </c>
      <c r="AH62" s="79" t="s">
        <v>353</v>
      </c>
      <c r="AI62" s="104" t="s">
        <v>297</v>
      </c>
      <c r="AJ62" s="103" t="s">
        <v>205</v>
      </c>
      <c r="AK62" s="103" t="s">
        <v>206</v>
      </c>
      <c r="AL62" s="79" t="s">
        <v>354</v>
      </c>
      <c r="AM62" s="92"/>
      <c r="AO62" s="390"/>
      <c r="AP62" s="390"/>
      <c r="AQ62" s="391"/>
      <c r="AR62" s="390"/>
      <c r="AS62" s="390"/>
      <c r="AT62" s="391"/>
      <c r="AU62" s="390"/>
      <c r="AV62" s="390"/>
      <c r="AW62" s="388"/>
      <c r="AX62" s="388"/>
      <c r="AY62" s="388"/>
      <c r="AZ62" s="389"/>
    </row>
    <row r="63" spans="1:52" s="115" customFormat="1" ht="151.5" customHeight="1" x14ac:dyDescent="0.25">
      <c r="A63" s="425"/>
      <c r="B63" s="459"/>
      <c r="C63" s="455"/>
      <c r="D63" s="453"/>
      <c r="E63" s="451"/>
      <c r="F63" s="451"/>
      <c r="G63" s="451"/>
      <c r="H63" s="433"/>
      <c r="I63" s="451"/>
      <c r="J63" s="444"/>
      <c r="K63" s="447"/>
      <c r="L63" s="439"/>
      <c r="M63" s="449"/>
      <c r="N63" s="182"/>
      <c r="O63" s="447"/>
      <c r="P63" s="439"/>
      <c r="Q63" s="442"/>
      <c r="R63" s="94">
        <v>3</v>
      </c>
      <c r="S63" s="79"/>
      <c r="T63" s="95" t="str">
        <f t="shared" si="53"/>
        <v/>
      </c>
      <c r="U63" s="96"/>
      <c r="V63" s="96"/>
      <c r="W63" s="97"/>
      <c r="X63" s="96"/>
      <c r="Y63" s="96"/>
      <c r="Z63" s="96"/>
      <c r="AA63" s="98" t="str">
        <f>IFERROR(IF(T63="Probabilidad",(AA62-(+AA62*W63)),IF(T63="Impacto",L63,"")),"")</f>
        <v/>
      </c>
      <c r="AB63" s="99" t="str">
        <f t="shared" si="54"/>
        <v/>
      </c>
      <c r="AC63" s="100" t="str">
        <f t="shared" si="55"/>
        <v/>
      </c>
      <c r="AD63" s="99" t="str">
        <f t="shared" si="56"/>
        <v/>
      </c>
      <c r="AE63" s="100" t="str">
        <f t="shared" ref="AE63:AE70" si="59">IFERROR(IF(T63="Impacto",(P63-(+P63*W63)),IF(T63="Probabilidad",P63,"")),"")</f>
        <v/>
      </c>
      <c r="AF63" s="101" t="str">
        <f t="shared" si="58"/>
        <v/>
      </c>
      <c r="AG63" s="102"/>
      <c r="AH63" s="79"/>
      <c r="AI63" s="92"/>
      <c r="AJ63" s="103"/>
      <c r="AK63" s="103"/>
      <c r="AL63" s="79"/>
      <c r="AM63" s="92"/>
      <c r="AO63" s="206"/>
      <c r="AP63" s="206"/>
      <c r="AQ63" s="206"/>
      <c r="AR63" s="206"/>
      <c r="AS63" s="206"/>
      <c r="AT63" s="206"/>
      <c r="AU63" s="206"/>
      <c r="AV63" s="206"/>
      <c r="AW63" s="206"/>
      <c r="AX63" s="206"/>
      <c r="AY63" s="206"/>
      <c r="AZ63" s="206"/>
    </row>
    <row r="64" spans="1:52" s="115" customFormat="1" ht="89.25" x14ac:dyDescent="0.25">
      <c r="A64" s="425">
        <f>1+A61</f>
        <v>19</v>
      </c>
      <c r="B64" s="457" t="s">
        <v>210</v>
      </c>
      <c r="C64" s="452" t="s">
        <v>348</v>
      </c>
      <c r="D64" s="452" t="s">
        <v>349</v>
      </c>
      <c r="E64" s="450" t="s">
        <v>118</v>
      </c>
      <c r="F64" s="450" t="s">
        <v>418</v>
      </c>
      <c r="G64" s="450" t="s">
        <v>243</v>
      </c>
      <c r="H64" s="432" t="s">
        <v>211</v>
      </c>
      <c r="I64" s="450" t="s">
        <v>115</v>
      </c>
      <c r="J64" s="443">
        <v>355</v>
      </c>
      <c r="K64" s="445" t="str">
        <f>IF(J64&lt;=0,"",IF(J64&lt;=2,"Muy Baja",IF(J64&lt;=24,"Baja",IF(J64&lt;=500,"Media",IF(J64&lt;=5000,"Alta","Muy Alta")))))</f>
        <v>Media</v>
      </c>
      <c r="L64" s="437">
        <f>IF(K64="","",IF(K64="Muy Baja",0.2,IF(K64="Baja",0.4,IF(K64="Media",0.6,IF(K64="Alta",0.8,IF(K64="Muy Alta",1,))))))</f>
        <v>0.6</v>
      </c>
      <c r="M64" s="448" t="s">
        <v>257</v>
      </c>
      <c r="N64" s="181" t="str">
        <f ca="1">IF(NOT(ISERROR(MATCH(M64,'Tabla Impacto'!$B$221:$B$223,0))),'Tabla Impacto'!$F$223&amp;"Por favor no seleccionar los criterios de impacto(Afectación Económica o presupuestal y Pérdida Reputacional)",M64)</f>
        <v xml:space="preserve"> El riesgo afecta la imagen de la entidad con efecto publicitario sostenido a nivel de sector administrativo, nivel departamental o municipal</v>
      </c>
      <c r="O64" s="445" t="str">
        <f ca="1">IF(OR(N64='Tabla Impacto'!$C$11,N64='Tabla Impacto'!$D$11),"Leve",IF(OR(N64='Tabla Impacto'!$C$12,N64='Tabla Impacto'!$D$12),"Menor",IF(OR(N64='Tabla Impacto'!$C$13,N64='Tabla Impacto'!$D$13),"Moderado",IF(OR(N64='Tabla Impacto'!$C$14,N64='Tabla Impacto'!$D$14),"Mayor",IF(OR(N64='Tabla Impacto'!$C$15,N64='Tabla Impacto'!$D$15),"Catastrófico","")))))</f>
        <v>Mayor</v>
      </c>
      <c r="P64" s="437">
        <f ca="1">IF(O64="","",IF(O64="Leve",0.2,IF(O64="Menor",0.4,IF(O64="Moderado",0.6,IF(O64="Mayor",0.8,IF(O64="Catastrófico",1,))))))</f>
        <v>0.8</v>
      </c>
      <c r="Q64" s="440" t="str">
        <f ca="1">IF(OR(AND(K64="Muy Baja",O64="Leve"),AND(K64="Muy Baja",O64="Menor"),AND(K64="Baja",O64="Leve")),"Bajo",IF(OR(AND(K64="Muy baja",O64="Moderado"),AND(K64="Baja",O64="Menor"),AND(K64="Baja",O64="Moderado"),AND(K64="Media",O64="Leve"),AND(K64="Media",O64="Menor"),AND(K64="Media",O64="Moderado"),AND(K64="Alta",O64="Leve"),AND(K64="Alta",O64="Menor")),"Moderado",IF(OR(AND(K64="Muy Baja",O64="Mayor"),AND(K64="Baja",O64="Mayor"),AND(K64="Media",O64="Mayor"),AND(K64="Alta",O64="Moderado"),AND(K64="Alta",O64="Mayor"),AND(K64="Muy Alta",O64="Leve"),AND(K64="Muy Alta",O64="Menor"),AND(K64="Muy Alta",O64="Moderado"),AND(K64="Muy Alta",O64="Mayor")),"Alto",IF(OR(AND(K64="Muy Baja",O64="Catastrófico"),AND(K64="Baja",O64="Catastrófico"),AND(K64="Media",O64="Catastrófico"),AND(K64="Alta",O64="Catastrófico"),AND(K64="Muy Alta",O64="Catastrófico")),"Extremo",""))))</f>
        <v>Alto</v>
      </c>
      <c r="R64" s="94">
        <v>1</v>
      </c>
      <c r="S64" s="79" t="s">
        <v>475</v>
      </c>
      <c r="T64" s="95" t="str">
        <f t="shared" ref="T64:T65" si="60">IF(OR(U64="Preventivo",U64="Detectivo"),"Probabilidad",IF(U64="Correctivo","Impacto",""))</f>
        <v>Probabilidad</v>
      </c>
      <c r="U64" s="96" t="s">
        <v>14</v>
      </c>
      <c r="V64" s="96" t="s">
        <v>9</v>
      </c>
      <c r="W64" s="97" t="str">
        <f>IF(AND(U64="Preventivo",V64="Automático"),"50%",IF(AND(U64="Preventivo",V64="Manual"),"40%",IF(AND(U64="Detectivo",V64="Automático"),"40%",IF(AND(U64="Detectivo",V64="Manual"),"30%",IF(AND(U64="Correctivo",V64="Automático"),"35%",IF(AND(U64="Correctivo",V64="Manual"),"25%",""))))))</f>
        <v>40%</v>
      </c>
      <c r="X64" s="96" t="s">
        <v>19</v>
      </c>
      <c r="Y64" s="96" t="s">
        <v>22</v>
      </c>
      <c r="Z64" s="96" t="s">
        <v>110</v>
      </c>
      <c r="AA64" s="98">
        <f>IFERROR(IF(T64="Probabilidad",(L64-(+L64*W64)),IF(T64="Impacto",L64,"")),"")</f>
        <v>0.36</v>
      </c>
      <c r="AB64" s="99" t="str">
        <f t="shared" ref="AB64:AB65" si="61">IFERROR(IF(AA64="","",IF(AA64&lt;=0.2,"Muy Baja",IF(AA64&lt;=0.4,"Baja",IF(AA64&lt;=0.6,"Media",IF(AA64&lt;=0.8,"Alta","Muy Alta"))))),"")</f>
        <v>Baja</v>
      </c>
      <c r="AC64" s="100">
        <f t="shared" ref="AC64:AC65" si="62">+AA64</f>
        <v>0.36</v>
      </c>
      <c r="AD64" s="99" t="str">
        <f t="shared" ref="AD64:AD65" ca="1" si="63">IFERROR(IF(AE64="","",IF(AE64&lt;=0.2,"Leve",IF(AE64&lt;=0.4,"Menor",IF(AE64&lt;=0.6,"Moderado",IF(AE64&lt;=0.8,"Mayor","Catastrófico"))))),"")</f>
        <v>Mayor</v>
      </c>
      <c r="AE64" s="100">
        <f t="shared" ca="1" si="59"/>
        <v>0.8</v>
      </c>
      <c r="AF64" s="101" t="str">
        <f t="shared" ref="AF64:AF65" ca="1" si="64">IFERROR(IF(OR(AND(AB64="Muy Baja",AD64="Leve"),AND(AB64="Muy Baja",AD64="Menor"),AND(AB64="Baja",AD64="Leve")),"Bajo",IF(OR(AND(AB64="Muy baja",AD64="Moderado"),AND(AB64="Baja",AD64="Menor"),AND(AB64="Baja",AD64="Moderado"),AND(AB64="Media",AD64="Leve"),AND(AB64="Media",AD64="Menor"),AND(AB64="Media",AD64="Moderado"),AND(AB64="Alta",AD64="Leve"),AND(AB64="Alta",AD64="Menor")),"Moderado",IF(OR(AND(AB64="Muy Baja",AD64="Mayor"),AND(AB64="Baja",AD64="Mayor"),AND(AB64="Media",AD64="Mayor"),AND(AB64="Alta",AD64="Moderado"),AND(AB64="Alta",AD64="Mayor"),AND(AB64="Muy Alta",AD64="Leve"),AND(AB64="Muy Alta",AD64="Menor"),AND(AB64="Muy Alta",AD64="Moderado"),AND(AB64="Muy Alta",AD64="Mayor")),"Alto",IF(OR(AND(AB64="Muy Baja",AD64="Catastrófico"),AND(AB64="Baja",AD64="Catastrófico"),AND(AB64="Media",AD64="Catastrófico"),AND(AB64="Alta",AD64="Catastrófico"),AND(AB64="Muy Alta",AD64="Catastrófico")),"Extremo","")))),"")</f>
        <v>Alto</v>
      </c>
      <c r="AG64" s="102" t="s">
        <v>122</v>
      </c>
      <c r="AH64" s="79" t="s">
        <v>353</v>
      </c>
      <c r="AI64" s="104" t="s">
        <v>297</v>
      </c>
      <c r="AJ64" s="103" t="s">
        <v>205</v>
      </c>
      <c r="AK64" s="103" t="s">
        <v>206</v>
      </c>
      <c r="AL64" s="79" t="s">
        <v>354</v>
      </c>
      <c r="AM64" s="92"/>
      <c r="AO64" s="390" t="s">
        <v>616</v>
      </c>
      <c r="AP64" s="390" t="s">
        <v>617</v>
      </c>
      <c r="AQ64" s="391">
        <v>1</v>
      </c>
      <c r="AR64" s="390" t="s">
        <v>618</v>
      </c>
      <c r="AS64" s="390" t="s">
        <v>619</v>
      </c>
      <c r="AT64" s="391">
        <v>1</v>
      </c>
      <c r="AU64" s="390"/>
      <c r="AV64" s="390" t="s">
        <v>582</v>
      </c>
      <c r="AW64" s="508" t="s">
        <v>583</v>
      </c>
      <c r="AX64" s="508" t="s">
        <v>583</v>
      </c>
      <c r="AY64" s="508" t="s">
        <v>583</v>
      </c>
      <c r="AZ64" s="389" t="s">
        <v>593</v>
      </c>
    </row>
    <row r="65" spans="1:52" s="115" customFormat="1" ht="151.5" customHeight="1" x14ac:dyDescent="0.25">
      <c r="A65" s="425"/>
      <c r="B65" s="458"/>
      <c r="C65" s="455"/>
      <c r="D65" s="453"/>
      <c r="E65" s="451"/>
      <c r="F65" s="451"/>
      <c r="G65" s="451"/>
      <c r="H65" s="433"/>
      <c r="I65" s="451"/>
      <c r="J65" s="444"/>
      <c r="K65" s="446"/>
      <c r="L65" s="438"/>
      <c r="M65" s="449"/>
      <c r="N65" s="182"/>
      <c r="O65" s="446"/>
      <c r="P65" s="438"/>
      <c r="Q65" s="441"/>
      <c r="R65" s="94">
        <v>2</v>
      </c>
      <c r="S65" s="79" t="s">
        <v>476</v>
      </c>
      <c r="T65" s="95" t="str">
        <f t="shared" si="60"/>
        <v>Probabilidad</v>
      </c>
      <c r="U65" s="96" t="s">
        <v>14</v>
      </c>
      <c r="V65" s="96" t="s">
        <v>9</v>
      </c>
      <c r="W65" s="97" t="str">
        <f>IF(AND(U65="Preventivo",V65="Automático"),"50%",IF(AND(U65="Preventivo",V65="Manual"),"40%",IF(AND(U65="Detectivo",V65="Automático"),"40%",IF(AND(U65="Detectivo",V65="Manual"),"30%",IF(AND(U65="Correctivo",V65="Automático"),"35%",IF(AND(U65="Correctivo",V65="Manual"),"25%",""))))))</f>
        <v>40%</v>
      </c>
      <c r="X65" s="96" t="s">
        <v>19</v>
      </c>
      <c r="Y65" s="96" t="s">
        <v>477</v>
      </c>
      <c r="Z65" s="96" t="s">
        <v>110</v>
      </c>
      <c r="AA65" s="98">
        <f>IFERROR(IF(T65="Probabilidad",(AA64-(+AA64*W65)),IF(T65="Impacto",L65,"")),"")</f>
        <v>0.216</v>
      </c>
      <c r="AB65" s="99" t="str">
        <f t="shared" si="61"/>
        <v>Baja</v>
      </c>
      <c r="AC65" s="100">
        <f t="shared" si="62"/>
        <v>0.216</v>
      </c>
      <c r="AD65" s="99" t="str">
        <f t="shared" si="63"/>
        <v>Leve</v>
      </c>
      <c r="AE65" s="100">
        <f t="shared" si="59"/>
        <v>0</v>
      </c>
      <c r="AF65" s="101" t="str">
        <f t="shared" si="64"/>
        <v>Bajo</v>
      </c>
      <c r="AG65" s="102" t="s">
        <v>122</v>
      </c>
      <c r="AH65" s="79"/>
      <c r="AI65" s="104"/>
      <c r="AJ65" s="103"/>
      <c r="AK65" s="103"/>
      <c r="AL65" s="79"/>
      <c r="AM65" s="92"/>
      <c r="AO65" s="390"/>
      <c r="AP65" s="390"/>
      <c r="AQ65" s="391"/>
      <c r="AR65" s="390"/>
      <c r="AS65" s="390"/>
      <c r="AT65" s="391"/>
      <c r="AU65" s="390"/>
      <c r="AV65" s="390"/>
      <c r="AW65" s="508"/>
      <c r="AX65" s="508"/>
      <c r="AY65" s="508"/>
      <c r="AZ65" s="389"/>
    </row>
    <row r="66" spans="1:52" s="115" customFormat="1" ht="151.5" customHeight="1" x14ac:dyDescent="0.25">
      <c r="A66" s="425"/>
      <c r="B66" s="459"/>
      <c r="C66" s="455"/>
      <c r="D66" s="453"/>
      <c r="E66" s="451"/>
      <c r="F66" s="451"/>
      <c r="G66" s="451"/>
      <c r="H66" s="433"/>
      <c r="I66" s="451"/>
      <c r="J66" s="444"/>
      <c r="K66" s="447"/>
      <c r="L66" s="439"/>
      <c r="M66" s="471"/>
      <c r="N66" s="182"/>
      <c r="O66" s="447"/>
      <c r="P66" s="439"/>
      <c r="Q66" s="442"/>
      <c r="R66" s="94">
        <v>3</v>
      </c>
      <c r="S66" s="79"/>
      <c r="T66" s="95" t="str">
        <f t="shared" si="53"/>
        <v/>
      </c>
      <c r="U66" s="96"/>
      <c r="V66" s="96"/>
      <c r="W66" s="97"/>
      <c r="X66" s="96"/>
      <c r="Y66" s="96"/>
      <c r="Z66" s="96"/>
      <c r="AA66" s="98" t="str">
        <f>IFERROR(IF(T66="Probabilidad",(AA65-(+AA65*W66)),IF(T66="Impacto",L66,"")),"")</f>
        <v/>
      </c>
      <c r="AB66" s="99" t="str">
        <f t="shared" si="54"/>
        <v/>
      </c>
      <c r="AC66" s="100" t="str">
        <f t="shared" si="55"/>
        <v/>
      </c>
      <c r="AD66" s="99" t="str">
        <f t="shared" si="56"/>
        <v/>
      </c>
      <c r="AE66" s="100" t="str">
        <f t="shared" si="59"/>
        <v/>
      </c>
      <c r="AF66" s="101" t="str">
        <f t="shared" si="58"/>
        <v/>
      </c>
      <c r="AG66" s="102"/>
      <c r="AH66" s="79"/>
      <c r="AI66" s="92"/>
      <c r="AJ66" s="103"/>
      <c r="AK66" s="103"/>
      <c r="AL66" s="79"/>
      <c r="AM66" s="92"/>
      <c r="AO66" s="206"/>
      <c r="AP66" s="206"/>
      <c r="AQ66" s="206"/>
      <c r="AR66" s="206"/>
      <c r="AS66" s="206"/>
      <c r="AT66" s="206"/>
      <c r="AU66" s="206"/>
      <c r="AV66" s="206"/>
      <c r="AW66" s="206"/>
      <c r="AX66" s="206"/>
      <c r="AY66" s="206"/>
      <c r="AZ66" s="206"/>
    </row>
    <row r="67" spans="1:52" s="115" customFormat="1" ht="144.75" customHeight="1" x14ac:dyDescent="0.25">
      <c r="A67" s="425">
        <f>1+A64</f>
        <v>20</v>
      </c>
      <c r="B67" s="457" t="s">
        <v>215</v>
      </c>
      <c r="C67" s="452" t="s">
        <v>355</v>
      </c>
      <c r="D67" s="452" t="s">
        <v>356</v>
      </c>
      <c r="E67" s="450" t="s">
        <v>120</v>
      </c>
      <c r="F67" s="454" t="s">
        <v>244</v>
      </c>
      <c r="G67" s="454" t="s">
        <v>261</v>
      </c>
      <c r="H67" s="432" t="s">
        <v>414</v>
      </c>
      <c r="I67" s="450" t="s">
        <v>115</v>
      </c>
      <c r="J67" s="443">
        <v>3000</v>
      </c>
      <c r="K67" s="445" t="str">
        <f>IF(J67&lt;=0,"",IF(J67&lt;=2,"Muy Baja",IF(J67&lt;=24,"Baja",IF(J67&lt;=500,"Media",IF(J67&lt;=5000,"Alta","Muy Alta")))))</f>
        <v>Alta</v>
      </c>
      <c r="L67" s="437">
        <f>IF(K67="","",IF(K67="Muy Baja",0.2,IF(K67="Baja",0.4,IF(K67="Media",0.6,IF(K67="Alta",0.8,IF(K67="Muy Alta",1,))))))</f>
        <v>0.8</v>
      </c>
      <c r="M67" s="448" t="s">
        <v>249</v>
      </c>
      <c r="N67" s="181" t="str">
        <f ca="1">IF(NOT(ISERROR(MATCH(M67,'Tabla Impacto'!$B$221:$B$223,0))),'Tabla Impacto'!$F$223&amp;"Por favor no seleccionar los criterios de impacto(Afectación Económica o presupuestal y Pérdida Reputacional)",M67)</f>
        <v xml:space="preserve"> Entre 50 y 100 SMLMV </v>
      </c>
      <c r="O67" s="445" t="str">
        <f ca="1">IF(OR(N67='Tabla Impacto'!$C$11,N67='Tabla Impacto'!$D$11),"Leve",IF(OR(N67='Tabla Impacto'!$C$12,N67='Tabla Impacto'!$D$12),"Menor",IF(OR(N67='Tabla Impacto'!$C$13,N67='Tabla Impacto'!$D$13),"Moderado",IF(OR(N67='Tabla Impacto'!$C$14,N67='Tabla Impacto'!$D$14),"Mayor",IF(OR(N67='Tabla Impacto'!$C$15,N67='Tabla Impacto'!$D$15),"Catastrófico","")))))</f>
        <v>Moderado</v>
      </c>
      <c r="P67" s="437">
        <f ca="1">IF(O67="","",IF(O67="Leve",0.2,IF(O67="Menor",0.4,IF(O67="Moderado",0.6,IF(O67="Mayor",0.8,IF(O67="Catastrófico",1,))))))</f>
        <v>0.6</v>
      </c>
      <c r="Q67" s="440" t="str">
        <f ca="1">IF(OR(AND(K67="Muy Baja",O67="Leve"),AND(K67="Muy Baja",O67="Menor"),AND(K67="Baja",O67="Leve")),"Bajo",IF(OR(AND(K67="Muy baja",O67="Moderado"),AND(K67="Baja",O67="Menor"),AND(K67="Baja",O67="Moderado"),AND(K67="Media",O67="Leve"),AND(K67="Media",O67="Menor"),AND(K67="Media",O67="Moderado"),AND(K67="Alta",O67="Leve"),AND(K67="Alta",O67="Menor")),"Moderado",IF(OR(AND(K67="Muy Baja",O67="Mayor"),AND(K67="Baja",O67="Mayor"),AND(K67="Media",O67="Mayor"),AND(K67="Alta",O67="Moderado"),AND(K67="Alta",O67="Mayor"),AND(K67="Muy Alta",O67="Leve"),AND(K67="Muy Alta",O67="Menor"),AND(K67="Muy Alta",O67="Moderado"),AND(K67="Muy Alta",O67="Mayor")),"Alto",IF(OR(AND(K67="Muy Baja",O67="Catastrófico"),AND(K67="Baja",O67="Catastrófico"),AND(K67="Media",O67="Catastrófico"),AND(K67="Alta",O67="Catastrófico"),AND(K67="Muy Alta",O67="Catastrófico")),"Extremo",""))))</f>
        <v>Alto</v>
      </c>
      <c r="R67" s="94">
        <v>1</v>
      </c>
      <c r="S67" s="79" t="s">
        <v>357</v>
      </c>
      <c r="T67" s="95" t="str">
        <f t="shared" si="53"/>
        <v>Probabilidad</v>
      </c>
      <c r="U67" s="96" t="s">
        <v>14</v>
      </c>
      <c r="V67" s="96" t="s">
        <v>9</v>
      </c>
      <c r="W67" s="97" t="str">
        <f>IF(AND(U67="Preventivo",V67="Automático"),"50%",IF(AND(U67="Preventivo",V67="Manual"),"40%",IF(AND(U67="Detectivo",V67="Automático"),"40%",IF(AND(U67="Detectivo",V67="Manual"),"30%",IF(AND(U67="Correctivo",V67="Automático"),"35%",IF(AND(U67="Correctivo",V67="Manual"),"25%",""))))))</f>
        <v>40%</v>
      </c>
      <c r="X67" s="96" t="s">
        <v>19</v>
      </c>
      <c r="Y67" s="96" t="s">
        <v>22</v>
      </c>
      <c r="Z67" s="96" t="s">
        <v>110</v>
      </c>
      <c r="AA67" s="98">
        <f>IFERROR(IF(T67="Probabilidad",(L67-(+L67*W67)),IF(T67="Impacto",L67,"")),"")</f>
        <v>0.48</v>
      </c>
      <c r="AB67" s="99" t="str">
        <f t="shared" si="54"/>
        <v>Media</v>
      </c>
      <c r="AC67" s="100">
        <f t="shared" si="55"/>
        <v>0.48</v>
      </c>
      <c r="AD67" s="99" t="str">
        <f t="shared" ca="1" si="56"/>
        <v>Moderado</v>
      </c>
      <c r="AE67" s="100">
        <f t="shared" ca="1" si="59"/>
        <v>0.6</v>
      </c>
      <c r="AF67" s="101" t="str">
        <f t="shared" ca="1" si="58"/>
        <v>Moderado</v>
      </c>
      <c r="AG67" s="102" t="s">
        <v>122</v>
      </c>
      <c r="AH67" s="114" t="s">
        <v>260</v>
      </c>
      <c r="AI67" s="104" t="s">
        <v>297</v>
      </c>
      <c r="AJ67" s="93" t="s">
        <v>205</v>
      </c>
      <c r="AK67" s="93" t="s">
        <v>206</v>
      </c>
      <c r="AL67" s="79" t="s">
        <v>225</v>
      </c>
      <c r="AM67" s="92"/>
      <c r="AO67" s="509" t="s">
        <v>688</v>
      </c>
      <c r="AP67" s="509" t="s">
        <v>689</v>
      </c>
      <c r="AQ67" s="510">
        <v>1</v>
      </c>
      <c r="AR67" s="509" t="s">
        <v>690</v>
      </c>
      <c r="AS67" s="509" t="s">
        <v>691</v>
      </c>
      <c r="AT67" s="510">
        <v>0.7</v>
      </c>
      <c r="AU67" s="511"/>
      <c r="AV67" s="509" t="s">
        <v>582</v>
      </c>
      <c r="AW67" s="509" t="s">
        <v>583</v>
      </c>
      <c r="AX67" s="509" t="s">
        <v>583</v>
      </c>
      <c r="AY67" s="509" t="s">
        <v>583</v>
      </c>
      <c r="AZ67" s="389" t="s">
        <v>593</v>
      </c>
    </row>
    <row r="68" spans="1:52" s="115" customFormat="1" ht="151.5" customHeight="1" x14ac:dyDescent="0.25">
      <c r="A68" s="425"/>
      <c r="B68" s="458"/>
      <c r="C68" s="453"/>
      <c r="D68" s="453"/>
      <c r="E68" s="451"/>
      <c r="F68" s="451"/>
      <c r="G68" s="451"/>
      <c r="H68" s="433"/>
      <c r="I68" s="451"/>
      <c r="J68" s="444"/>
      <c r="K68" s="446"/>
      <c r="L68" s="438"/>
      <c r="M68" s="449"/>
      <c r="N68" s="182"/>
      <c r="O68" s="446"/>
      <c r="P68" s="438"/>
      <c r="Q68" s="441"/>
      <c r="R68" s="94">
        <v>2</v>
      </c>
      <c r="S68" s="79" t="s">
        <v>426</v>
      </c>
      <c r="T68" s="95" t="str">
        <f t="shared" si="53"/>
        <v>Probabilidad</v>
      </c>
      <c r="U68" s="96" t="s">
        <v>14</v>
      </c>
      <c r="V68" s="96" t="s">
        <v>9</v>
      </c>
      <c r="W68" s="97" t="str">
        <f t="shared" ref="W68:W69" si="65">IF(AND(U68="Preventivo",V68="Automático"),"50%",IF(AND(U68="Preventivo",V68="Manual"),"40%",IF(AND(U68="Detectivo",V68="Automático"),"40%",IF(AND(U68="Detectivo",V68="Manual"),"30%",IF(AND(U68="Correctivo",V68="Automático"),"35%",IF(AND(U68="Correctivo",V68="Manual"),"25%",""))))))</f>
        <v>40%</v>
      </c>
      <c r="X68" s="96" t="s">
        <v>19</v>
      </c>
      <c r="Y68" s="96" t="s">
        <v>22</v>
      </c>
      <c r="Z68" s="96" t="s">
        <v>110</v>
      </c>
      <c r="AA68" s="98">
        <f>IFERROR(IF(T68="Probabilidad",(AA67-(+AA67*W68)),IF(T68="Impacto",L68,"")),"")</f>
        <v>0.28799999999999998</v>
      </c>
      <c r="AB68" s="99" t="str">
        <f t="shared" si="54"/>
        <v>Baja</v>
      </c>
      <c r="AC68" s="100">
        <f t="shared" si="55"/>
        <v>0.28799999999999998</v>
      </c>
      <c r="AD68" s="99" t="str">
        <f t="shared" si="56"/>
        <v>Mayor</v>
      </c>
      <c r="AE68" s="100">
        <v>0.8</v>
      </c>
      <c r="AF68" s="101" t="str">
        <f t="shared" si="58"/>
        <v>Alto</v>
      </c>
      <c r="AG68" s="102" t="s">
        <v>122</v>
      </c>
      <c r="AH68" s="91"/>
      <c r="AI68" s="86"/>
      <c r="AJ68" s="93"/>
      <c r="AK68" s="93"/>
      <c r="AL68" s="91"/>
      <c r="AM68" s="92"/>
      <c r="AO68" s="509"/>
      <c r="AP68" s="509"/>
      <c r="AQ68" s="510"/>
      <c r="AR68" s="509"/>
      <c r="AS68" s="509"/>
      <c r="AT68" s="510"/>
      <c r="AU68" s="511"/>
      <c r="AV68" s="509"/>
      <c r="AW68" s="509"/>
      <c r="AX68" s="509"/>
      <c r="AY68" s="509"/>
      <c r="AZ68" s="389"/>
    </row>
    <row r="69" spans="1:52" s="115" customFormat="1" ht="151.5" customHeight="1" x14ac:dyDescent="0.25">
      <c r="A69" s="425"/>
      <c r="B69" s="459"/>
      <c r="C69" s="453"/>
      <c r="D69" s="453"/>
      <c r="E69" s="451"/>
      <c r="F69" s="451"/>
      <c r="G69" s="451"/>
      <c r="H69" s="433"/>
      <c r="I69" s="451"/>
      <c r="J69" s="444"/>
      <c r="K69" s="447"/>
      <c r="L69" s="439"/>
      <c r="M69" s="449"/>
      <c r="N69" s="182"/>
      <c r="O69" s="447"/>
      <c r="P69" s="439"/>
      <c r="Q69" s="442"/>
      <c r="R69" s="94">
        <v>3</v>
      </c>
      <c r="S69" s="79" t="s">
        <v>510</v>
      </c>
      <c r="T69" s="95" t="str">
        <f t="shared" si="53"/>
        <v>Probabilidad</v>
      </c>
      <c r="U69" s="96" t="s">
        <v>14</v>
      </c>
      <c r="V69" s="96" t="s">
        <v>9</v>
      </c>
      <c r="W69" s="97" t="str">
        <f t="shared" si="65"/>
        <v>40%</v>
      </c>
      <c r="X69" s="96" t="s">
        <v>19</v>
      </c>
      <c r="Y69" s="96" t="s">
        <v>22</v>
      </c>
      <c r="Z69" s="96" t="s">
        <v>110</v>
      </c>
      <c r="AA69" s="98">
        <f>IFERROR(IF(T69="Probabilidad",(AA68-(+AA68*W69)),IF(T69="Impacto",L69,"")),"")</f>
        <v>0.17279999999999998</v>
      </c>
      <c r="AB69" s="99" t="str">
        <f t="shared" si="54"/>
        <v>Muy Baja</v>
      </c>
      <c r="AC69" s="100">
        <f t="shared" si="55"/>
        <v>0.17279999999999998</v>
      </c>
      <c r="AD69" s="99" t="str">
        <f t="shared" si="56"/>
        <v>Leve</v>
      </c>
      <c r="AE69" s="100">
        <f>IFERROR(IF(T69="Impacto",(P69-(+P69*W69)),IF(T69="Probabilidad",P69,"")),"")</f>
        <v>0</v>
      </c>
      <c r="AF69" s="101" t="str">
        <f t="shared" si="58"/>
        <v>Bajo</v>
      </c>
      <c r="AG69" s="102" t="s">
        <v>122</v>
      </c>
      <c r="AH69" s="79"/>
      <c r="AI69" s="92"/>
      <c r="AJ69" s="103"/>
      <c r="AK69" s="103"/>
      <c r="AL69" s="79"/>
      <c r="AM69" s="92"/>
      <c r="AO69" s="509"/>
      <c r="AP69" s="509"/>
      <c r="AQ69" s="510"/>
      <c r="AR69" s="509"/>
      <c r="AS69" s="509"/>
      <c r="AT69" s="510"/>
      <c r="AU69" s="511"/>
      <c r="AV69" s="509"/>
      <c r="AW69" s="509"/>
      <c r="AX69" s="509"/>
      <c r="AY69" s="509"/>
      <c r="AZ69" s="389"/>
    </row>
    <row r="70" spans="1:52" s="115" customFormat="1" ht="114.75" x14ac:dyDescent="0.25">
      <c r="A70" s="425">
        <f>1+A67</f>
        <v>21</v>
      </c>
      <c r="B70" s="457" t="s">
        <v>215</v>
      </c>
      <c r="C70" s="452" t="s">
        <v>355</v>
      </c>
      <c r="D70" s="452" t="s">
        <v>356</v>
      </c>
      <c r="E70" s="450" t="s">
        <v>120</v>
      </c>
      <c r="F70" s="456" t="s">
        <v>550</v>
      </c>
      <c r="G70" s="456" t="s">
        <v>551</v>
      </c>
      <c r="H70" s="432" t="s">
        <v>549</v>
      </c>
      <c r="I70" s="450" t="s">
        <v>218</v>
      </c>
      <c r="J70" s="443">
        <v>35</v>
      </c>
      <c r="K70" s="445" t="str">
        <f>IF(J70&lt;=0,"",IF(J70&lt;=2,"Muy Baja",IF(J70&lt;=24,"Baja",IF(J70&lt;=500,"Media",IF(J70&lt;=5000,"Alta","Muy Alta")))))</f>
        <v>Media</v>
      </c>
      <c r="L70" s="437">
        <f>IF(K70="","",IF(K70="Muy Baja",0.2,IF(K70="Baja",0.4,IF(K70="Media",0.6,IF(K70="Alta",0.8,IF(K70="Muy Alta",1,))))))</f>
        <v>0.6</v>
      </c>
      <c r="M70" s="448" t="s">
        <v>255</v>
      </c>
      <c r="N70" s="181" t="str">
        <f ca="1">IF(NOT(ISERROR(MATCH(M70,'Tabla Impacto'!$B$221:$B$223,0))),'Tabla Impacto'!$F$223&amp;"Por favor no seleccionar los criterios de impacto(Afectación Económica o presupuestal y Pérdida Reputacional)",M70)</f>
        <v xml:space="preserve"> El riesgo afecta la imagen de la entidad internamente, de conocimiento general, nivel interno, de junta directiva y accionistas y/o de proveedores</v>
      </c>
      <c r="O70" s="445" t="str">
        <f ca="1">IF(OR(N70='Tabla Impacto'!$C$11,N70='Tabla Impacto'!$D$11),"Leve",IF(OR(N70='Tabla Impacto'!$C$12,N70='Tabla Impacto'!$D$12),"Menor",IF(OR(N70='Tabla Impacto'!$C$13,N70='Tabla Impacto'!$D$13),"Moderado",IF(OR(N70='Tabla Impacto'!$C$14,N70='Tabla Impacto'!$D$14),"Mayor",IF(OR(N70='Tabla Impacto'!$C$15,N70='Tabla Impacto'!$D$15),"Catastrófico","")))))</f>
        <v>Menor</v>
      </c>
      <c r="P70" s="437">
        <f ca="1">IF(O70="","",IF(O70="Leve",0.2,IF(O70="Menor",0.4,IF(O70="Moderado",0.6,IF(O70="Mayor",0.8,IF(O70="Catastrófico",1,))))))</f>
        <v>0.4</v>
      </c>
      <c r="Q70" s="440" t="str">
        <f ca="1">IF(OR(AND(K70="Muy Baja",O70="Leve"),AND(K70="Muy Baja",O70="Menor"),AND(K70="Baja",O70="Leve")),"Bajo",IF(OR(AND(K70="Muy baja",O70="Moderado"),AND(K70="Baja",O70="Menor"),AND(K70="Baja",O70="Moderado"),AND(K70="Media",O70="Leve"),AND(K70="Media",O70="Menor"),AND(K70="Media",O70="Moderado"),AND(K70="Alta",O70="Leve"),AND(K70="Alta",O70="Menor")),"Moderado",IF(OR(AND(K70="Muy Baja",O70="Mayor"),AND(K70="Baja",O70="Mayor"),AND(K70="Media",O70="Mayor"),AND(K70="Alta",O70="Moderado"),AND(K70="Alta",O70="Mayor"),AND(K70="Muy Alta",O70="Leve"),AND(K70="Muy Alta",O70="Menor"),AND(K70="Muy Alta",O70="Moderado"),AND(K70="Muy Alta",O70="Mayor")),"Alto",IF(OR(AND(K70="Muy Baja",O70="Catastrófico"),AND(K70="Baja",O70="Catastrófico"),AND(K70="Media",O70="Catastrófico"),AND(K70="Alta",O70="Catastrófico"),AND(K70="Muy Alta",O70="Catastrófico")),"Extremo",""))))</f>
        <v>Moderado</v>
      </c>
      <c r="R70" s="94">
        <v>1</v>
      </c>
      <c r="S70" s="79" t="s">
        <v>552</v>
      </c>
      <c r="T70" s="95" t="str">
        <f t="shared" si="53"/>
        <v>Probabilidad</v>
      </c>
      <c r="U70" s="96" t="s">
        <v>14</v>
      </c>
      <c r="V70" s="96" t="s">
        <v>9</v>
      </c>
      <c r="W70" s="97" t="str">
        <f>IF(AND(U70="Preventivo",V70="Automático"),"50%",IF(AND(U70="Preventivo",V70="Manual"),"40%",IF(AND(U70="Detectivo",V70="Automático"),"40%",IF(AND(U70="Detectivo",V70="Manual"),"30%",IF(AND(U70="Correctivo",V70="Automático"),"35%",IF(AND(U70="Correctivo",V70="Manual"),"25%",""))))))</f>
        <v>40%</v>
      </c>
      <c r="X70" s="96" t="s">
        <v>19</v>
      </c>
      <c r="Y70" s="96" t="s">
        <v>22</v>
      </c>
      <c r="Z70" s="96" t="s">
        <v>110</v>
      </c>
      <c r="AA70" s="98">
        <f>IFERROR(IF(T70="Probabilidad",(L70-(+L70*W70)),IF(T70="Impacto",L70,"")),"")</f>
        <v>0.36</v>
      </c>
      <c r="AB70" s="99" t="str">
        <f t="shared" si="54"/>
        <v>Baja</v>
      </c>
      <c r="AC70" s="100">
        <f t="shared" si="55"/>
        <v>0.36</v>
      </c>
      <c r="AD70" s="99" t="str">
        <f t="shared" ca="1" si="56"/>
        <v>Menor</v>
      </c>
      <c r="AE70" s="100">
        <f t="shared" ca="1" si="59"/>
        <v>0.4</v>
      </c>
      <c r="AF70" s="101" t="str">
        <f t="shared" ca="1" si="58"/>
        <v>Moderado</v>
      </c>
      <c r="AG70" s="102" t="s">
        <v>122</v>
      </c>
      <c r="AH70" s="79" t="s">
        <v>554</v>
      </c>
      <c r="AI70" s="104" t="s">
        <v>297</v>
      </c>
      <c r="AJ70" s="103" t="s">
        <v>205</v>
      </c>
      <c r="AK70" s="103" t="s">
        <v>206</v>
      </c>
      <c r="AL70" s="111" t="s">
        <v>555</v>
      </c>
      <c r="AM70" s="92"/>
      <c r="AO70" s="204" t="s">
        <v>692</v>
      </c>
      <c r="AP70" s="257" t="s">
        <v>693</v>
      </c>
      <c r="AQ70" s="257">
        <v>100</v>
      </c>
      <c r="AR70" s="509" t="s">
        <v>694</v>
      </c>
      <c r="AS70" s="509" t="s">
        <v>695</v>
      </c>
      <c r="AT70" s="509">
        <v>100</v>
      </c>
      <c r="AU70" s="511"/>
      <c r="AV70" s="509" t="s">
        <v>582</v>
      </c>
      <c r="AW70" s="511" t="s">
        <v>583</v>
      </c>
      <c r="AX70" s="511" t="s">
        <v>583</v>
      </c>
      <c r="AY70" s="511" t="s">
        <v>583</v>
      </c>
      <c r="AZ70" s="389" t="s">
        <v>593</v>
      </c>
    </row>
    <row r="71" spans="1:52" s="115" customFormat="1" ht="151.5" customHeight="1" x14ac:dyDescent="0.25">
      <c r="A71" s="425"/>
      <c r="B71" s="458"/>
      <c r="C71" s="453"/>
      <c r="D71" s="453"/>
      <c r="E71" s="451"/>
      <c r="F71" s="460"/>
      <c r="G71" s="460"/>
      <c r="H71" s="433"/>
      <c r="I71" s="451"/>
      <c r="J71" s="444"/>
      <c r="K71" s="446"/>
      <c r="L71" s="438"/>
      <c r="M71" s="449"/>
      <c r="N71" s="182"/>
      <c r="O71" s="446"/>
      <c r="P71" s="438"/>
      <c r="Q71" s="441"/>
      <c r="R71" s="94">
        <v>2</v>
      </c>
      <c r="S71" s="79" t="s">
        <v>553</v>
      </c>
      <c r="T71" s="95" t="str">
        <f t="shared" si="53"/>
        <v>Probabilidad</v>
      </c>
      <c r="U71" s="96" t="s">
        <v>14</v>
      </c>
      <c r="V71" s="96" t="s">
        <v>9</v>
      </c>
      <c r="W71" s="97" t="str">
        <f>IF(AND(U71="Preventivo",V71="Automático"),"50%",IF(AND(U71="Preventivo",V71="Manual"),"40%",IF(AND(U71="Detectivo",V71="Automático"),"40%",IF(AND(U71="Detectivo",V71="Manual"),"30%",IF(AND(U71="Correctivo",V71="Automático"),"35%",IF(AND(U71="Correctivo",V71="Manual"),"25%",""))))))</f>
        <v>40%</v>
      </c>
      <c r="X71" s="96" t="s">
        <v>19</v>
      </c>
      <c r="Y71" s="96" t="s">
        <v>22</v>
      </c>
      <c r="Z71" s="96" t="s">
        <v>110</v>
      </c>
      <c r="AA71" s="98">
        <f>IFERROR(IF(T71="Probabilidad",(L71-(+L71*W71)),IF(T71="Impacto",L71,"")),"")</f>
        <v>0</v>
      </c>
      <c r="AB71" s="99" t="str">
        <f t="shared" ref="AB71" si="66">IFERROR(IF(AA71="","",IF(AA71&lt;=0.2,"Muy Baja",IF(AA71&lt;=0.4,"Baja",IF(AA71&lt;=0.6,"Media",IF(AA71&lt;=0.8,"Alta","Muy Alta"))))),"")</f>
        <v>Muy Baja</v>
      </c>
      <c r="AC71" s="100">
        <f t="shared" ref="AC71" si="67">+AA71</f>
        <v>0</v>
      </c>
      <c r="AD71" s="99" t="str">
        <f t="shared" ref="AD71" si="68">IFERROR(IF(AE71="","",IF(AE71&lt;=0.2,"Leve",IF(AE71&lt;=0.4,"Menor",IF(AE71&lt;=0.6,"Moderado",IF(AE71&lt;=0.8,"Mayor","Catastrófico"))))),"")</f>
        <v>Leve</v>
      </c>
      <c r="AE71" s="100">
        <f t="shared" ref="AE71" si="69">IFERROR(IF(T71="Impacto",(P71-(+P71*W71)),IF(T71="Probabilidad",P71,"")),"")</f>
        <v>0</v>
      </c>
      <c r="AF71" s="101" t="str">
        <f t="shared" ref="AF71" si="70">IFERROR(IF(OR(AND(AB71="Muy Baja",AD71="Leve"),AND(AB71="Muy Baja",AD71="Menor"),AND(AB71="Baja",AD71="Leve")),"Bajo",IF(OR(AND(AB71="Muy baja",AD71="Moderado"),AND(AB71="Baja",AD71="Menor"),AND(AB71="Baja",AD71="Moderado"),AND(AB71="Media",AD71="Leve"),AND(AB71="Media",AD71="Menor"),AND(AB71="Media",AD71="Moderado"),AND(AB71="Alta",AD71="Leve"),AND(AB71="Alta",AD71="Menor")),"Moderado",IF(OR(AND(AB71="Muy Baja",AD71="Mayor"),AND(AB71="Baja",AD71="Mayor"),AND(AB71="Media",AD71="Mayor"),AND(AB71="Alta",AD71="Moderado"),AND(AB71="Alta",AD71="Mayor"),AND(AB71="Muy Alta",AD71="Leve"),AND(AB71="Muy Alta",AD71="Menor"),AND(AB71="Muy Alta",AD71="Moderado"),AND(AB71="Muy Alta",AD71="Mayor")),"Alto",IF(OR(AND(AB71="Muy Baja",AD71="Catastrófico"),AND(AB71="Baja",AD71="Catastrófico"),AND(AB71="Media",AD71="Catastrófico"),AND(AB71="Alta",AD71="Catastrófico"),AND(AB71="Muy Alta",AD71="Catastrófico")),"Extremo","")))),"")</f>
        <v>Bajo</v>
      </c>
      <c r="AG71" s="102" t="s">
        <v>122</v>
      </c>
      <c r="AH71" s="79"/>
      <c r="AI71" s="92"/>
      <c r="AJ71" s="103"/>
      <c r="AK71" s="103"/>
      <c r="AL71" s="111"/>
      <c r="AM71" s="92"/>
      <c r="AO71" s="204" t="s">
        <v>696</v>
      </c>
      <c r="AP71" s="257" t="s">
        <v>697</v>
      </c>
      <c r="AQ71" s="257">
        <v>100</v>
      </c>
      <c r="AR71" s="509"/>
      <c r="AS71" s="509"/>
      <c r="AT71" s="509"/>
      <c r="AU71" s="511"/>
      <c r="AV71" s="509"/>
      <c r="AW71" s="511"/>
      <c r="AX71" s="511"/>
      <c r="AY71" s="511"/>
      <c r="AZ71" s="389"/>
    </row>
    <row r="72" spans="1:52" s="115" customFormat="1" ht="151.5" customHeight="1" x14ac:dyDescent="0.25">
      <c r="A72" s="425"/>
      <c r="B72" s="459"/>
      <c r="C72" s="453"/>
      <c r="D72" s="453"/>
      <c r="E72" s="451"/>
      <c r="F72" s="461"/>
      <c r="G72" s="461"/>
      <c r="H72" s="467"/>
      <c r="I72" s="451"/>
      <c r="J72" s="444"/>
      <c r="K72" s="447"/>
      <c r="L72" s="439"/>
      <c r="M72" s="449"/>
      <c r="N72" s="182"/>
      <c r="O72" s="447"/>
      <c r="P72" s="439"/>
      <c r="Q72" s="442"/>
      <c r="R72" s="94">
        <v>3</v>
      </c>
      <c r="S72" s="79"/>
      <c r="T72" s="95" t="str">
        <f>IF(OR(U72="Preventivo",U72="Detectivo"),"Probabilidad",IF(U72="Correctivo","Impacto",""))</f>
        <v/>
      </c>
      <c r="U72" s="96"/>
      <c r="V72" s="96"/>
      <c r="W72" s="97"/>
      <c r="X72" s="96"/>
      <c r="Y72" s="96"/>
      <c r="Z72" s="96"/>
      <c r="AA72" s="98"/>
      <c r="AB72" s="99"/>
      <c r="AC72" s="100"/>
      <c r="AD72" s="99"/>
      <c r="AE72" s="100"/>
      <c r="AF72" s="101"/>
      <c r="AG72" s="102"/>
      <c r="AH72" s="79"/>
      <c r="AI72" s="92"/>
      <c r="AJ72" s="103"/>
      <c r="AK72" s="103"/>
      <c r="AL72" s="79"/>
      <c r="AM72" s="92"/>
      <c r="AO72" s="206"/>
      <c r="AP72" s="206"/>
      <c r="AQ72" s="206"/>
      <c r="AR72" s="206"/>
      <c r="AS72" s="206"/>
      <c r="AT72" s="206"/>
      <c r="AU72" s="206"/>
      <c r="AV72" s="206"/>
      <c r="AW72" s="206"/>
      <c r="AX72" s="206"/>
      <c r="AY72" s="206"/>
      <c r="AZ72" s="206"/>
    </row>
    <row r="73" spans="1:52" s="115" customFormat="1" ht="114.75" x14ac:dyDescent="0.25">
      <c r="A73" s="425">
        <f>1+A70</f>
        <v>22</v>
      </c>
      <c r="B73" s="457" t="s">
        <v>215</v>
      </c>
      <c r="C73" s="452" t="s">
        <v>355</v>
      </c>
      <c r="D73" s="452" t="s">
        <v>356</v>
      </c>
      <c r="E73" s="450" t="s">
        <v>120</v>
      </c>
      <c r="F73" s="456" t="s">
        <v>557</v>
      </c>
      <c r="G73" s="456" t="s">
        <v>558</v>
      </c>
      <c r="H73" s="432" t="s">
        <v>556</v>
      </c>
      <c r="I73" s="450" t="s">
        <v>218</v>
      </c>
      <c r="J73" s="443">
        <v>35</v>
      </c>
      <c r="K73" s="445" t="str">
        <f>IF(J73&lt;=0,"",IF(J73&lt;=2,"Muy Baja",IF(J73&lt;=24,"Baja",IF(J73&lt;=500,"Media",IF(J73&lt;=5000,"Alta","Muy Alta")))))</f>
        <v>Media</v>
      </c>
      <c r="L73" s="437">
        <f>IF(K73="","",IF(K73="Muy Baja",0.2,IF(K73="Baja",0.4,IF(K73="Media",0.6,IF(K73="Alta",0.8,IF(K73="Muy Alta",1,))))))</f>
        <v>0.6</v>
      </c>
      <c r="M73" s="448" t="s">
        <v>255</v>
      </c>
      <c r="N73" s="181" t="str">
        <f ca="1">IF(NOT(ISERROR(MATCH(M73,'Tabla Impacto'!$B$221:$B$223,0))),'Tabla Impacto'!$F$223&amp;"Por favor no seleccionar los criterios de impacto(Afectación Económica o presupuestal y Pérdida Reputacional)",M73)</f>
        <v xml:space="preserve"> El riesgo afecta la imagen de la entidad internamente, de conocimiento general, nivel interno, de junta directiva y accionistas y/o de proveedores</v>
      </c>
      <c r="O73" s="445" t="str">
        <f ca="1">IF(OR(N73='Tabla Impacto'!$C$11,N73='Tabla Impacto'!$D$11),"Leve",IF(OR(N73='Tabla Impacto'!$C$12,N73='Tabla Impacto'!$D$12),"Menor",IF(OR(N73='Tabla Impacto'!$C$13,N73='Tabla Impacto'!$D$13),"Moderado",IF(OR(N73='Tabla Impacto'!$C$14,N73='Tabla Impacto'!$D$14),"Mayor",IF(OR(N73='Tabla Impacto'!$C$15,N73='Tabla Impacto'!$D$15),"Catastrófico","")))))</f>
        <v>Menor</v>
      </c>
      <c r="P73" s="437">
        <f ca="1">IF(O73="","",IF(O73="Leve",0.2,IF(O73="Menor",0.4,IF(O73="Moderado",0.6,IF(O73="Mayor",0.8,IF(O73="Catastrófico",1,))))))</f>
        <v>0.4</v>
      </c>
      <c r="Q73" s="440" t="str">
        <f ca="1">IF(OR(AND(K73="Muy Baja",O73="Leve"),AND(K73="Muy Baja",O73="Menor"),AND(K73="Baja",O73="Leve")),"Bajo",IF(OR(AND(K73="Muy baja",O73="Moderado"),AND(K73="Baja",O73="Menor"),AND(K73="Baja",O73="Moderado"),AND(K73="Media",O73="Leve"),AND(K73="Media",O73="Menor"),AND(K73="Media",O73="Moderado"),AND(K73="Alta",O73="Leve"),AND(K73="Alta",O73="Menor")),"Moderado",IF(OR(AND(K73="Muy Baja",O73="Mayor"),AND(K73="Baja",O73="Mayor"),AND(K73="Media",O73="Mayor"),AND(K73="Alta",O73="Moderado"),AND(K73="Alta",O73="Mayor"),AND(K73="Muy Alta",O73="Leve"),AND(K73="Muy Alta",O73="Menor"),AND(K73="Muy Alta",O73="Moderado"),AND(K73="Muy Alta",O73="Mayor")),"Alto",IF(OR(AND(K73="Muy Baja",O73="Catastrófico"),AND(K73="Baja",O73="Catastrófico"),AND(K73="Media",O73="Catastrófico"),AND(K73="Alta",O73="Catastrófico"),AND(K73="Muy Alta",O73="Catastrófico")),"Extremo",""))))</f>
        <v>Moderado</v>
      </c>
      <c r="R73" s="94">
        <v>1</v>
      </c>
      <c r="S73" s="79" t="s">
        <v>559</v>
      </c>
      <c r="T73" s="95" t="str">
        <f>IF(OR(U73="Preventivo",U73="Detectivo"),"Probabilidad",IF(U73="Correctivo","Impacto",""))</f>
        <v>Probabilidad</v>
      </c>
      <c r="U73" s="96" t="s">
        <v>14</v>
      </c>
      <c r="V73" s="96" t="s">
        <v>9</v>
      </c>
      <c r="W73" s="97" t="str">
        <f>IF(AND(U73="Preventivo",V73="Automático"),"50%",IF(AND(U73="Preventivo",V73="Manual"),"40%",IF(AND(U73="Detectivo",V73="Automático"),"40%",IF(AND(U73="Detectivo",V73="Manual"),"30%",IF(AND(U73="Correctivo",V73="Automático"),"35%",IF(AND(U73="Correctivo",V73="Manual"),"25%",""))))))</f>
        <v>40%</v>
      </c>
      <c r="X73" s="96" t="s">
        <v>19</v>
      </c>
      <c r="Y73" s="96" t="s">
        <v>22</v>
      </c>
      <c r="Z73" s="96" t="s">
        <v>110</v>
      </c>
      <c r="AA73" s="98">
        <f>IFERROR(IF(T73="Probabilidad",(L73-(+L73*W73)),IF(T73="Impacto",L73,"")),"")</f>
        <v>0.36</v>
      </c>
      <c r="AB73" s="99" t="str">
        <f>IFERROR(IF(AA73="","",IF(AA73&lt;=0.2,"Muy Baja",IF(AA73&lt;=0.4,"Baja",IF(AA73&lt;=0.6,"Media",IF(AA73&lt;=0.8,"Alta","Muy Alta"))))),"")</f>
        <v>Baja</v>
      </c>
      <c r="AC73" s="100">
        <f>+AA73</f>
        <v>0.36</v>
      </c>
      <c r="AD73" s="99" t="str">
        <f ca="1">IFERROR(IF(AE73="","",IF(AE73&lt;=0.2,"Leve",IF(AE73&lt;=0.4,"Menor",IF(AE73&lt;=0.6,"Moderado",IF(AE73&lt;=0.8,"Mayor","Catastrófico"))))),"")</f>
        <v>Menor</v>
      </c>
      <c r="AE73" s="100">
        <f ca="1">IFERROR(IF(T73="Impacto",(P73-(+P73*W73)),IF(T73="Probabilidad",P73,"")),"")</f>
        <v>0.4</v>
      </c>
      <c r="AF73" s="101" t="str">
        <f ca="1">IFERROR(IF(OR(AND(AB73="Muy Baja",AD73="Leve"),AND(AB73="Muy Baja",AD73="Menor"),AND(AB73="Baja",AD73="Leve")),"Bajo",IF(OR(AND(AB73="Muy baja",AD73="Moderado"),AND(AB73="Baja",AD73="Menor"),AND(AB73="Baja",AD73="Moderado"),AND(AB73="Media",AD73="Leve"),AND(AB73="Media",AD73="Menor"),AND(AB73="Media",AD73="Moderado"),AND(AB73="Alta",AD73="Leve"),AND(AB73="Alta",AD73="Menor")),"Moderado",IF(OR(AND(AB73="Muy Baja",AD73="Mayor"),AND(AB73="Baja",AD73="Mayor"),AND(AB73="Media",AD73="Mayor"),AND(AB73="Alta",AD73="Moderado"),AND(AB73="Alta",AD73="Mayor"),AND(AB73="Muy Alta",AD73="Leve"),AND(AB73="Muy Alta",AD73="Menor"),AND(AB73="Muy Alta",AD73="Moderado"),AND(AB73="Muy Alta",AD73="Mayor")),"Alto",IF(OR(AND(AB73="Muy Baja",AD73="Catastrófico"),AND(AB73="Baja",AD73="Catastrófico"),AND(AB73="Media",AD73="Catastrófico"),AND(AB73="Alta",AD73="Catastrófico"),AND(AB73="Muy Alta",AD73="Catastrófico")),"Extremo","")))),"")</f>
        <v>Moderado</v>
      </c>
      <c r="AG73" s="102" t="s">
        <v>122</v>
      </c>
      <c r="AH73" s="79" t="s">
        <v>562</v>
      </c>
      <c r="AI73" s="92" t="s">
        <v>193</v>
      </c>
      <c r="AJ73" s="103" t="s">
        <v>205</v>
      </c>
      <c r="AK73" s="103" t="s">
        <v>206</v>
      </c>
      <c r="AL73" s="79" t="s">
        <v>563</v>
      </c>
      <c r="AM73" s="92"/>
      <c r="AO73" s="204" t="s">
        <v>698</v>
      </c>
      <c r="AP73" s="257" t="s">
        <v>699</v>
      </c>
      <c r="AQ73" s="257">
        <v>100</v>
      </c>
      <c r="AR73" s="509" t="s">
        <v>700</v>
      </c>
      <c r="AS73" s="509" t="s">
        <v>701</v>
      </c>
      <c r="AT73" s="509">
        <v>100</v>
      </c>
      <c r="AU73" s="511"/>
      <c r="AV73" s="509" t="s">
        <v>582</v>
      </c>
      <c r="AW73" s="511" t="s">
        <v>583</v>
      </c>
      <c r="AX73" s="511" t="s">
        <v>583</v>
      </c>
      <c r="AY73" s="511" t="s">
        <v>583</v>
      </c>
      <c r="AZ73" s="389" t="s">
        <v>593</v>
      </c>
    </row>
    <row r="74" spans="1:52" s="115" customFormat="1" ht="151.5" customHeight="1" x14ac:dyDescent="0.25">
      <c r="A74" s="425"/>
      <c r="B74" s="458"/>
      <c r="C74" s="453"/>
      <c r="D74" s="453"/>
      <c r="E74" s="451"/>
      <c r="F74" s="460"/>
      <c r="G74" s="460"/>
      <c r="H74" s="433"/>
      <c r="I74" s="451"/>
      <c r="J74" s="444"/>
      <c r="K74" s="446"/>
      <c r="L74" s="438"/>
      <c r="M74" s="449"/>
      <c r="N74" s="182"/>
      <c r="O74" s="446"/>
      <c r="P74" s="438"/>
      <c r="Q74" s="441"/>
      <c r="R74" s="94">
        <v>2</v>
      </c>
      <c r="S74" s="79" t="s">
        <v>560</v>
      </c>
      <c r="T74" s="95" t="s">
        <v>4</v>
      </c>
      <c r="U74" s="96" t="s">
        <v>14</v>
      </c>
      <c r="V74" s="96" t="s">
        <v>9</v>
      </c>
      <c r="W74" s="97" t="s">
        <v>561</v>
      </c>
      <c r="X74" s="96" t="s">
        <v>19</v>
      </c>
      <c r="Y74" s="96" t="s">
        <v>22</v>
      </c>
      <c r="Z74" s="96" t="s">
        <v>110</v>
      </c>
      <c r="AA74" s="98">
        <v>0.36</v>
      </c>
      <c r="AB74" s="99" t="s">
        <v>47</v>
      </c>
      <c r="AC74" s="100">
        <v>0.36</v>
      </c>
      <c r="AD74" s="99" t="s">
        <v>78</v>
      </c>
      <c r="AE74" s="100">
        <v>0.4</v>
      </c>
      <c r="AF74" s="101" t="s">
        <v>75</v>
      </c>
      <c r="AG74" s="102" t="s">
        <v>122</v>
      </c>
      <c r="AH74" s="79"/>
      <c r="AI74" s="92"/>
      <c r="AJ74" s="103"/>
      <c r="AK74" s="103"/>
      <c r="AL74" s="79"/>
      <c r="AM74" s="92"/>
      <c r="AO74" s="204" t="s">
        <v>702</v>
      </c>
      <c r="AP74" s="257" t="s">
        <v>703</v>
      </c>
      <c r="AQ74" s="257">
        <v>100</v>
      </c>
      <c r="AR74" s="509"/>
      <c r="AS74" s="509"/>
      <c r="AT74" s="509"/>
      <c r="AU74" s="511"/>
      <c r="AV74" s="509"/>
      <c r="AW74" s="511"/>
      <c r="AX74" s="511"/>
      <c r="AY74" s="511"/>
      <c r="AZ74" s="389"/>
    </row>
    <row r="75" spans="1:52" s="115" customFormat="1" ht="151.5" customHeight="1" x14ac:dyDescent="0.25">
      <c r="A75" s="425"/>
      <c r="B75" s="459"/>
      <c r="C75" s="453"/>
      <c r="D75" s="453"/>
      <c r="E75" s="451"/>
      <c r="F75" s="461"/>
      <c r="G75" s="461"/>
      <c r="H75" s="433"/>
      <c r="I75" s="451"/>
      <c r="J75" s="444"/>
      <c r="K75" s="447"/>
      <c r="L75" s="439"/>
      <c r="M75" s="449"/>
      <c r="N75" s="182"/>
      <c r="O75" s="447"/>
      <c r="P75" s="439"/>
      <c r="Q75" s="442"/>
      <c r="R75" s="94">
        <v>3</v>
      </c>
      <c r="S75" s="79"/>
      <c r="T75" s="95"/>
      <c r="U75" s="96"/>
      <c r="V75" s="96"/>
      <c r="W75" s="97"/>
      <c r="X75" s="96"/>
      <c r="Y75" s="96"/>
      <c r="Z75" s="96"/>
      <c r="AA75" s="98"/>
      <c r="AB75" s="99"/>
      <c r="AC75" s="100"/>
      <c r="AD75" s="99"/>
      <c r="AE75" s="100"/>
      <c r="AF75" s="101"/>
      <c r="AG75" s="102"/>
      <c r="AH75" s="79"/>
      <c r="AI75" s="92"/>
      <c r="AJ75" s="103"/>
      <c r="AK75" s="103"/>
      <c r="AL75" s="79"/>
      <c r="AM75" s="92"/>
      <c r="AO75" s="206"/>
      <c r="AP75" s="206"/>
      <c r="AQ75" s="206"/>
      <c r="AR75" s="206"/>
      <c r="AS75" s="206"/>
      <c r="AT75" s="206"/>
      <c r="AU75" s="206"/>
      <c r="AV75" s="206"/>
      <c r="AW75" s="206"/>
      <c r="AX75" s="206"/>
      <c r="AY75" s="206"/>
      <c r="AZ75" s="206"/>
    </row>
    <row r="76" spans="1:52" s="153" customFormat="1" ht="114.75" x14ac:dyDescent="0.25">
      <c r="A76" s="425">
        <f>1+A73</f>
        <v>23</v>
      </c>
      <c r="B76" s="457" t="s">
        <v>215</v>
      </c>
      <c r="C76" s="452" t="s">
        <v>355</v>
      </c>
      <c r="D76" s="452" t="s">
        <v>356</v>
      </c>
      <c r="E76" s="450" t="s">
        <v>120</v>
      </c>
      <c r="F76" s="456" t="s">
        <v>504</v>
      </c>
      <c r="G76" s="456" t="s">
        <v>505</v>
      </c>
      <c r="H76" s="432" t="s">
        <v>358</v>
      </c>
      <c r="I76" s="450" t="s">
        <v>218</v>
      </c>
      <c r="J76" s="465">
        <v>35</v>
      </c>
      <c r="K76" s="477" t="str">
        <f>IF(J76&lt;=0,"",IF(J76&lt;=2,"Muy Baja",IF(J76&lt;=24,"Baja",IF(J76&lt;=500,"Media",IF(J76&lt;=5000,"Alta","Muy Alta")))))</f>
        <v>Media</v>
      </c>
      <c r="L76" s="480">
        <f>IF(K76="","",IF(K76="Muy Baja",0.2,IF(K76="Baja",0.4,IF(K76="Media",0.6,IF(K76="Alta",0.8,IF(K76="Muy Alta",1,))))))</f>
        <v>0.6</v>
      </c>
      <c r="M76" s="448" t="s">
        <v>255</v>
      </c>
      <c r="N76" s="183" t="str">
        <f ca="1">IF(NOT(ISERROR(MATCH(M76,'Tabla Impacto'!$B$221:$B$223,0))),'Tabla Impacto'!$F$223&amp;"Por favor no seleccionar los criterios de impacto(Afectación Económica o presupuestal y Pérdida Reputacional)",M76)</f>
        <v xml:space="preserve"> El riesgo afecta la imagen de la entidad internamente, de conocimiento general, nivel interno, de junta directiva y accionistas y/o de proveedores</v>
      </c>
      <c r="O76" s="477" t="str">
        <f ca="1">IF(OR(N76='Tabla Impacto'!$C$11,N76='Tabla Impacto'!$D$11),"Leve",IF(OR(N76='Tabla Impacto'!$C$12,N76='Tabla Impacto'!$D$12),"Menor",IF(OR(N76='Tabla Impacto'!$C$13,N76='Tabla Impacto'!$D$13),"Moderado",IF(OR(N76='Tabla Impacto'!$C$14,N76='Tabla Impacto'!$D$14),"Mayor",IF(OR(N76='Tabla Impacto'!$C$15,N76='Tabla Impacto'!$D$15),"Catastrófico","")))))</f>
        <v>Menor</v>
      </c>
      <c r="P76" s="480">
        <f ca="1">IF(O76="","",IF(O76="Leve",0.2,IF(O76="Menor",0.4,IF(O76="Moderado",0.6,IF(O76="Mayor",0.8,IF(O76="Catastrófico",1,))))))</f>
        <v>0.4</v>
      </c>
      <c r="Q76" s="462" t="str">
        <f ca="1">IF(OR(AND(K76="Muy Baja",O76="Leve"),AND(K76="Muy Baja",O76="Menor"),AND(K76="Baja",O76="Leve")),"Bajo",IF(OR(AND(K76="Muy baja",O76="Moderado"),AND(K76="Baja",O76="Menor"),AND(K76="Baja",O76="Moderado"),AND(K76="Media",O76="Leve"),AND(K76="Media",O76="Menor"),AND(K76="Media",O76="Moderado"),AND(K76="Alta",O76="Leve"),AND(K76="Alta",O76="Menor")),"Moderado",IF(OR(AND(K76="Muy Baja",O76="Mayor"),AND(K76="Baja",O76="Mayor"),AND(K76="Media",O76="Mayor"),AND(K76="Alta",O76="Moderado"),AND(K76="Alta",O76="Mayor"),AND(K76="Muy Alta",O76="Leve"),AND(K76="Muy Alta",O76="Menor"),AND(K76="Muy Alta",O76="Moderado"),AND(K76="Muy Alta",O76="Mayor")),"Alto",IF(OR(AND(K76="Muy Baja",O76="Catastrófico"),AND(K76="Baja",O76="Catastrófico"),AND(K76="Media",O76="Catastrófico"),AND(K76="Alta",O76="Catastrófico"),AND(K76="Muy Alta",O76="Catastrófico")),"Extremo",""))))</f>
        <v>Moderado</v>
      </c>
      <c r="R76" s="143">
        <v>1</v>
      </c>
      <c r="S76" s="91" t="s">
        <v>506</v>
      </c>
      <c r="T76" s="144" t="str">
        <f t="shared" ref="T76:T82" si="71">IF(OR(U76="Preventivo",U76="Detectivo"),"Probabilidad",IF(U76="Correctivo","Impacto",""))</f>
        <v>Probabilidad</v>
      </c>
      <c r="U76" s="145" t="s">
        <v>14</v>
      </c>
      <c r="V76" s="145" t="s">
        <v>9</v>
      </c>
      <c r="W76" s="146" t="str">
        <f t="shared" ref="W76:W82" si="72">IF(AND(U76="Preventivo",V76="Automático"),"50%",IF(AND(U76="Preventivo",V76="Manual"),"40%",IF(AND(U76="Detectivo",V76="Automático"),"40%",IF(AND(U76="Detectivo",V76="Manual"),"30%",IF(AND(U76="Correctivo",V76="Automático"),"35%",IF(AND(U76="Correctivo",V76="Manual"),"25%",""))))))</f>
        <v>40%</v>
      </c>
      <c r="X76" s="145" t="s">
        <v>19</v>
      </c>
      <c r="Y76" s="145" t="s">
        <v>22</v>
      </c>
      <c r="Z76" s="145" t="s">
        <v>110</v>
      </c>
      <c r="AA76" s="112">
        <f>IFERROR(IF(T76="Probabilidad",(L76-(+L76*W76)),IF(T76="Impacto",L76,"")),"")</f>
        <v>0.36</v>
      </c>
      <c r="AB76" s="147" t="str">
        <f t="shared" ref="AB76:AB82" si="73">IFERROR(IF(AA76="","",IF(AA76&lt;=0.2,"Muy Baja",IF(AA76&lt;=0.4,"Baja",IF(AA76&lt;=0.6,"Media",IF(AA76&lt;=0.8,"Alta","Muy Alta"))))),"")</f>
        <v>Baja</v>
      </c>
      <c r="AC76" s="148">
        <f t="shared" ref="AC76:AC82" si="74">+AA76</f>
        <v>0.36</v>
      </c>
      <c r="AD76" s="147" t="str">
        <f t="shared" ref="AD76:AD82" ca="1" si="75">IFERROR(IF(AE76="","",IF(AE76&lt;=0.2,"Leve",IF(AE76&lt;=0.4,"Menor",IF(AE76&lt;=0.6,"Moderado",IF(AE76&lt;=0.8,"Mayor","Catastrófico"))))),"")</f>
        <v>Menor</v>
      </c>
      <c r="AE76" s="148">
        <f ca="1">IFERROR(IF(T76="Impacto",(P76-(+P76*W76)),IF(T76="Probabilidad",P76,"")),"")</f>
        <v>0.4</v>
      </c>
      <c r="AF76" s="149" t="str">
        <f t="shared" ref="AF76:AF82" ca="1" si="76">IFERROR(IF(OR(AND(AB76="Muy Baja",AD76="Leve"),AND(AB76="Muy Baja",AD76="Menor"),AND(AB76="Baja",AD76="Leve")),"Bajo",IF(OR(AND(AB76="Muy baja",AD76="Moderado"),AND(AB76="Baja",AD76="Menor"),AND(AB76="Baja",AD76="Moderado"),AND(AB76="Media",AD76="Leve"),AND(AB76="Media",AD76="Menor"),AND(AB76="Media",AD76="Moderado"),AND(AB76="Alta",AD76="Leve"),AND(AB76="Alta",AD76="Menor")),"Moderado",IF(OR(AND(AB76="Muy Baja",AD76="Mayor"),AND(AB76="Baja",AD76="Mayor"),AND(AB76="Media",AD76="Mayor"),AND(AB76="Alta",AD76="Moderado"),AND(AB76="Alta",AD76="Mayor"),AND(AB76="Muy Alta",AD76="Leve"),AND(AB76="Muy Alta",AD76="Menor"),AND(AB76="Muy Alta",AD76="Moderado"),AND(AB76="Muy Alta",AD76="Mayor")),"Alto",IF(OR(AND(AB76="Muy Baja",AD76="Catastrófico"),AND(AB76="Baja",AD76="Catastrófico"),AND(AB76="Media",AD76="Catastrófico"),AND(AB76="Alta",AD76="Catastrófico"),AND(AB76="Muy Alta",AD76="Catastrófico")),"Extremo","")))),"")</f>
        <v>Moderado</v>
      </c>
      <c r="AG76" s="150" t="s">
        <v>122</v>
      </c>
      <c r="AH76" s="91" t="s">
        <v>507</v>
      </c>
      <c r="AI76" s="189" t="s">
        <v>297</v>
      </c>
      <c r="AJ76" s="117" t="s">
        <v>205</v>
      </c>
      <c r="AK76" s="117" t="s">
        <v>206</v>
      </c>
      <c r="AL76" s="79" t="s">
        <v>233</v>
      </c>
      <c r="AM76" s="141"/>
      <c r="AO76" s="204" t="s">
        <v>704</v>
      </c>
      <c r="AP76" s="204" t="s">
        <v>705</v>
      </c>
      <c r="AQ76" s="257" t="s">
        <v>706</v>
      </c>
      <c r="AR76" s="204" t="s">
        <v>707</v>
      </c>
      <c r="AS76" s="204" t="s">
        <v>708</v>
      </c>
      <c r="AT76" s="258">
        <v>1</v>
      </c>
      <c r="AU76" s="267"/>
      <c r="AV76" s="257" t="s">
        <v>582</v>
      </c>
      <c r="AW76" s="268" t="s">
        <v>583</v>
      </c>
      <c r="AX76" s="268" t="s">
        <v>583</v>
      </c>
      <c r="AY76" s="207" t="s">
        <v>583</v>
      </c>
      <c r="AZ76" s="230" t="s">
        <v>593</v>
      </c>
    </row>
    <row r="77" spans="1:52" s="153" customFormat="1" ht="151.5" customHeight="1" x14ac:dyDescent="0.25">
      <c r="A77" s="425"/>
      <c r="B77" s="458"/>
      <c r="C77" s="453"/>
      <c r="D77" s="453"/>
      <c r="E77" s="451"/>
      <c r="F77" s="460"/>
      <c r="G77" s="460"/>
      <c r="H77" s="433"/>
      <c r="I77" s="451"/>
      <c r="J77" s="466"/>
      <c r="K77" s="478"/>
      <c r="L77" s="481"/>
      <c r="M77" s="449"/>
      <c r="N77" s="184"/>
      <c r="O77" s="478"/>
      <c r="P77" s="481"/>
      <c r="Q77" s="463"/>
      <c r="R77" s="143">
        <v>2</v>
      </c>
      <c r="S77" s="140"/>
      <c r="T77" s="132"/>
      <c r="U77" s="133"/>
      <c r="V77" s="133"/>
      <c r="W77" s="134"/>
      <c r="X77" s="133"/>
      <c r="Y77" s="133"/>
      <c r="Z77" s="133"/>
      <c r="AA77" s="135"/>
      <c r="AB77" s="136"/>
      <c r="AC77" s="137"/>
      <c r="AD77" s="136"/>
      <c r="AE77" s="137"/>
      <c r="AF77" s="138"/>
      <c r="AG77" s="139"/>
      <c r="AH77" s="140"/>
      <c r="AI77" s="141"/>
      <c r="AJ77" s="142"/>
      <c r="AK77" s="142"/>
      <c r="AL77" s="140"/>
      <c r="AM77" s="141"/>
      <c r="AO77" s="206"/>
      <c r="AP77" s="206"/>
      <c r="AQ77" s="206"/>
      <c r="AR77" s="206"/>
      <c r="AS77" s="206"/>
      <c r="AT77" s="206"/>
      <c r="AU77" s="206"/>
      <c r="AV77" s="206"/>
      <c r="AW77" s="206"/>
      <c r="AX77" s="206"/>
      <c r="AY77" s="206"/>
      <c r="AZ77" s="206"/>
    </row>
    <row r="78" spans="1:52" s="153" customFormat="1" ht="151.5" customHeight="1" x14ac:dyDescent="0.25">
      <c r="A78" s="425"/>
      <c r="B78" s="459"/>
      <c r="C78" s="453"/>
      <c r="D78" s="453"/>
      <c r="E78" s="451"/>
      <c r="F78" s="461"/>
      <c r="G78" s="461"/>
      <c r="H78" s="433"/>
      <c r="I78" s="451"/>
      <c r="J78" s="466"/>
      <c r="K78" s="479"/>
      <c r="L78" s="482"/>
      <c r="M78" s="449"/>
      <c r="N78" s="184"/>
      <c r="O78" s="479"/>
      <c r="P78" s="482"/>
      <c r="Q78" s="464"/>
      <c r="R78" s="143">
        <v>3</v>
      </c>
      <c r="S78" s="140"/>
      <c r="T78" s="132"/>
      <c r="U78" s="133"/>
      <c r="V78" s="133"/>
      <c r="W78" s="134"/>
      <c r="X78" s="133"/>
      <c r="Y78" s="133"/>
      <c r="Z78" s="133"/>
      <c r="AA78" s="135"/>
      <c r="AB78" s="136"/>
      <c r="AC78" s="137"/>
      <c r="AD78" s="136"/>
      <c r="AE78" s="137"/>
      <c r="AF78" s="138"/>
      <c r="AG78" s="139"/>
      <c r="AH78" s="140"/>
      <c r="AI78" s="141"/>
      <c r="AJ78" s="142"/>
      <c r="AK78" s="142"/>
      <c r="AL78" s="140"/>
      <c r="AM78" s="141"/>
      <c r="AO78" s="206"/>
      <c r="AP78" s="206"/>
      <c r="AQ78" s="206"/>
      <c r="AR78" s="206"/>
      <c r="AS78" s="206"/>
      <c r="AT78" s="206"/>
      <c r="AU78" s="206"/>
      <c r="AV78" s="206"/>
      <c r="AW78" s="206"/>
      <c r="AX78" s="206"/>
      <c r="AY78" s="206"/>
      <c r="AZ78" s="206"/>
    </row>
    <row r="79" spans="1:52" s="115" customFormat="1" ht="198" x14ac:dyDescent="0.3">
      <c r="A79" s="425">
        <f>1+A76</f>
        <v>24</v>
      </c>
      <c r="B79" s="457" t="s">
        <v>234</v>
      </c>
      <c r="C79" s="452" t="s">
        <v>359</v>
      </c>
      <c r="D79" s="452" t="s">
        <v>360</v>
      </c>
      <c r="E79" s="450" t="s">
        <v>120</v>
      </c>
      <c r="F79" s="454" t="s">
        <v>361</v>
      </c>
      <c r="G79" s="454" t="s">
        <v>362</v>
      </c>
      <c r="H79" s="432" t="s">
        <v>363</v>
      </c>
      <c r="I79" s="450" t="s">
        <v>218</v>
      </c>
      <c r="J79" s="443">
        <v>60</v>
      </c>
      <c r="K79" s="445" t="str">
        <f>IF(J79&lt;=0,"",IF(J79&lt;=2,"Muy Baja",IF(J79&lt;=24,"Baja",IF(J79&lt;=500,"Media",IF(J79&lt;=5000,"Alta","Muy Alta")))))</f>
        <v>Media</v>
      </c>
      <c r="L79" s="437">
        <f>IF(K79="","",IF(K79="Muy Baja",0.2,IF(K79="Baja",0.4,IF(K79="Media",0.6,IF(K79="Alta",0.8,IF(K79="Muy Alta",1,))))))</f>
        <v>0.6</v>
      </c>
      <c r="M79" s="448" t="s">
        <v>250</v>
      </c>
      <c r="N79" s="181" t="str">
        <f ca="1">IF(NOT(ISERROR(MATCH(M79,'Tabla Impacto'!$B$221:$B$223,0))),'Tabla Impacto'!$F$223&amp;"Por favor no seleccionar los criterios de impacto(Afectación Económica o presupuestal y Pérdida Reputacional)",M79)</f>
        <v xml:space="preserve"> El riesgo afecta la imagen de la entidad con algunos usuarios de relevancia frente al logro de los objetivos</v>
      </c>
      <c r="O79" s="445" t="str">
        <f ca="1">IF(OR(N79='Tabla Impacto'!$C$11,N79='Tabla Impacto'!$D$11),"Leve",IF(OR(N79='Tabla Impacto'!$C$12,N79='Tabla Impacto'!$D$12),"Menor",IF(OR(N79='Tabla Impacto'!$C$13,N79='Tabla Impacto'!$D$13),"Moderado",IF(OR(N79='Tabla Impacto'!$C$14,N79='Tabla Impacto'!$D$14),"Mayor",IF(OR(N79='Tabla Impacto'!$C$15,N79='Tabla Impacto'!$D$15),"Catastrófico","")))))</f>
        <v>Moderado</v>
      </c>
      <c r="P79" s="437">
        <f ca="1">IF(O79="","",IF(O79="Leve",0.2,IF(O79="Menor",0.4,IF(O79="Moderado",0.6,IF(O79="Mayor",0.8,IF(O79="Catastrófico",1,))))))</f>
        <v>0.6</v>
      </c>
      <c r="Q79" s="440" t="str">
        <f ca="1">IF(OR(AND(K79="Muy Baja",O79="Leve"),AND(K79="Muy Baja",O79="Menor"),AND(K79="Baja",O79="Leve")),"Bajo",IF(OR(AND(K79="Muy baja",O79="Moderado"),AND(K79="Baja",O79="Menor"),AND(K79="Baja",O79="Moderado"),AND(K79="Media",O79="Leve"),AND(K79="Media",O79="Menor"),AND(K79="Media",O79="Moderado"),AND(K79="Alta",O79="Leve"),AND(K79="Alta",O79="Menor")),"Moderado",IF(OR(AND(K79="Muy Baja",O79="Mayor"),AND(K79="Baja",O79="Mayor"),AND(K79="Media",O79="Mayor"),AND(K79="Alta",O79="Moderado"),AND(K79="Alta",O79="Mayor"),AND(K79="Muy Alta",O79="Leve"),AND(K79="Muy Alta",O79="Menor"),AND(K79="Muy Alta",O79="Moderado"),AND(K79="Muy Alta",O79="Mayor")),"Alto",IF(OR(AND(K79="Muy Baja",O79="Catastrófico"),AND(K79="Baja",O79="Catastrófico"),AND(K79="Media",O79="Catastrófico"),AND(K79="Alta",O79="Catastrófico"),AND(K79="Muy Alta",O79="Catastrófico")),"Extremo",""))))</f>
        <v>Moderado</v>
      </c>
      <c r="R79" s="94">
        <v>1</v>
      </c>
      <c r="S79" s="91" t="s">
        <v>509</v>
      </c>
      <c r="T79" s="95" t="str">
        <f t="shared" si="71"/>
        <v>Probabilidad</v>
      </c>
      <c r="U79" s="96" t="s">
        <v>15</v>
      </c>
      <c r="V79" s="96" t="s">
        <v>9</v>
      </c>
      <c r="W79" s="97" t="str">
        <f t="shared" si="72"/>
        <v>30%</v>
      </c>
      <c r="X79" s="96" t="s">
        <v>20</v>
      </c>
      <c r="Y79" s="96" t="s">
        <v>23</v>
      </c>
      <c r="Z79" s="96" t="s">
        <v>111</v>
      </c>
      <c r="AA79" s="106">
        <f>IFERROR(IF(T79="Probabilidad",(L79-(+L79*W79)),IF(T79="Impacto",L79,"")),"")</f>
        <v>0.42</v>
      </c>
      <c r="AB79" s="99" t="str">
        <f t="shared" si="73"/>
        <v>Media</v>
      </c>
      <c r="AC79" s="100">
        <f t="shared" si="74"/>
        <v>0.42</v>
      </c>
      <c r="AD79" s="99" t="str">
        <f t="shared" ca="1" si="75"/>
        <v>Moderado</v>
      </c>
      <c r="AE79" s="100">
        <f ca="1">IFERROR(IF(T79="Impacto",(P79-(+P79*W79)),IF(T79="Probabilidad",P79,"")),"")</f>
        <v>0.6</v>
      </c>
      <c r="AF79" s="101" t="str">
        <f t="shared" ca="1" si="76"/>
        <v>Moderado</v>
      </c>
      <c r="AG79" s="102" t="s">
        <v>122</v>
      </c>
      <c r="AH79" s="91" t="s">
        <v>364</v>
      </c>
      <c r="AI79" s="86" t="s">
        <v>365</v>
      </c>
      <c r="AJ79" s="93" t="s">
        <v>205</v>
      </c>
      <c r="AK79" s="93" t="s">
        <v>206</v>
      </c>
      <c r="AL79" s="91" t="s">
        <v>235</v>
      </c>
      <c r="AM79" s="92"/>
      <c r="AO79" s="204" t="s">
        <v>709</v>
      </c>
      <c r="AP79" s="269" t="s">
        <v>710</v>
      </c>
      <c r="AQ79" s="258">
        <v>0.67</v>
      </c>
      <c r="AR79" s="257" t="s">
        <v>711</v>
      </c>
      <c r="AS79" s="270" t="s">
        <v>712</v>
      </c>
      <c r="AT79" s="258">
        <v>0.67</v>
      </c>
      <c r="AU79" s="267"/>
      <c r="AV79" s="257" t="s">
        <v>582</v>
      </c>
      <c r="AW79" s="207" t="s">
        <v>583</v>
      </c>
      <c r="AX79" s="207" t="s">
        <v>583</v>
      </c>
      <c r="AY79" s="207" t="s">
        <v>583</v>
      </c>
      <c r="AZ79" s="230" t="s">
        <v>593</v>
      </c>
    </row>
    <row r="80" spans="1:52" s="115" customFormat="1" ht="151.5" customHeight="1" x14ac:dyDescent="0.25">
      <c r="A80" s="425"/>
      <c r="B80" s="458"/>
      <c r="C80" s="453"/>
      <c r="D80" s="455"/>
      <c r="E80" s="451"/>
      <c r="F80" s="451"/>
      <c r="G80" s="451"/>
      <c r="H80" s="433"/>
      <c r="I80" s="451"/>
      <c r="J80" s="444"/>
      <c r="K80" s="446"/>
      <c r="L80" s="438"/>
      <c r="M80" s="449"/>
      <c r="N80" s="182"/>
      <c r="O80" s="446"/>
      <c r="P80" s="438"/>
      <c r="Q80" s="441"/>
      <c r="R80" s="94">
        <v>2</v>
      </c>
      <c r="S80" s="79"/>
      <c r="T80" s="95"/>
      <c r="U80" s="96"/>
      <c r="V80" s="96"/>
      <c r="W80" s="97"/>
      <c r="X80" s="96"/>
      <c r="Y80" s="96"/>
      <c r="Z80" s="96"/>
      <c r="AA80" s="98"/>
      <c r="AB80" s="99"/>
      <c r="AC80" s="100"/>
      <c r="AD80" s="99"/>
      <c r="AE80" s="100"/>
      <c r="AF80" s="101"/>
      <c r="AG80" s="102"/>
      <c r="AH80" s="91"/>
      <c r="AI80" s="86"/>
      <c r="AJ80" s="93"/>
      <c r="AK80" s="93"/>
      <c r="AL80" s="91"/>
      <c r="AM80" s="92"/>
      <c r="AO80" s="206"/>
      <c r="AP80" s="206"/>
      <c r="AQ80" s="206"/>
      <c r="AR80" s="206"/>
      <c r="AS80" s="206"/>
      <c r="AT80" s="206"/>
      <c r="AU80" s="206"/>
      <c r="AV80" s="206"/>
      <c r="AW80" s="206"/>
      <c r="AX80" s="206"/>
      <c r="AY80" s="206"/>
      <c r="AZ80" s="206"/>
    </row>
    <row r="81" spans="1:52" s="115" customFormat="1" ht="151.5" customHeight="1" x14ac:dyDescent="0.25">
      <c r="A81" s="425"/>
      <c r="B81" s="459"/>
      <c r="C81" s="453"/>
      <c r="D81" s="455"/>
      <c r="E81" s="451"/>
      <c r="F81" s="451"/>
      <c r="G81" s="451"/>
      <c r="H81" s="433"/>
      <c r="I81" s="451"/>
      <c r="J81" s="444"/>
      <c r="K81" s="447"/>
      <c r="L81" s="439"/>
      <c r="M81" s="449"/>
      <c r="N81" s="182"/>
      <c r="O81" s="447"/>
      <c r="P81" s="439"/>
      <c r="Q81" s="442"/>
      <c r="R81" s="94">
        <v>3</v>
      </c>
      <c r="S81" s="79"/>
      <c r="T81" s="95"/>
      <c r="U81" s="96"/>
      <c r="V81" s="96"/>
      <c r="W81" s="97"/>
      <c r="X81" s="96"/>
      <c r="Y81" s="96"/>
      <c r="Z81" s="96"/>
      <c r="AA81" s="98"/>
      <c r="AB81" s="99"/>
      <c r="AC81" s="100"/>
      <c r="AD81" s="99"/>
      <c r="AE81" s="100"/>
      <c r="AF81" s="101"/>
      <c r="AG81" s="102"/>
      <c r="AH81" s="91"/>
      <c r="AI81" s="86"/>
      <c r="AJ81" s="93"/>
      <c r="AK81" s="93"/>
      <c r="AL81" s="91"/>
      <c r="AM81" s="92"/>
      <c r="AO81" s="206"/>
      <c r="AP81" s="206"/>
      <c r="AQ81" s="206"/>
      <c r="AR81" s="206"/>
      <c r="AS81" s="206"/>
      <c r="AT81" s="206"/>
      <c r="AU81" s="206"/>
      <c r="AV81" s="206"/>
      <c r="AW81" s="206"/>
      <c r="AX81" s="206"/>
      <c r="AY81" s="206"/>
      <c r="AZ81" s="206"/>
    </row>
    <row r="82" spans="1:52" s="115" customFormat="1" ht="76.5" x14ac:dyDescent="0.25">
      <c r="A82" s="425">
        <f>1+A79</f>
        <v>25</v>
      </c>
      <c r="B82" s="457" t="s">
        <v>234</v>
      </c>
      <c r="C82" s="452" t="s">
        <v>359</v>
      </c>
      <c r="D82" s="452" t="s">
        <v>360</v>
      </c>
      <c r="E82" s="450" t="s">
        <v>120</v>
      </c>
      <c r="F82" s="456" t="s">
        <v>499</v>
      </c>
      <c r="G82" s="456" t="s">
        <v>500</v>
      </c>
      <c r="H82" s="432" t="s">
        <v>501</v>
      </c>
      <c r="I82" s="450" t="s">
        <v>218</v>
      </c>
      <c r="J82" s="443">
        <v>1</v>
      </c>
      <c r="K82" s="445" t="str">
        <f>IF(J82&lt;=0,"",IF(J82&lt;=2,"Muy Baja",IF(J82&lt;=24,"Baja",IF(J82&lt;=500,"Media",IF(J82&lt;=5000,"Alta","Muy Alta")))))</f>
        <v>Muy Baja</v>
      </c>
      <c r="L82" s="437">
        <f>IF(K82="","",IF(K82="Muy Baja",0.2,IF(K82="Baja",0.4,IF(K82="Media",0.6,IF(K82="Alta",0.8,IF(K82="Muy Alta",1,))))))</f>
        <v>0.2</v>
      </c>
      <c r="M82" s="448" t="s">
        <v>247</v>
      </c>
      <c r="N82" s="181" t="str">
        <f ca="1">IF(NOT(ISERROR(MATCH(M82,'Tabla Impacto'!$B$221:$B$223,0))),'Tabla Impacto'!$F$223&amp;"Por favor no seleccionar los criterios de impacto(Afectación Económica o presupuestal y Pérdida Reputacional)",M82)</f>
        <v xml:space="preserve"> El riesgo afecta la imagen de alguna área de la organización</v>
      </c>
      <c r="O82" s="445" t="str">
        <f ca="1">IF(OR(N82='Tabla Impacto'!$C$11,N82='Tabla Impacto'!$D$11),"Leve",IF(OR(N82='Tabla Impacto'!$C$12,N82='Tabla Impacto'!$D$12),"Menor",IF(OR(N82='Tabla Impacto'!$C$13,N82='Tabla Impacto'!$D$13),"Moderado",IF(OR(N82='Tabla Impacto'!$C$14,N82='Tabla Impacto'!$D$14),"Mayor",IF(OR(N82='Tabla Impacto'!$C$15,N82='Tabla Impacto'!$D$15),"Catastrófico","")))))</f>
        <v>Leve</v>
      </c>
      <c r="P82" s="437">
        <f ca="1">IF(O82="","",IF(O82="Leve",0.2,IF(O82="Menor",0.4,IF(O82="Moderado",0.6,IF(O82="Mayor",0.8,IF(O82="Catastrófico",1,))))))</f>
        <v>0.2</v>
      </c>
      <c r="Q82" s="440" t="str">
        <f ca="1">IF(OR(AND(K82="Muy Baja",O82="Leve"),AND(K82="Muy Baja",O82="Menor"),AND(K82="Baja",O82="Leve")),"Bajo",IF(OR(AND(K82="Muy baja",O82="Moderado"),AND(K82="Baja",O82="Menor"),AND(K82="Baja",O82="Moderado"),AND(K82="Media",O82="Leve"),AND(K82="Media",O82="Menor"),AND(K82="Media",O82="Moderado"),AND(K82="Alta",O82="Leve"),AND(K82="Alta",O82="Menor")),"Moderado",IF(OR(AND(K82="Muy Baja",O82="Mayor"),AND(K82="Baja",O82="Mayor"),AND(K82="Media",O82="Mayor"),AND(K82="Alta",O82="Moderado"),AND(K82="Alta",O82="Mayor"),AND(K82="Muy Alta",O82="Leve"),AND(K82="Muy Alta",O82="Menor"),AND(K82="Muy Alta",O82="Moderado"),AND(K82="Muy Alta",O82="Mayor")),"Alto",IF(OR(AND(K82="Muy Baja",O82="Catastrófico"),AND(K82="Baja",O82="Catastrófico"),AND(K82="Media",O82="Catastrófico"),AND(K82="Alta",O82="Catastrófico"),AND(K82="Muy Alta",O82="Catastrófico")),"Extremo",""))))</f>
        <v>Bajo</v>
      </c>
      <c r="R82" s="94">
        <v>1</v>
      </c>
      <c r="S82" s="79" t="s">
        <v>502</v>
      </c>
      <c r="T82" s="95" t="str">
        <f t="shared" si="71"/>
        <v>Probabilidad</v>
      </c>
      <c r="U82" s="96" t="s">
        <v>15</v>
      </c>
      <c r="V82" s="96" t="s">
        <v>9</v>
      </c>
      <c r="W82" s="97" t="str">
        <f t="shared" si="72"/>
        <v>30%</v>
      </c>
      <c r="X82" s="96" t="s">
        <v>20</v>
      </c>
      <c r="Y82" s="96" t="s">
        <v>23</v>
      </c>
      <c r="Z82" s="96" t="s">
        <v>111</v>
      </c>
      <c r="AA82" s="98">
        <f>IFERROR(IF(T82="Probabilidad",(L82-(+L82*W82)),IF(T82="Impacto",L82,"")),"")</f>
        <v>0.14000000000000001</v>
      </c>
      <c r="AB82" s="99" t="str">
        <f t="shared" si="73"/>
        <v>Muy Baja</v>
      </c>
      <c r="AC82" s="100">
        <f t="shared" si="74"/>
        <v>0.14000000000000001</v>
      </c>
      <c r="AD82" s="99" t="str">
        <f t="shared" ca="1" si="75"/>
        <v>Leve</v>
      </c>
      <c r="AE82" s="100">
        <f ca="1">IFERROR(IF(T82="Impacto",(P82-(+P82*W82)),IF(T82="Probabilidad",P82,"")),"")</f>
        <v>0.2</v>
      </c>
      <c r="AF82" s="101" t="str">
        <f t="shared" ca="1" si="76"/>
        <v>Bajo</v>
      </c>
      <c r="AG82" s="102" t="s">
        <v>122</v>
      </c>
      <c r="AH82" s="79" t="s">
        <v>503</v>
      </c>
      <c r="AI82" s="92" t="s">
        <v>195</v>
      </c>
      <c r="AJ82" s="103" t="s">
        <v>205</v>
      </c>
      <c r="AK82" s="103" t="s">
        <v>206</v>
      </c>
      <c r="AL82" s="79" t="s">
        <v>366</v>
      </c>
      <c r="AM82" s="92"/>
      <c r="AO82" s="238" t="s">
        <v>713</v>
      </c>
      <c r="AP82" s="238" t="s">
        <v>715</v>
      </c>
      <c r="AQ82" s="209">
        <v>1</v>
      </c>
      <c r="AR82" s="238" t="s">
        <v>714</v>
      </c>
      <c r="AS82" s="238" t="s">
        <v>716</v>
      </c>
      <c r="AT82" s="209">
        <v>1</v>
      </c>
      <c r="AU82" s="206"/>
      <c r="AV82" s="206" t="s">
        <v>717</v>
      </c>
      <c r="AW82" s="207" t="s">
        <v>583</v>
      </c>
      <c r="AX82" s="207" t="s">
        <v>583</v>
      </c>
      <c r="AY82" s="207" t="s">
        <v>583</v>
      </c>
      <c r="AZ82" s="230" t="s">
        <v>593</v>
      </c>
    </row>
    <row r="83" spans="1:52" s="115" customFormat="1" ht="151.5" customHeight="1" x14ac:dyDescent="0.25">
      <c r="A83" s="425"/>
      <c r="B83" s="458"/>
      <c r="C83" s="453"/>
      <c r="D83" s="455"/>
      <c r="E83" s="451"/>
      <c r="F83" s="433"/>
      <c r="G83" s="433"/>
      <c r="H83" s="433"/>
      <c r="I83" s="451"/>
      <c r="J83" s="444"/>
      <c r="K83" s="446"/>
      <c r="L83" s="438"/>
      <c r="M83" s="449"/>
      <c r="N83" s="182"/>
      <c r="O83" s="446"/>
      <c r="P83" s="438"/>
      <c r="Q83" s="441"/>
      <c r="R83" s="94">
        <v>2</v>
      </c>
      <c r="S83" s="79"/>
      <c r="T83" s="95" t="str">
        <f t="shared" ref="T83:T89" si="77">IF(OR(U83="Preventivo",U83="Detectivo"),"Probabilidad",IF(U83="Correctivo","Impacto",""))</f>
        <v/>
      </c>
      <c r="U83" s="96"/>
      <c r="V83" s="96"/>
      <c r="W83" s="97"/>
      <c r="X83" s="96"/>
      <c r="Y83" s="96"/>
      <c r="Z83" s="96"/>
      <c r="AA83" s="98" t="str">
        <f>IFERROR(IF(T83="Probabilidad",(AA82-(+AA82*W83)),IF(T83="Impacto",L83,"")),"")</f>
        <v/>
      </c>
      <c r="AB83" s="99" t="str">
        <f t="shared" ref="AB83:AB88" si="78">IFERROR(IF(AA83="","",IF(AA83&lt;=0.2,"Muy Baja",IF(AA83&lt;=0.4,"Baja",IF(AA83&lt;=0.6,"Media",IF(AA83&lt;=0.8,"Alta","Muy Alta"))))),"")</f>
        <v/>
      </c>
      <c r="AC83" s="100" t="str">
        <f t="shared" ref="AC83:AC88" si="79">+AA83</f>
        <v/>
      </c>
      <c r="AD83" s="99" t="str">
        <f t="shared" ref="AD83:AD88" si="80">IFERROR(IF(AE83="","",IF(AE83&lt;=0.2,"Leve",IF(AE83&lt;=0.4,"Menor",IF(AE83&lt;=0.6,"Moderado",IF(AE83&lt;=0.8,"Mayor","Catastrófico"))))),"")</f>
        <v/>
      </c>
      <c r="AE83" s="100" t="str">
        <f>IFERROR(IF(T83="Impacto",(P83-(+P83*W83)),IF(T83="Probabilidad",P83,"")),"")</f>
        <v/>
      </c>
      <c r="AF83" s="101" t="str">
        <f t="shared" ref="AF83:AF88" si="81">IFERROR(IF(OR(AND(AB83="Muy Baja",AD83="Leve"),AND(AB83="Muy Baja",AD83="Menor"),AND(AB83="Baja",AD83="Leve")),"Bajo",IF(OR(AND(AB83="Muy baja",AD83="Moderado"),AND(AB83="Baja",AD83="Menor"),AND(AB83="Baja",AD83="Moderado"),AND(AB83="Media",AD83="Leve"),AND(AB83="Media",AD83="Menor"),AND(AB83="Media",AD83="Moderado"),AND(AB83="Alta",AD83="Leve"),AND(AB83="Alta",AD83="Menor")),"Moderado",IF(OR(AND(AB83="Muy Baja",AD83="Mayor"),AND(AB83="Baja",AD83="Mayor"),AND(AB83="Media",AD83="Mayor"),AND(AB83="Alta",AD83="Moderado"),AND(AB83="Alta",AD83="Mayor"),AND(AB83="Muy Alta",AD83="Leve"),AND(AB83="Muy Alta",AD83="Menor"),AND(AB83="Muy Alta",AD83="Moderado"),AND(AB83="Muy Alta",AD83="Mayor")),"Alto",IF(OR(AND(AB83="Muy Baja",AD83="Catastrófico"),AND(AB83="Baja",AD83="Catastrófico"),AND(AB83="Media",AD83="Catastrófico"),AND(AB83="Alta",AD83="Catastrófico"),AND(AB83="Muy Alta",AD83="Catastrófico")),"Extremo","")))),"")</f>
        <v/>
      </c>
      <c r="AG83" s="102"/>
      <c r="AH83" s="79"/>
      <c r="AI83" s="92"/>
      <c r="AJ83" s="103"/>
      <c r="AK83" s="103"/>
      <c r="AL83" s="79"/>
      <c r="AM83" s="92"/>
      <c r="AO83" s="206"/>
      <c r="AP83" s="206"/>
      <c r="AQ83" s="206"/>
      <c r="AR83" s="206"/>
      <c r="AS83" s="206"/>
      <c r="AT83" s="206"/>
      <c r="AU83" s="206"/>
      <c r="AV83" s="206"/>
      <c r="AW83" s="206"/>
      <c r="AX83" s="206"/>
      <c r="AY83" s="206"/>
      <c r="AZ83" s="206"/>
    </row>
    <row r="84" spans="1:52" s="115" customFormat="1" ht="151.5" customHeight="1" x14ac:dyDescent="0.25">
      <c r="A84" s="425"/>
      <c r="B84" s="459"/>
      <c r="C84" s="453"/>
      <c r="D84" s="455"/>
      <c r="E84" s="451"/>
      <c r="F84" s="433"/>
      <c r="G84" s="433"/>
      <c r="H84" s="433"/>
      <c r="I84" s="451"/>
      <c r="J84" s="444"/>
      <c r="K84" s="447"/>
      <c r="L84" s="439"/>
      <c r="M84" s="449"/>
      <c r="N84" s="182"/>
      <c r="O84" s="447"/>
      <c r="P84" s="439"/>
      <c r="Q84" s="442"/>
      <c r="R84" s="94">
        <v>3</v>
      </c>
      <c r="S84" s="79"/>
      <c r="T84" s="95" t="str">
        <f t="shared" si="77"/>
        <v/>
      </c>
      <c r="U84" s="96"/>
      <c r="V84" s="96"/>
      <c r="W84" s="97"/>
      <c r="X84" s="96"/>
      <c r="Y84" s="96"/>
      <c r="Z84" s="96"/>
      <c r="AA84" s="98" t="str">
        <f>IFERROR(IF(T84="Probabilidad",(AA83-(+AA83*W84)),IF(T84="Impacto",L84,"")),"")</f>
        <v/>
      </c>
      <c r="AB84" s="99" t="str">
        <f t="shared" si="78"/>
        <v/>
      </c>
      <c r="AC84" s="100" t="str">
        <f t="shared" si="79"/>
        <v/>
      </c>
      <c r="AD84" s="99" t="str">
        <f t="shared" si="80"/>
        <v/>
      </c>
      <c r="AE84" s="100" t="str">
        <f>IFERROR(IF(T84="Impacto",(P84-(+P84*W84)),IF(T84="Probabilidad",P84,"")),"")</f>
        <v/>
      </c>
      <c r="AF84" s="101" t="str">
        <f t="shared" si="81"/>
        <v/>
      </c>
      <c r="AG84" s="102"/>
      <c r="AH84" s="79"/>
      <c r="AI84" s="92"/>
      <c r="AJ84" s="103"/>
      <c r="AK84" s="103"/>
      <c r="AL84" s="79"/>
      <c r="AM84" s="92"/>
      <c r="AO84" s="206"/>
      <c r="AP84" s="206"/>
      <c r="AQ84" s="206"/>
      <c r="AR84" s="206"/>
      <c r="AS84" s="206"/>
      <c r="AT84" s="206"/>
      <c r="AU84" s="206"/>
      <c r="AV84" s="206"/>
      <c r="AW84" s="206"/>
      <c r="AX84" s="206"/>
      <c r="AY84" s="206"/>
      <c r="AZ84" s="206"/>
    </row>
    <row r="85" spans="1:52" s="115" customFormat="1" ht="168.75" customHeight="1" x14ac:dyDescent="0.25">
      <c r="A85" s="425">
        <f>1+A82</f>
        <v>26</v>
      </c>
      <c r="B85" s="457" t="s">
        <v>367</v>
      </c>
      <c r="C85" s="452" t="s">
        <v>368</v>
      </c>
      <c r="D85" s="452" t="s">
        <v>369</v>
      </c>
      <c r="E85" s="450" t="s">
        <v>120</v>
      </c>
      <c r="F85" s="450" t="s">
        <v>370</v>
      </c>
      <c r="G85" s="450" t="s">
        <v>371</v>
      </c>
      <c r="H85" s="432" t="s">
        <v>372</v>
      </c>
      <c r="I85" s="450" t="s">
        <v>218</v>
      </c>
      <c r="J85" s="443">
        <v>850</v>
      </c>
      <c r="K85" s="445" t="str">
        <f>IF(J85&lt;=0,"",IF(J85&lt;=2,"Muy Baja",IF(J85&lt;=24,"Baja",IF(J85&lt;=500,"Media",IF(J85&lt;=5000,"Alta","Muy Alta")))))</f>
        <v>Alta</v>
      </c>
      <c r="L85" s="437">
        <f>IF(K85="","",IF(K85="Muy Baja",0.2,IF(K85="Baja",0.4,IF(K85="Media",0.6,IF(K85="Alta",0.8,IF(K85="Muy Alta",1,))))))</f>
        <v>0.8</v>
      </c>
      <c r="M85" s="448" t="s">
        <v>257</v>
      </c>
      <c r="N85" s="181" t="str">
        <f ca="1">IF(NOT(ISERROR(MATCH(M85,'Tabla Impacto'!$B$221:$B$223,0))),'Tabla Impacto'!$F$223&amp;"Por favor no seleccionar los criterios de impacto(Afectación Económica o presupuestal y Pérdida Reputacional)",M85)</f>
        <v xml:space="preserve"> El riesgo afecta la imagen de la entidad con efecto publicitario sostenido a nivel de sector administrativo, nivel departamental o municipal</v>
      </c>
      <c r="O85" s="445" t="str">
        <f ca="1">IF(OR(N85='Tabla Impacto'!$C$11,N85='Tabla Impacto'!$D$11),"Leve",IF(OR(N85='Tabla Impacto'!$C$12,N85='Tabla Impacto'!$D$12),"Menor",IF(OR(N85='Tabla Impacto'!$C$13,N85='Tabla Impacto'!$D$13),"Moderado",IF(OR(N85='Tabla Impacto'!$C$14,N85='Tabla Impacto'!$D$14),"Mayor",IF(OR(N85='Tabla Impacto'!$C$15,N85='Tabla Impacto'!$D$15),"Catastrófico","")))))</f>
        <v>Mayor</v>
      </c>
      <c r="P85" s="437">
        <f ca="1">IF(O85="","",IF(O85="Leve",0.2,IF(O85="Menor",0.4,IF(O85="Moderado",0.6,IF(O85="Mayor",0.8,IF(O85="Catastrófico",1,))))))</f>
        <v>0.8</v>
      </c>
      <c r="Q85" s="440" t="str">
        <f ca="1">IF(OR(AND(K85="Muy Baja",O85="Leve"),AND(K85="Muy Baja",O85="Menor"),AND(K85="Baja",O85="Leve")),"Bajo",IF(OR(AND(K85="Muy baja",O85="Moderado"),AND(K85="Baja",O85="Menor"),AND(K85="Baja",O85="Moderado"),AND(K85="Media",O85="Leve"),AND(K85="Media",O85="Menor"),AND(K85="Media",O85="Moderado"),AND(K85="Alta",O85="Leve"),AND(K85="Alta",O85="Menor")),"Moderado",IF(OR(AND(K85="Muy Baja",O85="Mayor"),AND(K85="Baja",O85="Mayor"),AND(K85="Media",O85="Mayor"),AND(K85="Alta",O85="Moderado"),AND(K85="Alta",O85="Mayor"),AND(K85="Muy Alta",O85="Leve"),AND(K85="Muy Alta",O85="Menor"),AND(K85="Muy Alta",O85="Moderado"),AND(K85="Muy Alta",O85="Mayor")),"Alto",IF(OR(AND(K85="Muy Baja",O85="Catastrófico"),AND(K85="Baja",O85="Catastrófico"),AND(K85="Media",O85="Catastrófico"),AND(K85="Alta",O85="Catastrófico"),AND(K85="Muy Alta",O85="Catastrófico")),"Extremo",""))))</f>
        <v>Alto</v>
      </c>
      <c r="R85" s="94">
        <v>1</v>
      </c>
      <c r="S85" s="79" t="s">
        <v>482</v>
      </c>
      <c r="T85" s="95" t="str">
        <f t="shared" si="77"/>
        <v>Probabilidad</v>
      </c>
      <c r="U85" s="96" t="s">
        <v>14</v>
      </c>
      <c r="V85" s="96" t="s">
        <v>9</v>
      </c>
      <c r="W85" s="97" t="str">
        <f t="shared" ref="W85:W89" si="82">IF(AND(U85="Preventivo",V85="Automático"),"50%",IF(AND(U85="Preventivo",V85="Manual"),"40%",IF(AND(U85="Detectivo",V85="Automático"),"40%",IF(AND(U85="Detectivo",V85="Manual"),"30%",IF(AND(U85="Correctivo",V85="Automático"),"35%",IF(AND(U85="Correctivo",V85="Manual"),"25%",""))))))</f>
        <v>40%</v>
      </c>
      <c r="X85" s="96" t="s">
        <v>20</v>
      </c>
      <c r="Y85" s="96" t="s">
        <v>22</v>
      </c>
      <c r="Z85" s="96" t="s">
        <v>110</v>
      </c>
      <c r="AA85" s="98">
        <f>IFERROR(IF(T85="Probabilidad",(L85-(+L85*W85)),IF(T85="Impacto",L85,"")),"")</f>
        <v>0.48</v>
      </c>
      <c r="AB85" s="99" t="str">
        <f t="shared" si="78"/>
        <v>Media</v>
      </c>
      <c r="AC85" s="100">
        <f t="shared" si="79"/>
        <v>0.48</v>
      </c>
      <c r="AD85" s="99" t="str">
        <f t="shared" ca="1" si="80"/>
        <v>Mayor</v>
      </c>
      <c r="AE85" s="100">
        <f ca="1">IFERROR(IF(T85="Impacto",(P85-(+P85*W85)),IF(T85="Probabilidad",P85,"")),"")</f>
        <v>0.8</v>
      </c>
      <c r="AF85" s="101" t="str">
        <f t="shared" ca="1" si="81"/>
        <v>Alto</v>
      </c>
      <c r="AG85" s="102" t="s">
        <v>122</v>
      </c>
      <c r="AH85" s="114" t="s">
        <v>373</v>
      </c>
      <c r="AI85" s="104" t="s">
        <v>193</v>
      </c>
      <c r="AJ85" s="103" t="s">
        <v>205</v>
      </c>
      <c r="AK85" s="103" t="s">
        <v>206</v>
      </c>
      <c r="AL85" s="79" t="s">
        <v>375</v>
      </c>
      <c r="AM85" s="92"/>
      <c r="AO85" s="271" t="s">
        <v>718</v>
      </c>
      <c r="AP85" s="270" t="s">
        <v>719</v>
      </c>
      <c r="AQ85" s="272">
        <v>1</v>
      </c>
      <c r="AR85" s="273" t="s">
        <v>373</v>
      </c>
      <c r="AS85" s="270" t="s">
        <v>719</v>
      </c>
      <c r="AT85" s="272">
        <v>1</v>
      </c>
      <c r="AU85" s="267"/>
      <c r="AV85" s="268" t="s">
        <v>582</v>
      </c>
      <c r="AW85" s="268" t="s">
        <v>583</v>
      </c>
      <c r="AX85" s="268" t="s">
        <v>583</v>
      </c>
      <c r="AY85" s="268" t="s">
        <v>583</v>
      </c>
      <c r="AZ85" s="230" t="s">
        <v>593</v>
      </c>
    </row>
    <row r="86" spans="1:52" s="115" customFormat="1" ht="151.5" customHeight="1" x14ac:dyDescent="0.3">
      <c r="A86" s="425"/>
      <c r="B86" s="458"/>
      <c r="C86" s="453"/>
      <c r="D86" s="455"/>
      <c r="E86" s="451"/>
      <c r="F86" s="451"/>
      <c r="G86" s="451"/>
      <c r="H86" s="433"/>
      <c r="I86" s="451"/>
      <c r="J86" s="444"/>
      <c r="K86" s="446"/>
      <c r="L86" s="438"/>
      <c r="M86" s="449"/>
      <c r="N86" s="182"/>
      <c r="O86" s="446"/>
      <c r="P86" s="438"/>
      <c r="Q86" s="441"/>
      <c r="R86" s="94">
        <v>2</v>
      </c>
      <c r="S86" s="91" t="s">
        <v>508</v>
      </c>
      <c r="T86" s="95" t="str">
        <f t="shared" si="77"/>
        <v>Probabilidad</v>
      </c>
      <c r="U86" s="96" t="s">
        <v>14</v>
      </c>
      <c r="V86" s="96" t="s">
        <v>9</v>
      </c>
      <c r="W86" s="97" t="str">
        <f t="shared" si="82"/>
        <v>40%</v>
      </c>
      <c r="X86" s="96" t="s">
        <v>20</v>
      </c>
      <c r="Y86" s="96" t="s">
        <v>22</v>
      </c>
      <c r="Z86" s="96" t="s">
        <v>110</v>
      </c>
      <c r="AA86" s="98">
        <f>IFERROR(IF(T86="Probabilidad",(AA85-(+AA85*W86)),IF(T86="Impacto",L86,"")),"")</f>
        <v>0.28799999999999998</v>
      </c>
      <c r="AB86" s="99" t="str">
        <f t="shared" si="78"/>
        <v>Baja</v>
      </c>
      <c r="AC86" s="100">
        <f t="shared" si="79"/>
        <v>0.28799999999999998</v>
      </c>
      <c r="AD86" s="99" t="str">
        <f t="shared" si="80"/>
        <v>Leve</v>
      </c>
      <c r="AE86" s="100">
        <f t="shared" ref="AE86:AE87" si="83">IFERROR(IF(T86="Impacto",(P86-(+P86*W86)),IF(T86="Probabilidad",P86,"")),"")</f>
        <v>0</v>
      </c>
      <c r="AF86" s="101" t="str">
        <f t="shared" si="81"/>
        <v>Bajo</v>
      </c>
      <c r="AG86" s="102" t="s">
        <v>122</v>
      </c>
      <c r="AH86" s="79" t="s">
        <v>374</v>
      </c>
      <c r="AI86" s="104" t="s">
        <v>193</v>
      </c>
      <c r="AJ86" s="103" t="s">
        <v>205</v>
      </c>
      <c r="AK86" s="103" t="s">
        <v>206</v>
      </c>
      <c r="AL86" s="79"/>
      <c r="AM86" s="92"/>
      <c r="AO86" s="269" t="s">
        <v>720</v>
      </c>
      <c r="AP86" s="271" t="s">
        <v>721</v>
      </c>
      <c r="AQ86" s="272">
        <v>1</v>
      </c>
      <c r="AR86" s="238" t="s">
        <v>722</v>
      </c>
      <c r="AS86" s="271" t="s">
        <v>721</v>
      </c>
      <c r="AT86" s="272">
        <v>1</v>
      </c>
      <c r="AU86" s="267"/>
      <c r="AV86" s="268" t="s">
        <v>582</v>
      </c>
      <c r="AW86" s="268" t="s">
        <v>583</v>
      </c>
      <c r="AX86" s="268" t="s">
        <v>583</v>
      </c>
      <c r="AY86" s="268" t="s">
        <v>583</v>
      </c>
      <c r="AZ86" s="230" t="s">
        <v>593</v>
      </c>
    </row>
    <row r="87" spans="1:52" s="115" customFormat="1" ht="151.5" customHeight="1" x14ac:dyDescent="0.25">
      <c r="A87" s="425"/>
      <c r="B87" s="459"/>
      <c r="C87" s="453"/>
      <c r="D87" s="455"/>
      <c r="E87" s="451"/>
      <c r="F87" s="451"/>
      <c r="G87" s="451"/>
      <c r="H87" s="433"/>
      <c r="I87" s="451"/>
      <c r="J87" s="444"/>
      <c r="K87" s="447"/>
      <c r="L87" s="439"/>
      <c r="M87" s="449"/>
      <c r="N87" s="182"/>
      <c r="O87" s="447"/>
      <c r="P87" s="439"/>
      <c r="Q87" s="442"/>
      <c r="R87" s="94">
        <v>3</v>
      </c>
      <c r="S87" s="79"/>
      <c r="T87" s="95" t="str">
        <f t="shared" si="77"/>
        <v/>
      </c>
      <c r="U87" s="96"/>
      <c r="V87" s="96"/>
      <c r="W87" s="97" t="str">
        <f t="shared" si="82"/>
        <v/>
      </c>
      <c r="X87" s="96"/>
      <c r="Y87" s="96"/>
      <c r="Z87" s="96"/>
      <c r="AA87" s="98" t="str">
        <f>IFERROR(IF(T87="Probabilidad",(AA86-(+AA86*W87)),IF(T87="Impacto",L87,"")),"")</f>
        <v/>
      </c>
      <c r="AB87" s="99" t="str">
        <f t="shared" si="78"/>
        <v/>
      </c>
      <c r="AC87" s="100" t="str">
        <f t="shared" si="79"/>
        <v/>
      </c>
      <c r="AD87" s="99" t="str">
        <f t="shared" si="80"/>
        <v/>
      </c>
      <c r="AE87" s="100" t="str">
        <f t="shared" si="83"/>
        <v/>
      </c>
      <c r="AF87" s="101" t="str">
        <f t="shared" si="81"/>
        <v/>
      </c>
      <c r="AG87" s="102"/>
      <c r="AH87" s="79"/>
      <c r="AI87" s="104"/>
      <c r="AJ87" s="103"/>
      <c r="AK87" s="103"/>
      <c r="AL87" s="79"/>
      <c r="AM87" s="92"/>
      <c r="AO87" s="206"/>
      <c r="AP87" s="206"/>
      <c r="AQ87" s="206"/>
      <c r="AR87" s="206"/>
      <c r="AS87" s="206"/>
      <c r="AT87" s="206"/>
      <c r="AU87" s="206"/>
      <c r="AV87" s="206"/>
      <c r="AW87" s="206"/>
      <c r="AX87" s="206"/>
      <c r="AY87" s="206"/>
      <c r="AZ87" s="206"/>
    </row>
    <row r="88" spans="1:52" s="115" customFormat="1" ht="169.5" customHeight="1" x14ac:dyDescent="0.25">
      <c r="A88" s="425">
        <f>1+A85</f>
        <v>27</v>
      </c>
      <c r="B88" s="416" t="s">
        <v>564</v>
      </c>
      <c r="C88" s="452" t="s">
        <v>376</v>
      </c>
      <c r="D88" s="452" t="s">
        <v>377</v>
      </c>
      <c r="E88" s="450" t="s">
        <v>120</v>
      </c>
      <c r="F88" s="454" t="s">
        <v>378</v>
      </c>
      <c r="G88" s="454" t="s">
        <v>381</v>
      </c>
      <c r="H88" s="432" t="s">
        <v>382</v>
      </c>
      <c r="I88" s="450" t="s">
        <v>219</v>
      </c>
      <c r="J88" s="443">
        <v>4</v>
      </c>
      <c r="K88" s="445" t="str">
        <f>IF(J88&lt;=0,"",IF(J88&lt;=2,"Muy Baja",IF(J88&lt;=24,"Baja",IF(J88&lt;=500,"Media",IF(J88&lt;=5000,"Alta","Muy Alta")))))</f>
        <v>Baja</v>
      </c>
      <c r="L88" s="437">
        <f>IF(K88="","",IF(K88="Muy Baja",0.2,IF(K88="Baja",0.4,IF(K88="Media",0.6,IF(K88="Alta",0.8,IF(K88="Muy Alta",1,))))))</f>
        <v>0.4</v>
      </c>
      <c r="M88" s="448" t="s">
        <v>246</v>
      </c>
      <c r="N88" s="181" t="str">
        <f ca="1">IF(NOT(ISERROR(MATCH(M88,'Tabla Impacto'!$B$221:$B$223,0))),'Tabla Impacto'!$F$223&amp;"Por favor no seleccionar los criterios de impacto(Afectación Económica o presupuestal y Pérdida Reputacional)",M88)</f>
        <v xml:space="preserve"> Afectación menor a 10 SMLMV .</v>
      </c>
      <c r="O88" s="445" t="str">
        <f ca="1">IF(OR(N88='Tabla Impacto'!$C$11,N88='Tabla Impacto'!$D$11),"Leve",IF(OR(N88='Tabla Impacto'!$C$12,N88='Tabla Impacto'!$D$12),"Menor",IF(OR(N88='Tabla Impacto'!$C$13,N88='Tabla Impacto'!$D$13),"Moderado",IF(OR(N88='Tabla Impacto'!$C$14,N88='Tabla Impacto'!$D$14),"Mayor",IF(OR(N88='Tabla Impacto'!$C$15,N88='Tabla Impacto'!$D$15),"Catastrófico","")))))</f>
        <v>Leve</v>
      </c>
      <c r="P88" s="437">
        <f ca="1">IF(O88="","",IF(O88="Leve",0.2,IF(O88="Menor",0.4,IF(O88="Moderado",0.6,IF(O88="Mayor",0.8,IF(O88="Catastrófico",1,))))))</f>
        <v>0.2</v>
      </c>
      <c r="Q88" s="440" t="str">
        <f ca="1">IF(OR(AND(K88="Muy Baja",O88="Leve"),AND(K88="Muy Baja",O88="Menor"),AND(K88="Baja",O88="Leve")),"Bajo",IF(OR(AND(K88="Muy baja",O88="Moderado"),AND(K88="Baja",O88="Menor"),AND(K88="Baja",O88="Moderado"),AND(K88="Media",O88="Leve"),AND(K88="Media",O88="Menor"),AND(K88="Media",O88="Moderado"),AND(K88="Alta",O88="Leve"),AND(K88="Alta",O88="Menor")),"Moderado",IF(OR(AND(K88="Muy Baja",O88="Mayor"),AND(K88="Baja",O88="Mayor"),AND(K88="Media",O88="Mayor"),AND(K88="Alta",O88="Moderado"),AND(K88="Alta",O88="Mayor"),AND(K88="Muy Alta",O88="Leve"),AND(K88="Muy Alta",O88="Menor"),AND(K88="Muy Alta",O88="Moderado"),AND(K88="Muy Alta",O88="Mayor")),"Alto",IF(OR(AND(K88="Muy Baja",O88="Catastrófico"),AND(K88="Baja",O88="Catastrófico"),AND(K88="Media",O88="Catastrófico"),AND(K88="Alta",O88="Catastrófico"),AND(K88="Muy Alta",O88="Catastrófico")),"Extremo",""))))</f>
        <v>Bajo</v>
      </c>
      <c r="R88" s="94">
        <v>1</v>
      </c>
      <c r="S88" s="91" t="s">
        <v>439</v>
      </c>
      <c r="T88" s="95" t="str">
        <f t="shared" si="77"/>
        <v>Probabilidad</v>
      </c>
      <c r="U88" s="96" t="s">
        <v>14</v>
      </c>
      <c r="V88" s="96" t="s">
        <v>9</v>
      </c>
      <c r="W88" s="97" t="str">
        <f t="shared" si="82"/>
        <v>40%</v>
      </c>
      <c r="X88" s="96" t="s">
        <v>19</v>
      </c>
      <c r="Y88" s="96" t="s">
        <v>22</v>
      </c>
      <c r="Z88" s="96" t="s">
        <v>110</v>
      </c>
      <c r="AA88" s="98">
        <f>IFERROR(IF(T88="Probabilidad",(L88-(+L88*W88)),IF(T88="Impacto",L88,"")),"")</f>
        <v>0.24</v>
      </c>
      <c r="AB88" s="99" t="str">
        <f t="shared" si="78"/>
        <v>Baja</v>
      </c>
      <c r="AC88" s="100">
        <f t="shared" si="79"/>
        <v>0.24</v>
      </c>
      <c r="AD88" s="99" t="str">
        <f t="shared" ca="1" si="80"/>
        <v>Leve</v>
      </c>
      <c r="AE88" s="100">
        <f ca="1">IFERROR(IF(T88="Impacto",(P88-(+P88*W88)),IF(T88="Probabilidad",P88,"")),"")</f>
        <v>0.2</v>
      </c>
      <c r="AF88" s="101" t="str">
        <f t="shared" ca="1" si="81"/>
        <v>Bajo</v>
      </c>
      <c r="AG88" s="102" t="s">
        <v>122</v>
      </c>
      <c r="AH88" s="79" t="s">
        <v>535</v>
      </c>
      <c r="AI88" s="92" t="s">
        <v>197</v>
      </c>
      <c r="AJ88" s="109" t="s">
        <v>205</v>
      </c>
      <c r="AK88" s="110" t="s">
        <v>206</v>
      </c>
      <c r="AL88" s="79" t="s">
        <v>384</v>
      </c>
      <c r="AM88" s="92"/>
      <c r="AO88" s="238" t="s">
        <v>723</v>
      </c>
      <c r="AP88" s="204" t="s">
        <v>724</v>
      </c>
      <c r="AQ88" s="209">
        <v>1</v>
      </c>
      <c r="AR88" s="238" t="s">
        <v>725</v>
      </c>
      <c r="AS88" s="238" t="s">
        <v>726</v>
      </c>
      <c r="AT88" s="209">
        <v>1</v>
      </c>
      <c r="AU88" s="206"/>
      <c r="AV88" s="207" t="s">
        <v>582</v>
      </c>
      <c r="AW88" s="207" t="s">
        <v>583</v>
      </c>
      <c r="AX88" s="207" t="s">
        <v>583</v>
      </c>
      <c r="AY88" s="207" t="s">
        <v>583</v>
      </c>
      <c r="AZ88" s="230" t="s">
        <v>593</v>
      </c>
    </row>
    <row r="89" spans="1:52" s="115" customFormat="1" ht="151.5" customHeight="1" x14ac:dyDescent="0.25">
      <c r="A89" s="425"/>
      <c r="B89" s="417"/>
      <c r="C89" s="455"/>
      <c r="D89" s="455"/>
      <c r="E89" s="451"/>
      <c r="F89" s="451"/>
      <c r="G89" s="451"/>
      <c r="H89" s="433"/>
      <c r="I89" s="451"/>
      <c r="J89" s="444"/>
      <c r="K89" s="446"/>
      <c r="L89" s="438"/>
      <c r="M89" s="449"/>
      <c r="N89" s="182"/>
      <c r="O89" s="446"/>
      <c r="P89" s="438"/>
      <c r="Q89" s="441"/>
      <c r="R89" s="94">
        <v>2</v>
      </c>
      <c r="S89" s="79"/>
      <c r="T89" s="95" t="str">
        <f t="shared" si="77"/>
        <v/>
      </c>
      <c r="U89" s="96"/>
      <c r="V89" s="96"/>
      <c r="W89" s="97" t="str">
        <f t="shared" si="82"/>
        <v/>
      </c>
      <c r="X89" s="96"/>
      <c r="Y89" s="96"/>
      <c r="Z89" s="96"/>
      <c r="AA89" s="98" t="str">
        <f>IFERROR(IF(T89="Probabilidad",(L89-(+L89*W89)),IF(T89="Impacto",L89,"")),"")</f>
        <v/>
      </c>
      <c r="AB89" s="99" t="str">
        <f t="shared" ref="AB89" si="84">IFERROR(IF(AA89="","",IF(AA89&lt;=0.2,"Muy Baja",IF(AA89&lt;=0.4,"Baja",IF(AA89&lt;=0.6,"Media",IF(AA89&lt;=0.8,"Alta","Muy Alta"))))),"")</f>
        <v/>
      </c>
      <c r="AC89" s="100" t="str">
        <f t="shared" ref="AC89" si="85">+AA89</f>
        <v/>
      </c>
      <c r="AD89" s="99" t="str">
        <f t="shared" ref="AD89" si="86">IFERROR(IF(AE89="","",IF(AE89&lt;=0.2,"Leve",IF(AE89&lt;=0.4,"Menor",IF(AE89&lt;=0.6,"Moderado",IF(AE89&lt;=0.8,"Mayor","Catastrófico"))))),"")</f>
        <v/>
      </c>
      <c r="AE89" s="100" t="str">
        <f>IFERROR(IF(T89="Impacto",(P89-(+P89*W89)),IF(T89="Probabilidad",P89,"")),"")</f>
        <v/>
      </c>
      <c r="AF89" s="101" t="str">
        <f t="shared" ref="AF89" si="87">IFERROR(IF(OR(AND(AB89="Muy Baja",AD89="Leve"),AND(AB89="Muy Baja",AD89="Menor"),AND(AB89="Baja",AD89="Leve")),"Bajo",IF(OR(AND(AB89="Muy baja",AD89="Moderado"),AND(AB89="Baja",AD89="Menor"),AND(AB89="Baja",AD89="Moderado"),AND(AB89="Media",AD89="Leve"),AND(AB89="Media",AD89="Menor"),AND(AB89="Media",AD89="Moderado"),AND(AB89="Alta",AD89="Leve"),AND(AB89="Alta",AD89="Menor")),"Moderado",IF(OR(AND(AB89="Muy Baja",AD89="Mayor"),AND(AB89="Baja",AD89="Mayor"),AND(AB89="Media",AD89="Mayor"),AND(AB89="Alta",AD89="Moderado"),AND(AB89="Alta",AD89="Mayor"),AND(AB89="Muy Alta",AD89="Leve"),AND(AB89="Muy Alta",AD89="Menor"),AND(AB89="Muy Alta",AD89="Moderado"),AND(AB89="Muy Alta",AD89="Mayor")),"Alto",IF(OR(AND(AB89="Muy Baja",AD89="Catastrófico"),AND(AB89="Baja",AD89="Catastrófico"),AND(AB89="Media",AD89="Catastrófico"),AND(AB89="Alta",AD89="Catastrófico"),AND(AB89="Muy Alta",AD89="Catastrófico")),"Extremo","")))),"")</f>
        <v/>
      </c>
      <c r="AG89" s="102"/>
      <c r="AH89" s="79"/>
      <c r="AI89" s="92"/>
      <c r="AJ89" s="109"/>
      <c r="AK89" s="110"/>
      <c r="AL89" s="79"/>
      <c r="AM89" s="92"/>
      <c r="AO89" s="206"/>
      <c r="AP89" s="206"/>
      <c r="AQ89" s="206"/>
      <c r="AR89" s="206"/>
      <c r="AS89" s="206"/>
      <c r="AT89" s="206"/>
      <c r="AU89" s="206"/>
      <c r="AV89" s="206"/>
      <c r="AW89" s="206"/>
      <c r="AX89" s="206"/>
      <c r="AY89" s="206"/>
      <c r="AZ89" s="206"/>
    </row>
    <row r="90" spans="1:52" s="115" customFormat="1" ht="151.5" customHeight="1" x14ac:dyDescent="0.25">
      <c r="A90" s="425"/>
      <c r="B90" s="418"/>
      <c r="C90" s="455"/>
      <c r="D90" s="455"/>
      <c r="E90" s="451"/>
      <c r="F90" s="451"/>
      <c r="G90" s="451"/>
      <c r="H90" s="433"/>
      <c r="I90" s="451"/>
      <c r="J90" s="444"/>
      <c r="K90" s="447"/>
      <c r="L90" s="439"/>
      <c r="M90" s="449"/>
      <c r="N90" s="182"/>
      <c r="O90" s="447"/>
      <c r="P90" s="439"/>
      <c r="Q90" s="442"/>
      <c r="R90" s="94">
        <v>3</v>
      </c>
      <c r="S90" s="188"/>
      <c r="T90" s="95" t="str">
        <f t="shared" ref="T90" si="88">IF(OR(U90="Preventivo",U90="Detectivo"),"Probabilidad",IF(U90="Correctivo","Impacto",""))</f>
        <v/>
      </c>
      <c r="U90" s="96"/>
      <c r="V90" s="96"/>
      <c r="W90" s="97" t="str">
        <f t="shared" ref="W90" si="89">IF(AND(U90="Preventivo",V90="Automático"),"50%",IF(AND(U90="Preventivo",V90="Manual"),"40%",IF(AND(U90="Detectivo",V90="Automático"),"40%",IF(AND(U90="Detectivo",V90="Manual"),"30%",IF(AND(U90="Correctivo",V90="Automático"),"35%",IF(AND(U90="Correctivo",V90="Manual"),"25%",""))))))</f>
        <v/>
      </c>
      <c r="X90" s="96"/>
      <c r="Y90" s="96"/>
      <c r="Z90" s="96"/>
      <c r="AA90" s="98" t="str">
        <f>IFERROR(IF(T90="Probabilidad",(L90-(+L90*W90)),IF(T90="Impacto",L90,"")),"")</f>
        <v/>
      </c>
      <c r="AB90" s="99" t="str">
        <f t="shared" ref="AB90" si="90">IFERROR(IF(AA90="","",IF(AA90&lt;=0.2,"Muy Baja",IF(AA90&lt;=0.4,"Baja",IF(AA90&lt;=0.6,"Media",IF(AA90&lt;=0.8,"Alta","Muy Alta"))))),"")</f>
        <v/>
      </c>
      <c r="AC90" s="100" t="str">
        <f t="shared" ref="AC90" si="91">+AA90</f>
        <v/>
      </c>
      <c r="AD90" s="99" t="str">
        <f t="shared" ref="AD90" si="92">IFERROR(IF(AE90="","",IF(AE90&lt;=0.2,"Leve",IF(AE90&lt;=0.4,"Menor",IF(AE90&lt;=0.6,"Moderado",IF(AE90&lt;=0.8,"Mayor","Catastrófico"))))),"")</f>
        <v/>
      </c>
      <c r="AE90" s="100" t="str">
        <f>IFERROR(IF(T90="Impacto",(P90-(+P90*W90)),IF(T90="Probabilidad",P90,"")),"")</f>
        <v/>
      </c>
      <c r="AF90" s="101" t="str">
        <f t="shared" ref="AF90" si="93">IFERROR(IF(OR(AND(AB90="Muy Baja",AD90="Leve"),AND(AB90="Muy Baja",AD90="Menor"),AND(AB90="Baja",AD90="Leve")),"Bajo",IF(OR(AND(AB90="Muy baja",AD90="Moderado"),AND(AB90="Baja",AD90="Menor"),AND(AB90="Baja",AD90="Moderado"),AND(AB90="Media",AD90="Leve"),AND(AB90="Media",AD90="Menor"),AND(AB90="Media",AD90="Moderado"),AND(AB90="Alta",AD90="Leve"),AND(AB90="Alta",AD90="Menor")),"Moderado",IF(OR(AND(AB90="Muy Baja",AD90="Mayor"),AND(AB90="Baja",AD90="Mayor"),AND(AB90="Media",AD90="Mayor"),AND(AB90="Alta",AD90="Moderado"),AND(AB90="Alta",AD90="Mayor"),AND(AB90="Muy Alta",AD90="Leve"),AND(AB90="Muy Alta",AD90="Menor"),AND(AB90="Muy Alta",AD90="Moderado"),AND(AB90="Muy Alta",AD90="Mayor")),"Alto",IF(OR(AND(AB90="Muy Baja",AD90="Catastrófico"),AND(AB90="Baja",AD90="Catastrófico"),AND(AB90="Media",AD90="Catastrófico"),AND(AB90="Alta",AD90="Catastrófico"),AND(AB90="Muy Alta",AD90="Catastrófico")),"Extremo","")))),"")</f>
        <v/>
      </c>
      <c r="AG90" s="102"/>
      <c r="AH90" s="188"/>
      <c r="AI90" s="152"/>
      <c r="AJ90" s="152"/>
      <c r="AK90" s="152"/>
      <c r="AL90" s="188"/>
      <c r="AM90" s="92"/>
      <c r="AO90" s="206"/>
      <c r="AP90" s="206"/>
      <c r="AQ90" s="206"/>
      <c r="AR90" s="206"/>
      <c r="AS90" s="206"/>
      <c r="AT90" s="206"/>
      <c r="AU90" s="206"/>
      <c r="AV90" s="206"/>
      <c r="AW90" s="206"/>
      <c r="AX90" s="206"/>
      <c r="AY90" s="206"/>
      <c r="AZ90" s="206"/>
    </row>
    <row r="91" spans="1:52" s="115" customFormat="1" ht="192" customHeight="1" x14ac:dyDescent="0.25">
      <c r="A91" s="425">
        <f>1+A88</f>
        <v>28</v>
      </c>
      <c r="B91" s="416" t="s">
        <v>564</v>
      </c>
      <c r="C91" s="452" t="s">
        <v>376</v>
      </c>
      <c r="D91" s="452" t="s">
        <v>377</v>
      </c>
      <c r="E91" s="450" t="s">
        <v>118</v>
      </c>
      <c r="F91" s="450" t="s">
        <v>379</v>
      </c>
      <c r="G91" s="450" t="s">
        <v>441</v>
      </c>
      <c r="H91" s="432" t="s">
        <v>440</v>
      </c>
      <c r="I91" s="450" t="s">
        <v>218</v>
      </c>
      <c r="J91" s="443">
        <v>12</v>
      </c>
      <c r="K91" s="445" t="str">
        <f>IF(J91&lt;=0,"",IF(J91&lt;=2,"Muy Baja",IF(J91&lt;=24,"Baja",IF(J91&lt;=500,"Media",IF(J91&lt;=5000,"Alta","Muy Alta")))))</f>
        <v>Baja</v>
      </c>
      <c r="L91" s="437">
        <f>IF(K91="","",IF(K91="Muy Baja",0.2,IF(K91="Baja",0.4,IF(K91="Media",0.6,IF(K91="Alta",0.8,IF(K91="Muy Alta",1,))))))</f>
        <v>0.4</v>
      </c>
      <c r="M91" s="448" t="s">
        <v>255</v>
      </c>
      <c r="N91" s="181" t="str">
        <f ca="1">IF(NOT(ISERROR(MATCH(M91,'Tabla Impacto'!$B$221:$B$223,0))),'Tabla Impacto'!$F$223&amp;"Por favor no seleccionar los criterios de impacto(Afectación Económica o presupuestal y Pérdida Reputacional)",M91)</f>
        <v xml:space="preserve"> El riesgo afecta la imagen de la entidad internamente, de conocimiento general, nivel interno, de junta directiva y accionistas y/o de proveedores</v>
      </c>
      <c r="O91" s="445" t="str">
        <f ca="1">IF(OR(N91='Tabla Impacto'!$C$11,N91='Tabla Impacto'!$D$11),"Leve",IF(OR(N91='Tabla Impacto'!$C$12,N91='Tabla Impacto'!$D$12),"Menor",IF(OR(N91='Tabla Impacto'!$C$13,N91='Tabla Impacto'!$D$13),"Moderado",IF(OR(N91='Tabla Impacto'!$C$14,N91='Tabla Impacto'!$D$14),"Mayor",IF(OR(N91='Tabla Impacto'!$C$15,N91='Tabla Impacto'!$D$15),"Catastrófico","")))))</f>
        <v>Menor</v>
      </c>
      <c r="P91" s="437">
        <f ca="1">IF(O91="","",IF(O91="Leve",0.2,IF(O91="Menor",0.4,IF(O91="Moderado",0.6,IF(O91="Mayor",0.8,IF(O91="Catastrófico",1,))))))</f>
        <v>0.4</v>
      </c>
      <c r="Q91" s="440" t="str">
        <f ca="1">IF(OR(AND(K91="Muy Baja",O91="Leve"),AND(K91="Muy Baja",O91="Menor"),AND(K91="Baja",O91="Leve")),"Bajo",IF(OR(AND(K91="Muy baja",O91="Moderado"),AND(K91="Baja",O91="Menor"),AND(K91="Baja",O91="Moderado"),AND(K91="Media",O91="Leve"),AND(K91="Media",O91="Menor"),AND(K91="Media",O91="Moderado"),AND(K91="Alta",O91="Leve"),AND(K91="Alta",O91="Menor")),"Moderado",IF(OR(AND(K91="Muy Baja",O91="Mayor"),AND(K91="Baja",O91="Mayor"),AND(K91="Media",O91="Mayor"),AND(K91="Alta",O91="Moderado"),AND(K91="Alta",O91="Mayor"),AND(K91="Muy Alta",O91="Leve"),AND(K91="Muy Alta",O91="Menor"),AND(K91="Muy Alta",O91="Moderado"),AND(K91="Muy Alta",O91="Mayor")),"Alto",IF(OR(AND(K91="Muy Baja",O91="Catastrófico"),AND(K91="Baja",O91="Catastrófico"),AND(K91="Media",O91="Catastrófico"),AND(K91="Alta",O91="Catastrófico"),AND(K91="Muy Alta",O91="Catastrófico")),"Extremo",""))))</f>
        <v>Moderado</v>
      </c>
      <c r="R91" s="94">
        <v>1</v>
      </c>
      <c r="S91" s="79" t="s">
        <v>442</v>
      </c>
      <c r="T91" s="95" t="str">
        <f>IF(OR(U91="Preventivo",U91="Detectivo"),"Probabilidad",IF(U91="Correctivo","Impacto",""))</f>
        <v>Probabilidad</v>
      </c>
      <c r="U91" s="96" t="s">
        <v>15</v>
      </c>
      <c r="V91" s="96" t="s">
        <v>9</v>
      </c>
      <c r="W91" s="97" t="str">
        <f>IF(AND(U91="Preventivo",V91="Automático"),"50%",IF(AND(U91="Preventivo",V91="Manual"),"40%",IF(AND(U91="Detectivo",V91="Automático"),"40%",IF(AND(U91="Detectivo",V91="Manual"),"30%",IF(AND(U91="Correctivo",V91="Automático"),"35%",IF(AND(U91="Correctivo",V91="Manual"),"25%",""))))))</f>
        <v>30%</v>
      </c>
      <c r="X91" s="96" t="s">
        <v>19</v>
      </c>
      <c r="Y91" s="96" t="s">
        <v>22</v>
      </c>
      <c r="Z91" s="96" t="s">
        <v>110</v>
      </c>
      <c r="AA91" s="98">
        <f>IFERROR(IF(T91="Probabilidad",(AA88-(+AA88*W91)),IF(T91="Impacto",L89,"")),"")</f>
        <v>0.16799999999999998</v>
      </c>
      <c r="AB91" s="99" t="str">
        <f>IFERROR(IF(AA91="","",IF(AA91&lt;=0.2,"Muy Baja",IF(AA91&lt;=0.4,"Baja",IF(AA91&lt;=0.6,"Media",IF(AA91&lt;=0.8,"Alta","Muy Alta"))))),"")</f>
        <v>Muy Baja</v>
      </c>
      <c r="AC91" s="100">
        <f>+AA91</f>
        <v>0.16799999999999998</v>
      </c>
      <c r="AD91" s="99" t="str">
        <f ca="1">IFERROR(IF(AE91="","",IF(AE91&lt;=0.2,"Leve",IF(AE91&lt;=0.4,"Menor",IF(AE91&lt;=0.6,"Moderado",IF(AE91&lt;=0.8,"Mayor","Catastrófico"))))),"")</f>
        <v>Leve</v>
      </c>
      <c r="AE91" s="100">
        <f ca="1">+AE88</f>
        <v>0.2</v>
      </c>
      <c r="AF91" s="101" t="str">
        <f ca="1">IFERROR(IF(OR(AND(AB91="Muy Baja",AD91="Leve"),AND(AB91="Muy Baja",AD91="Menor"),AND(AB91="Baja",AD91="Leve")),"Bajo",IF(OR(AND(AB91="Muy baja",AD91="Moderado"),AND(AB91="Baja",AD91="Menor"),AND(AB91="Baja",AD91="Moderado"),AND(AB91="Media",AD91="Leve"),AND(AB91="Media",AD91="Menor"),AND(AB91="Media",AD91="Moderado"),AND(AB91="Alta",AD91="Leve"),AND(AB91="Alta",AD91="Menor")),"Moderado",IF(OR(AND(AB91="Muy Baja",AD91="Mayor"),AND(AB91="Baja",AD91="Mayor"),AND(AB91="Media",AD91="Mayor"),AND(AB91="Alta",AD91="Moderado"),AND(AB91="Alta",AD91="Mayor"),AND(AB91="Muy Alta",AD91="Leve"),AND(AB91="Muy Alta",AD91="Menor"),AND(AB91="Muy Alta",AD91="Moderado"),AND(AB91="Muy Alta",AD91="Mayor")),"Alto",IF(OR(AND(AB91="Muy Baja",AD91="Catastrófico"),AND(AB91="Baja",AD91="Catastrófico"),AND(AB91="Media",AD91="Catastrófico"),AND(AB91="Alta",AD91="Catastrófico"),AND(AB91="Muy Alta",AD91="Catastrófico")),"Extremo","")))),"")</f>
        <v>Bajo</v>
      </c>
      <c r="AG91" s="102" t="s">
        <v>122</v>
      </c>
      <c r="AH91" s="91" t="s">
        <v>443</v>
      </c>
      <c r="AI91" s="92" t="s">
        <v>203</v>
      </c>
      <c r="AJ91" s="109" t="s">
        <v>205</v>
      </c>
      <c r="AK91" s="110" t="s">
        <v>206</v>
      </c>
      <c r="AL91" s="79" t="s">
        <v>385</v>
      </c>
      <c r="AM91" s="92"/>
      <c r="AO91" s="204" t="s">
        <v>727</v>
      </c>
      <c r="AP91" s="204" t="s">
        <v>728</v>
      </c>
      <c r="AQ91" s="209">
        <v>1</v>
      </c>
      <c r="AR91" s="238" t="s">
        <v>729</v>
      </c>
      <c r="AS91" s="206" t="s">
        <v>730</v>
      </c>
      <c r="AT91" s="209">
        <v>1</v>
      </c>
      <c r="AU91" s="206"/>
      <c r="AV91" s="207" t="s">
        <v>582</v>
      </c>
      <c r="AW91" s="207" t="s">
        <v>583</v>
      </c>
      <c r="AX91" s="207" t="s">
        <v>583</v>
      </c>
      <c r="AY91" s="207" t="s">
        <v>583</v>
      </c>
      <c r="AZ91" s="230" t="s">
        <v>593</v>
      </c>
    </row>
    <row r="92" spans="1:52" s="115" customFormat="1" ht="151.5" customHeight="1" x14ac:dyDescent="0.25">
      <c r="A92" s="425"/>
      <c r="B92" s="417"/>
      <c r="C92" s="455"/>
      <c r="D92" s="455"/>
      <c r="E92" s="451"/>
      <c r="F92" s="451"/>
      <c r="G92" s="451"/>
      <c r="H92" s="433"/>
      <c r="I92" s="451"/>
      <c r="J92" s="444"/>
      <c r="K92" s="446"/>
      <c r="L92" s="438"/>
      <c r="M92" s="449"/>
      <c r="N92" s="182"/>
      <c r="O92" s="446"/>
      <c r="P92" s="438"/>
      <c r="Q92" s="441"/>
      <c r="R92" s="94">
        <v>2</v>
      </c>
      <c r="S92" s="79"/>
      <c r="T92" s="95"/>
      <c r="U92" s="96"/>
      <c r="V92" s="96"/>
      <c r="W92" s="97"/>
      <c r="X92" s="96"/>
      <c r="Y92" s="96"/>
      <c r="Z92" s="96"/>
      <c r="AA92" s="106"/>
      <c r="AB92" s="99"/>
      <c r="AC92" s="100"/>
      <c r="AD92" s="99"/>
      <c r="AE92" s="100"/>
      <c r="AF92" s="101"/>
      <c r="AG92" s="102"/>
      <c r="AH92" s="79"/>
      <c r="AI92" s="92"/>
      <c r="AJ92" s="109"/>
      <c r="AK92" s="110"/>
      <c r="AL92" s="79"/>
      <c r="AM92" s="92"/>
      <c r="AO92" s="206"/>
      <c r="AP92" s="206"/>
      <c r="AQ92" s="206"/>
      <c r="AR92" s="206"/>
      <c r="AS92" s="206"/>
      <c r="AT92" s="206"/>
      <c r="AU92" s="206"/>
      <c r="AV92" s="206"/>
      <c r="AW92" s="206"/>
      <c r="AX92" s="206"/>
      <c r="AY92" s="206"/>
      <c r="AZ92" s="206"/>
    </row>
    <row r="93" spans="1:52" s="115" customFormat="1" ht="151.5" customHeight="1" x14ac:dyDescent="0.25">
      <c r="A93" s="425"/>
      <c r="B93" s="418"/>
      <c r="C93" s="455"/>
      <c r="D93" s="455"/>
      <c r="E93" s="451"/>
      <c r="F93" s="451"/>
      <c r="G93" s="451"/>
      <c r="H93" s="433"/>
      <c r="I93" s="451"/>
      <c r="J93" s="444"/>
      <c r="K93" s="447"/>
      <c r="L93" s="439"/>
      <c r="M93" s="449"/>
      <c r="N93" s="182"/>
      <c r="O93" s="447"/>
      <c r="P93" s="439"/>
      <c r="Q93" s="442"/>
      <c r="R93" s="94">
        <v>3</v>
      </c>
      <c r="S93" s="79"/>
      <c r="T93" s="95"/>
      <c r="U93" s="96"/>
      <c r="V93" s="96"/>
      <c r="W93" s="97"/>
      <c r="X93" s="96"/>
      <c r="Y93" s="96"/>
      <c r="Z93" s="96"/>
      <c r="AA93" s="106"/>
      <c r="AB93" s="99"/>
      <c r="AC93" s="100"/>
      <c r="AD93" s="99"/>
      <c r="AE93" s="100"/>
      <c r="AF93" s="101"/>
      <c r="AG93" s="102"/>
      <c r="AH93" s="79"/>
      <c r="AI93" s="92"/>
      <c r="AJ93" s="109"/>
      <c r="AK93" s="110"/>
      <c r="AL93" s="79"/>
      <c r="AM93" s="92"/>
      <c r="AO93" s="206"/>
      <c r="AP93" s="206"/>
      <c r="AQ93" s="206"/>
      <c r="AR93" s="206"/>
      <c r="AS93" s="206"/>
      <c r="AT93" s="206"/>
      <c r="AU93" s="206"/>
      <c r="AV93" s="206"/>
      <c r="AW93" s="206"/>
      <c r="AX93" s="206"/>
      <c r="AY93" s="206"/>
      <c r="AZ93" s="206"/>
    </row>
    <row r="94" spans="1:52" s="115" customFormat="1" ht="191.25" x14ac:dyDescent="0.25">
      <c r="A94" s="425">
        <f>1+A91</f>
        <v>29</v>
      </c>
      <c r="B94" s="416" t="s">
        <v>564</v>
      </c>
      <c r="C94" s="452" t="s">
        <v>376</v>
      </c>
      <c r="D94" s="452" t="s">
        <v>377</v>
      </c>
      <c r="E94" s="450" t="s">
        <v>120</v>
      </c>
      <c r="F94" s="450" t="s">
        <v>380</v>
      </c>
      <c r="G94" s="450" t="s">
        <v>224</v>
      </c>
      <c r="H94" s="432" t="s">
        <v>383</v>
      </c>
      <c r="I94" s="450" t="s">
        <v>115</v>
      </c>
      <c r="J94" s="443">
        <v>20</v>
      </c>
      <c r="K94" s="445" t="str">
        <f>IF(J94&lt;=0,"",IF(J94&lt;=2,"Muy Baja",IF(J94&lt;=24,"Baja",IF(J94&lt;=500,"Media",IF(J94&lt;=5000,"Alta","Muy Alta")))))</f>
        <v>Baja</v>
      </c>
      <c r="L94" s="437">
        <f>IF(K94="","",IF(K94="Muy Baja",0.2,IF(K94="Baja",0.4,IF(K94="Media",0.6,IF(K94="Alta",0.8,IF(K94="Muy Alta",1,))))))</f>
        <v>0.4</v>
      </c>
      <c r="M94" s="448" t="s">
        <v>250</v>
      </c>
      <c r="N94" s="181" t="str">
        <f ca="1">IF(NOT(ISERROR(MATCH(M94,'Tabla Impacto'!$B$221:$B$223,0))),'Tabla Impacto'!$F$223&amp;"Por favor no seleccionar los criterios de impacto(Afectación Económica o presupuestal y Pérdida Reputacional)",M94)</f>
        <v xml:space="preserve"> El riesgo afecta la imagen de la entidad con algunos usuarios de relevancia frente al logro de los objetivos</v>
      </c>
      <c r="O94" s="445" t="str">
        <f ca="1">IF(OR(N94='Tabla Impacto'!$C$11,N94='Tabla Impacto'!$D$11),"Leve",IF(OR(N94='Tabla Impacto'!$C$12,N94='Tabla Impacto'!$D$12),"Menor",IF(OR(N94='Tabla Impacto'!$C$13,N94='Tabla Impacto'!$D$13),"Moderado",IF(OR(N94='Tabla Impacto'!$C$14,N94='Tabla Impacto'!$D$14),"Mayor",IF(OR(N94='Tabla Impacto'!$C$15,N94='Tabla Impacto'!$D$15),"Catastrófico","")))))</f>
        <v>Moderado</v>
      </c>
      <c r="P94" s="437">
        <f ca="1">IF(O94="","",IF(O94="Leve",0.2,IF(O94="Menor",0.4,IF(O94="Moderado",0.6,IF(O94="Mayor",0.8,IF(O94="Catastrófico",1,))))))</f>
        <v>0.6</v>
      </c>
      <c r="Q94" s="440" t="str">
        <f ca="1">IF(OR(AND(K94="Muy Baja",O94="Leve"),AND(K94="Muy Baja",O94="Menor"),AND(K94="Baja",O94="Leve")),"Bajo",IF(OR(AND(K94="Muy baja",O94="Moderado"),AND(K94="Baja",O94="Menor"),AND(K94="Baja",O94="Moderado"),AND(K94="Media",O94="Leve"),AND(K94="Media",O94="Menor"),AND(K94="Media",O94="Moderado"),AND(K94="Alta",O94="Leve"),AND(K94="Alta",O94="Menor")),"Moderado",IF(OR(AND(K94="Muy Baja",O94="Mayor"),AND(K94="Baja",O94="Mayor"),AND(K94="Media",O94="Mayor"),AND(K94="Alta",O94="Moderado"),AND(K94="Alta",O94="Mayor"),AND(K94="Muy Alta",O94="Leve"),AND(K94="Muy Alta",O94="Menor"),AND(K94="Muy Alta",O94="Moderado"),AND(K94="Muy Alta",O94="Mayor")),"Alto",IF(OR(AND(K94="Muy Baja",O94="Catastrófico"),AND(K94="Baja",O94="Catastrófico"),AND(K94="Media",O94="Catastrófico"),AND(K94="Alta",O94="Catastrófico"),AND(K94="Muy Alta",O94="Catastrófico")),"Extremo",""))))</f>
        <v>Moderado</v>
      </c>
      <c r="R94" s="94">
        <v>1</v>
      </c>
      <c r="S94" s="79" t="s">
        <v>442</v>
      </c>
      <c r="T94" s="95" t="str">
        <f>IF(OR(U94="Preventivo",U94="Detectivo"),"Probabilidad",IF(U94="Correctivo","Impacto",""))</f>
        <v>Probabilidad</v>
      </c>
      <c r="U94" s="96" t="s">
        <v>15</v>
      </c>
      <c r="V94" s="96" t="s">
        <v>9</v>
      </c>
      <c r="W94" s="97" t="str">
        <f>IF(AND(U94="Preventivo",V94="Automático"),"50%",IF(AND(U94="Preventivo",V94="Manual"),"40%",IF(AND(U94="Detectivo",V94="Automático"),"40%",IF(AND(U94="Detectivo",V94="Manual"),"30%",IF(AND(U94="Correctivo",V94="Automático"),"35%",IF(AND(U94="Correctivo",V94="Manual"),"25%",""))))))</f>
        <v>30%</v>
      </c>
      <c r="X94" s="96" t="s">
        <v>19</v>
      </c>
      <c r="Y94" s="96" t="s">
        <v>22</v>
      </c>
      <c r="Z94" s="96" t="s">
        <v>110</v>
      </c>
      <c r="AA94" s="98">
        <f>IFERROR(IF(T94="Probabilidad",(AA91-(+AA91*W94)),IF(T94="Impacto",L90,"")),"")</f>
        <v>0.11759999999999998</v>
      </c>
      <c r="AB94" s="99" t="str">
        <f>IFERROR(IF(AA94="","",IF(AA94&lt;=0.2,"Muy Baja",IF(AA94&lt;=0.4,"Baja",IF(AA94&lt;=0.6,"Media",IF(AA94&lt;=0.8,"Alta","Muy Alta"))))),"")</f>
        <v>Muy Baja</v>
      </c>
      <c r="AC94" s="100">
        <f>+AA94</f>
        <v>0.11759999999999998</v>
      </c>
      <c r="AD94" s="99" t="str">
        <f ca="1">IFERROR(IF(AE94="","",IF(AE94&lt;=0.2,"Leve",IF(AE94&lt;=0.4,"Menor",IF(AE94&lt;=0.6,"Moderado",IF(AE94&lt;=0.8,"Mayor","Catastrófico"))))),"")</f>
        <v>Leve</v>
      </c>
      <c r="AE94" s="100">
        <f ca="1">+P88</f>
        <v>0.2</v>
      </c>
      <c r="AF94" s="101" t="str">
        <f ca="1">IFERROR(IF(OR(AND(AB94="Muy Baja",AD94="Leve"),AND(AB94="Muy Baja",AD94="Menor"),AND(AB94="Baja",AD94="Leve")),"Bajo",IF(OR(AND(AB94="Muy baja",AD94="Moderado"),AND(AB94="Baja",AD94="Menor"),AND(AB94="Baja",AD94="Moderado"),AND(AB94="Media",AD94="Leve"),AND(AB94="Media",AD94="Menor"),AND(AB94="Media",AD94="Moderado"),AND(AB94="Alta",AD94="Leve"),AND(AB94="Alta",AD94="Menor")),"Moderado",IF(OR(AND(AB94="Muy Baja",AD94="Mayor"),AND(AB94="Baja",AD94="Mayor"),AND(AB94="Media",AD94="Mayor"),AND(AB94="Alta",AD94="Moderado"),AND(AB94="Alta",AD94="Mayor"),AND(AB94="Muy Alta",AD94="Leve"),AND(AB94="Muy Alta",AD94="Menor"),AND(AB94="Muy Alta",AD94="Moderado"),AND(AB94="Muy Alta",AD94="Mayor")),"Alto",IF(OR(AND(AB94="Muy Baja",AD94="Catastrófico"),AND(AB94="Baja",AD94="Catastrófico"),AND(AB94="Media",AD94="Catastrófico"),AND(AB94="Alta",AD94="Catastrófico"),AND(AB94="Muy Alta",AD94="Catastrófico")),"Extremo","")))),"")</f>
        <v>Bajo</v>
      </c>
      <c r="AG94" s="102" t="s">
        <v>122</v>
      </c>
      <c r="AH94" s="79" t="s">
        <v>386</v>
      </c>
      <c r="AI94" s="92" t="s">
        <v>197</v>
      </c>
      <c r="AJ94" s="109" t="s">
        <v>205</v>
      </c>
      <c r="AK94" s="110" t="s">
        <v>206</v>
      </c>
      <c r="AL94" s="79" t="s">
        <v>225</v>
      </c>
      <c r="AM94" s="92"/>
      <c r="AO94" s="204" t="s">
        <v>731</v>
      </c>
      <c r="AP94" s="204" t="s">
        <v>732</v>
      </c>
      <c r="AQ94" s="209">
        <v>1</v>
      </c>
      <c r="AR94" s="204" t="s">
        <v>733</v>
      </c>
      <c r="AS94" s="204" t="s">
        <v>734</v>
      </c>
      <c r="AT94" s="209">
        <v>1</v>
      </c>
      <c r="AU94" s="206"/>
      <c r="AV94" s="207" t="s">
        <v>582</v>
      </c>
      <c r="AW94" s="207" t="s">
        <v>583</v>
      </c>
      <c r="AX94" s="207" t="s">
        <v>583</v>
      </c>
      <c r="AY94" s="207" t="s">
        <v>583</v>
      </c>
      <c r="AZ94" s="230" t="s">
        <v>593</v>
      </c>
    </row>
    <row r="95" spans="1:52" s="115" customFormat="1" ht="151.5" customHeight="1" x14ac:dyDescent="0.25">
      <c r="A95" s="425"/>
      <c r="B95" s="417"/>
      <c r="C95" s="455"/>
      <c r="D95" s="455"/>
      <c r="E95" s="451"/>
      <c r="F95" s="451"/>
      <c r="G95" s="451"/>
      <c r="H95" s="433"/>
      <c r="I95" s="451"/>
      <c r="J95" s="444"/>
      <c r="K95" s="446"/>
      <c r="L95" s="438"/>
      <c r="M95" s="449"/>
      <c r="N95" s="182"/>
      <c r="O95" s="446"/>
      <c r="P95" s="438"/>
      <c r="Q95" s="441"/>
      <c r="R95" s="94">
        <v>2</v>
      </c>
      <c r="S95" s="79"/>
      <c r="T95" s="95" t="str">
        <f t="shared" ref="T95:T102" si="94">IF(OR(U95="Preventivo",U95="Detectivo"),"Probabilidad",IF(U95="Correctivo","Impacto",""))</f>
        <v/>
      </c>
      <c r="U95" s="96"/>
      <c r="V95" s="96"/>
      <c r="W95" s="97"/>
      <c r="X95" s="96"/>
      <c r="Y95" s="96"/>
      <c r="Z95" s="96"/>
      <c r="AA95" s="98" t="str">
        <f>IFERROR(IF(T95="Probabilidad",(#REF!-(+#REF!*W95)),IF(T95="Impacto",L95,"")),"")</f>
        <v/>
      </c>
      <c r="AB95" s="99" t="str">
        <f t="shared" ref="AB95:AB102" si="95">IFERROR(IF(AA95="","",IF(AA95&lt;=0.2,"Muy Baja",IF(AA95&lt;=0.4,"Baja",IF(AA95&lt;=0.6,"Media",IF(AA95&lt;=0.8,"Alta","Muy Alta"))))),"")</f>
        <v/>
      </c>
      <c r="AC95" s="100" t="str">
        <f t="shared" ref="AC95:AC102" si="96">+AA95</f>
        <v/>
      </c>
      <c r="AD95" s="99" t="str">
        <f t="shared" ref="AD95:AD102" si="97">IFERROR(IF(AE95="","",IF(AE95&lt;=0.2,"Leve",IF(AE95&lt;=0.4,"Menor",IF(AE95&lt;=0.6,"Moderado",IF(AE95&lt;=0.8,"Mayor","Catastrófico"))))),"")</f>
        <v/>
      </c>
      <c r="AE95" s="100" t="str">
        <f t="shared" ref="AE95:AE102" si="98">IFERROR(IF(T95="Impacto",(P95-(+P95*W95)),IF(T95="Probabilidad",P95,"")),"")</f>
        <v/>
      </c>
      <c r="AF95" s="101" t="str">
        <f t="shared" ref="AF95:AF102" si="99">IFERROR(IF(OR(AND(AB95="Muy Baja",AD95="Leve"),AND(AB95="Muy Baja",AD95="Menor"),AND(AB95="Baja",AD95="Leve")),"Bajo",IF(OR(AND(AB95="Muy baja",AD95="Moderado"),AND(AB95="Baja",AD95="Menor"),AND(AB95="Baja",AD95="Moderado"),AND(AB95="Media",AD95="Leve"),AND(AB95="Media",AD95="Menor"),AND(AB95="Media",AD95="Moderado"),AND(AB95="Alta",AD95="Leve"),AND(AB95="Alta",AD95="Menor")),"Moderado",IF(OR(AND(AB95="Muy Baja",AD95="Mayor"),AND(AB95="Baja",AD95="Mayor"),AND(AB95="Media",AD95="Mayor"),AND(AB95="Alta",AD95="Moderado"),AND(AB95="Alta",AD95="Mayor"),AND(AB95="Muy Alta",AD95="Leve"),AND(AB95="Muy Alta",AD95="Menor"),AND(AB95="Muy Alta",AD95="Moderado"),AND(AB95="Muy Alta",AD95="Mayor")),"Alto",IF(OR(AND(AB95="Muy Baja",AD95="Catastrófico"),AND(AB95="Baja",AD95="Catastrófico"),AND(AB95="Media",AD95="Catastrófico"),AND(AB95="Alta",AD95="Catastrófico"),AND(AB95="Muy Alta",AD95="Catastrófico")),"Extremo","")))),"")</f>
        <v/>
      </c>
      <c r="AG95" s="102"/>
      <c r="AH95" s="79"/>
      <c r="AI95" s="92"/>
      <c r="AJ95" s="103"/>
      <c r="AK95" s="103"/>
      <c r="AL95" s="79"/>
      <c r="AM95" s="92"/>
      <c r="AO95" s="206"/>
      <c r="AP95" s="206"/>
      <c r="AQ95" s="206"/>
      <c r="AR95" s="206"/>
      <c r="AS95" s="206"/>
      <c r="AT95" s="206"/>
      <c r="AU95" s="206"/>
      <c r="AV95" s="206"/>
      <c r="AW95" s="206"/>
      <c r="AX95" s="206"/>
      <c r="AY95" s="206"/>
      <c r="AZ95" s="206"/>
    </row>
    <row r="96" spans="1:52" s="115" customFormat="1" ht="151.5" customHeight="1" x14ac:dyDescent="0.25">
      <c r="A96" s="425"/>
      <c r="B96" s="418"/>
      <c r="C96" s="455"/>
      <c r="D96" s="455"/>
      <c r="E96" s="451"/>
      <c r="F96" s="451"/>
      <c r="G96" s="451"/>
      <c r="H96" s="433"/>
      <c r="I96" s="451"/>
      <c r="J96" s="444"/>
      <c r="K96" s="447"/>
      <c r="L96" s="439"/>
      <c r="M96" s="449"/>
      <c r="N96" s="182"/>
      <c r="O96" s="447"/>
      <c r="P96" s="439"/>
      <c r="Q96" s="442"/>
      <c r="R96" s="94">
        <v>3</v>
      </c>
      <c r="S96" s="79"/>
      <c r="T96" s="95" t="str">
        <f t="shared" si="94"/>
        <v/>
      </c>
      <c r="U96" s="96"/>
      <c r="V96" s="96"/>
      <c r="W96" s="97"/>
      <c r="X96" s="96"/>
      <c r="Y96" s="96"/>
      <c r="Z96" s="96"/>
      <c r="AA96" s="98" t="str">
        <f>IFERROR(IF(T96="Probabilidad",(AA95-(+AA95*W96)),IF(T96="Impacto",L96,"")),"")</f>
        <v/>
      </c>
      <c r="AB96" s="99" t="str">
        <f t="shared" si="95"/>
        <v/>
      </c>
      <c r="AC96" s="100" t="str">
        <f t="shared" si="96"/>
        <v/>
      </c>
      <c r="AD96" s="99" t="str">
        <f t="shared" si="97"/>
        <v/>
      </c>
      <c r="AE96" s="100" t="str">
        <f t="shared" si="98"/>
        <v/>
      </c>
      <c r="AF96" s="101" t="str">
        <f t="shared" si="99"/>
        <v/>
      </c>
      <c r="AG96" s="102"/>
      <c r="AH96" s="79"/>
      <c r="AI96" s="92"/>
      <c r="AJ96" s="103"/>
      <c r="AK96" s="103"/>
      <c r="AL96" s="79"/>
      <c r="AM96" s="92"/>
      <c r="AO96" s="206"/>
      <c r="AP96" s="206"/>
      <c r="AQ96" s="206"/>
      <c r="AR96" s="206"/>
      <c r="AS96" s="206"/>
      <c r="AT96" s="206"/>
      <c r="AU96" s="206"/>
      <c r="AV96" s="206"/>
      <c r="AW96" s="206"/>
      <c r="AX96" s="206"/>
      <c r="AY96" s="206"/>
      <c r="AZ96" s="206"/>
    </row>
    <row r="97" spans="1:52" s="115" customFormat="1" ht="140.25" customHeight="1" x14ac:dyDescent="0.25">
      <c r="A97" s="425">
        <f>1+A94</f>
        <v>30</v>
      </c>
      <c r="B97" s="457" t="s">
        <v>387</v>
      </c>
      <c r="C97" s="452" t="s">
        <v>415</v>
      </c>
      <c r="D97" s="452" t="s">
        <v>388</v>
      </c>
      <c r="E97" s="450" t="s">
        <v>118</v>
      </c>
      <c r="F97" s="450" t="s">
        <v>389</v>
      </c>
      <c r="G97" s="450" t="s">
        <v>390</v>
      </c>
      <c r="H97" s="432" t="s">
        <v>391</v>
      </c>
      <c r="I97" s="450" t="s">
        <v>115</v>
      </c>
      <c r="J97" s="443">
        <v>30</v>
      </c>
      <c r="K97" s="445" t="str">
        <f>IF(J97&lt;=0,"",IF(J97&lt;=2,"Muy Baja",IF(J97&lt;=24,"Baja",IF(J97&lt;=500,"Media",IF(J97&lt;=5000,"Alta","Muy Alta")))))</f>
        <v>Media</v>
      </c>
      <c r="L97" s="437">
        <f>IF(K97="","",IF(K97="Muy Baja",0.2,IF(K97="Baja",0.4,IF(K97="Media",0.6,IF(K97="Alta",0.8,IF(K97="Muy Alta",1,))))))</f>
        <v>0.6</v>
      </c>
      <c r="M97" s="448" t="s">
        <v>257</v>
      </c>
      <c r="N97" s="181" t="str">
        <f ca="1">IF(NOT(ISERROR(MATCH(M97,'Tabla Impacto'!$B$221:$B$223,0))),'Tabla Impacto'!$F$223&amp;"Por favor no seleccionar los criterios de impacto(Afectación Económica o presupuestal y Pérdida Reputacional)",M97)</f>
        <v xml:space="preserve"> El riesgo afecta la imagen de la entidad con efecto publicitario sostenido a nivel de sector administrativo, nivel departamental o municipal</v>
      </c>
      <c r="O97" s="445" t="str">
        <f ca="1">IF(OR(N97='Tabla Impacto'!$C$11,N97='Tabla Impacto'!$D$11),"Leve",IF(OR(N97='Tabla Impacto'!$C$12,N97='Tabla Impacto'!$D$12),"Menor",IF(OR(N97='Tabla Impacto'!$C$13,N97='Tabla Impacto'!$D$13),"Moderado",IF(OR(N97='Tabla Impacto'!$C$14,N97='Tabla Impacto'!$D$14),"Mayor",IF(OR(N97='Tabla Impacto'!$C$15,N97='Tabla Impacto'!$D$15),"Catastrófico","")))))</f>
        <v>Mayor</v>
      </c>
      <c r="P97" s="437">
        <f ca="1">IF(O97="","",IF(O97="Leve",0.2,IF(O97="Menor",0.4,IF(O97="Moderado",0.6,IF(O97="Mayor",0.8,IF(O97="Catastrófico",1,))))))</f>
        <v>0.8</v>
      </c>
      <c r="Q97" s="440" t="str">
        <f ca="1">IF(OR(AND(K97="Muy Baja",O97="Leve"),AND(K97="Muy Baja",O97="Menor"),AND(K97="Baja",O97="Leve")),"Bajo",IF(OR(AND(K97="Muy baja",O97="Moderado"),AND(K97="Baja",O97="Menor"),AND(K97="Baja",O97="Moderado"),AND(K97="Media",O97="Leve"),AND(K97="Media",O97="Menor"),AND(K97="Media",O97="Moderado"),AND(K97="Alta",O97="Leve"),AND(K97="Alta",O97="Menor")),"Moderado",IF(OR(AND(K97="Muy Baja",O97="Mayor"),AND(K97="Baja",O97="Mayor"),AND(K97="Media",O97="Mayor"),AND(K97="Alta",O97="Moderado"),AND(K97="Alta",O97="Mayor"),AND(K97="Muy Alta",O97="Leve"),AND(K97="Muy Alta",O97="Menor"),AND(K97="Muy Alta",O97="Moderado"),AND(K97="Muy Alta",O97="Mayor")),"Alto",IF(OR(AND(K97="Muy Baja",O97="Catastrófico"),AND(K97="Baja",O97="Catastrófico"),AND(K97="Media",O97="Catastrófico"),AND(K97="Alta",O97="Catastrófico"),AND(K97="Muy Alta",O97="Catastrófico")),"Extremo",""))))</f>
        <v>Alto</v>
      </c>
      <c r="R97" s="94">
        <v>1</v>
      </c>
      <c r="S97" s="79" t="s">
        <v>392</v>
      </c>
      <c r="T97" s="95" t="str">
        <f t="shared" si="94"/>
        <v>Probabilidad</v>
      </c>
      <c r="U97" s="96" t="s">
        <v>14</v>
      </c>
      <c r="V97" s="96" t="s">
        <v>9</v>
      </c>
      <c r="W97" s="97" t="str">
        <f>IF(AND(U97="Preventivo",V97="Automático"),"50%",IF(AND(U97="Preventivo",V97="Manual"),"40%",IF(AND(U97="Detectivo",V97="Automático"),"40%",IF(AND(U97="Detectivo",V97="Manual"),"30%",IF(AND(U97="Correctivo",V97="Automático"),"35%",IF(AND(U97="Correctivo",V97="Manual"),"25%",""))))))</f>
        <v>40%</v>
      </c>
      <c r="X97" s="96" t="s">
        <v>19</v>
      </c>
      <c r="Y97" s="96" t="s">
        <v>22</v>
      </c>
      <c r="Z97" s="96" t="s">
        <v>110</v>
      </c>
      <c r="AA97" s="112">
        <f>IFERROR(IF(T97="Probabilidad",(L97-(+L97*W97)),IF(T97="Impacto",L97,"")),"")</f>
        <v>0.36</v>
      </c>
      <c r="AB97" s="99" t="str">
        <f t="shared" si="95"/>
        <v>Baja</v>
      </c>
      <c r="AC97" s="100">
        <f t="shared" si="96"/>
        <v>0.36</v>
      </c>
      <c r="AD97" s="99" t="str">
        <f t="shared" ca="1" si="97"/>
        <v>Mayor</v>
      </c>
      <c r="AE97" s="100">
        <f t="shared" ca="1" si="98"/>
        <v>0.8</v>
      </c>
      <c r="AF97" s="101" t="str">
        <f t="shared" ca="1" si="99"/>
        <v>Alto</v>
      </c>
      <c r="AG97" s="102" t="s">
        <v>122</v>
      </c>
      <c r="AH97" s="91" t="s">
        <v>393</v>
      </c>
      <c r="AI97" s="86" t="s">
        <v>197</v>
      </c>
      <c r="AJ97" s="93" t="s">
        <v>205</v>
      </c>
      <c r="AK97" s="93" t="s">
        <v>206</v>
      </c>
      <c r="AL97" s="91" t="s">
        <v>433</v>
      </c>
      <c r="AM97" s="92"/>
      <c r="AO97" s="271" t="s">
        <v>735</v>
      </c>
      <c r="AP97" s="271" t="s">
        <v>736</v>
      </c>
      <c r="AQ97" s="274">
        <v>1</v>
      </c>
      <c r="AR97" s="271" t="s">
        <v>737</v>
      </c>
      <c r="AS97" s="271" t="s">
        <v>738</v>
      </c>
      <c r="AT97" s="274">
        <v>1</v>
      </c>
      <c r="AU97" s="271" t="s">
        <v>583</v>
      </c>
      <c r="AV97" s="271" t="s">
        <v>582</v>
      </c>
      <c r="AW97" s="271" t="s">
        <v>583</v>
      </c>
      <c r="AX97" s="271" t="s">
        <v>583</v>
      </c>
      <c r="AY97" s="271" t="s">
        <v>583</v>
      </c>
      <c r="AZ97" s="230" t="s">
        <v>593</v>
      </c>
    </row>
    <row r="98" spans="1:52" s="115" customFormat="1" ht="151.5" customHeight="1" x14ac:dyDescent="0.25">
      <c r="A98" s="425"/>
      <c r="B98" s="458"/>
      <c r="C98" s="453"/>
      <c r="D98" s="453"/>
      <c r="E98" s="451"/>
      <c r="F98" s="451"/>
      <c r="G98" s="451"/>
      <c r="H98" s="433"/>
      <c r="I98" s="451"/>
      <c r="J98" s="444"/>
      <c r="K98" s="446"/>
      <c r="L98" s="438"/>
      <c r="M98" s="449"/>
      <c r="N98" s="181"/>
      <c r="O98" s="446"/>
      <c r="P98" s="438"/>
      <c r="Q98" s="441"/>
      <c r="R98" s="94">
        <v>2</v>
      </c>
      <c r="S98" s="79"/>
      <c r="T98" s="95" t="str">
        <f t="shared" si="94"/>
        <v/>
      </c>
      <c r="U98" s="96"/>
      <c r="V98" s="96"/>
      <c r="W98" s="97" t="str">
        <f>IF(AND(U98="Preventivo",V98="Automático"),"50%",IF(AND(U98="Preventivo",V98="Manual"),"40%",IF(AND(U98="Detectivo",V98="Automático"),"40%",IF(AND(U98="Detectivo",V98="Manual"),"30%",IF(AND(U98="Correctivo",V98="Automático"),"35%",IF(AND(U98="Correctivo",V98="Manual"),"25%",""))))))</f>
        <v/>
      </c>
      <c r="X98" s="96"/>
      <c r="Y98" s="96"/>
      <c r="Z98" s="96"/>
      <c r="AA98" s="112" t="str">
        <f>IFERROR(IF(T98="Probabilidad",(L98-(+L98*W98)),IF(T98="Impacto",L98,"")),"")</f>
        <v/>
      </c>
      <c r="AB98" s="99" t="str">
        <f t="shared" si="95"/>
        <v/>
      </c>
      <c r="AC98" s="100" t="str">
        <f t="shared" si="96"/>
        <v/>
      </c>
      <c r="AD98" s="99" t="str">
        <f t="shared" si="97"/>
        <v/>
      </c>
      <c r="AE98" s="100" t="str">
        <f t="shared" si="98"/>
        <v/>
      </c>
      <c r="AF98" s="101" t="str">
        <f t="shared" si="99"/>
        <v/>
      </c>
      <c r="AG98" s="102"/>
      <c r="AH98" s="79"/>
      <c r="AI98" s="86"/>
      <c r="AJ98" s="93"/>
      <c r="AK98" s="93"/>
      <c r="AL98" s="91"/>
      <c r="AM98" s="92"/>
      <c r="AO98" s="206"/>
      <c r="AP98" s="206"/>
      <c r="AQ98" s="206"/>
      <c r="AR98" s="206"/>
      <c r="AS98" s="206"/>
      <c r="AT98" s="206"/>
      <c r="AU98" s="206"/>
      <c r="AV98" s="206"/>
      <c r="AW98" s="206"/>
      <c r="AX98" s="206"/>
      <c r="AY98" s="206"/>
      <c r="AZ98" s="206"/>
    </row>
    <row r="99" spans="1:52" s="115" customFormat="1" ht="151.5" customHeight="1" x14ac:dyDescent="0.25">
      <c r="A99" s="425"/>
      <c r="B99" s="459"/>
      <c r="C99" s="470"/>
      <c r="D99" s="453"/>
      <c r="E99" s="451"/>
      <c r="F99" s="451"/>
      <c r="G99" s="451"/>
      <c r="H99" s="433"/>
      <c r="I99" s="451"/>
      <c r="J99" s="444"/>
      <c r="K99" s="447"/>
      <c r="L99" s="439"/>
      <c r="M99" s="449"/>
      <c r="N99" s="181"/>
      <c r="O99" s="447"/>
      <c r="P99" s="439"/>
      <c r="Q99" s="442"/>
      <c r="R99" s="94">
        <v>3</v>
      </c>
      <c r="S99" s="79"/>
      <c r="T99" s="95" t="str">
        <f t="shared" si="94"/>
        <v/>
      </c>
      <c r="U99" s="96"/>
      <c r="V99" s="96"/>
      <c r="W99" s="97"/>
      <c r="X99" s="96"/>
      <c r="Y99" s="96"/>
      <c r="Z99" s="96"/>
      <c r="AA99" s="98" t="str">
        <f>IFERROR(IF(T99="Probabilidad",(AA98-(+AA98*W99)),IF(T99="Impacto",L99,"")),"")</f>
        <v/>
      </c>
      <c r="AB99" s="99" t="str">
        <f t="shared" si="95"/>
        <v/>
      </c>
      <c r="AC99" s="100" t="str">
        <f t="shared" si="96"/>
        <v/>
      </c>
      <c r="AD99" s="99" t="str">
        <f t="shared" si="97"/>
        <v/>
      </c>
      <c r="AE99" s="100" t="str">
        <f t="shared" si="98"/>
        <v/>
      </c>
      <c r="AF99" s="101" t="str">
        <f t="shared" si="99"/>
        <v/>
      </c>
      <c r="AG99" s="102"/>
      <c r="AH99" s="79"/>
      <c r="AI99" s="92"/>
      <c r="AJ99" s="103"/>
      <c r="AK99" s="103"/>
      <c r="AL99" s="79"/>
      <c r="AM99" s="92"/>
      <c r="AO99" s="206"/>
      <c r="AP99" s="206"/>
      <c r="AQ99" s="206"/>
      <c r="AR99" s="206"/>
      <c r="AS99" s="206"/>
      <c r="AT99" s="206"/>
      <c r="AU99" s="206"/>
      <c r="AV99" s="206"/>
      <c r="AW99" s="206"/>
      <c r="AX99" s="206"/>
      <c r="AY99" s="206"/>
      <c r="AZ99" s="206"/>
    </row>
    <row r="100" spans="1:52" s="115" customFormat="1" ht="165" x14ac:dyDescent="0.25">
      <c r="A100" s="425">
        <f>1+A97</f>
        <v>31</v>
      </c>
      <c r="B100" s="457" t="s">
        <v>387</v>
      </c>
      <c r="C100" s="452" t="s">
        <v>415</v>
      </c>
      <c r="D100" s="452" t="s">
        <v>388</v>
      </c>
      <c r="E100" s="450" t="s">
        <v>118</v>
      </c>
      <c r="F100" s="454" t="s">
        <v>394</v>
      </c>
      <c r="G100" s="454" t="s">
        <v>395</v>
      </c>
      <c r="H100" s="432" t="s">
        <v>396</v>
      </c>
      <c r="I100" s="450" t="s">
        <v>218</v>
      </c>
      <c r="J100" s="443">
        <v>12</v>
      </c>
      <c r="K100" s="445" t="str">
        <f>IF(J100&lt;=0,"",IF(J100&lt;=2,"Muy Baja",IF(J100&lt;=24,"Baja",IF(J100&lt;=500,"Media",IF(J100&lt;=5000,"Alta","Muy Alta")))))</f>
        <v>Baja</v>
      </c>
      <c r="L100" s="437">
        <f>IF(K100="","",IF(K100="Muy Baja",0.2,IF(K100="Baja",0.4,IF(K100="Media",0.6,IF(K100="Alta",0.8,IF(K100="Muy Alta",1,))))))</f>
        <v>0.4</v>
      </c>
      <c r="M100" s="448" t="s">
        <v>250</v>
      </c>
      <c r="N100" s="181" t="str">
        <f ca="1">IF(NOT(ISERROR(MATCH(M100,'Tabla Impacto'!$B$221:$B$223,0))),'Tabla Impacto'!$F$223&amp;"Por favor no seleccionar los criterios de impacto(Afectación Económica o presupuestal y Pérdida Reputacional)",M100)</f>
        <v xml:space="preserve"> El riesgo afecta la imagen de la entidad con algunos usuarios de relevancia frente al logro de los objetivos</v>
      </c>
      <c r="O100" s="445" t="str">
        <f ca="1">IF(OR(N100='Tabla Impacto'!$C$11,N100='Tabla Impacto'!$D$11),"Leve",IF(OR(N100='Tabla Impacto'!$C$12,N100='Tabla Impacto'!$D$12),"Menor",IF(OR(N100='Tabla Impacto'!$C$13,N100='Tabla Impacto'!$D$13),"Moderado",IF(OR(N100='Tabla Impacto'!$C$14,N100='Tabla Impacto'!$D$14),"Mayor",IF(OR(N100='Tabla Impacto'!$C$15,N100='Tabla Impacto'!$D$15),"Catastrófico","")))))</f>
        <v>Moderado</v>
      </c>
      <c r="P100" s="437">
        <f ca="1">IF(O100="","",IF(O100="Leve",0.2,IF(O100="Menor",0.4,IF(O100="Moderado",0.6,IF(O100="Mayor",0.8,IF(O100="Catastrófico",1,))))))</f>
        <v>0.6</v>
      </c>
      <c r="Q100" s="440" t="str">
        <f ca="1">IF(OR(AND(K100="Muy Baja",O100="Leve"),AND(K100="Muy Baja",O100="Menor"),AND(K100="Baja",O100="Leve")),"Bajo",IF(OR(AND(K100="Muy baja",O100="Moderado"),AND(K100="Baja",O100="Menor"),AND(K100="Baja",O100="Moderado"),AND(K100="Media",O100="Leve"),AND(K100="Media",O100="Menor"),AND(K100="Media",O100="Moderado"),AND(K100="Alta",O100="Leve"),AND(K100="Alta",O100="Menor")),"Moderado",IF(OR(AND(K100="Muy Baja",O100="Mayor"),AND(K100="Baja",O100="Mayor"),AND(K100="Media",O100="Mayor"),AND(K100="Alta",O100="Moderado"),AND(K100="Alta",O100="Mayor"),AND(K100="Muy Alta",O100="Leve"),AND(K100="Muy Alta",O100="Menor"),AND(K100="Muy Alta",O100="Moderado"),AND(K100="Muy Alta",O100="Mayor")),"Alto",IF(OR(AND(K100="Muy Baja",O100="Catastrófico"),AND(K100="Baja",O100="Catastrófico"),AND(K100="Media",O100="Catastrófico"),AND(K100="Alta",O100="Catastrófico"),AND(K100="Muy Alta",O100="Catastrófico")),"Extremo",""))))</f>
        <v>Moderado</v>
      </c>
      <c r="R100" s="94">
        <v>1</v>
      </c>
      <c r="S100" s="79" t="s">
        <v>397</v>
      </c>
      <c r="T100" s="95" t="str">
        <f t="shared" si="94"/>
        <v>Probabilidad</v>
      </c>
      <c r="U100" s="96" t="s">
        <v>14</v>
      </c>
      <c r="V100" s="96" t="s">
        <v>9</v>
      </c>
      <c r="W100" s="97" t="str">
        <f>IF(AND(U100="Preventivo",V100="Automático"),"50%",IF(AND(U100="Preventivo",V100="Manual"),"40%",IF(AND(U100="Detectivo",V100="Automático"),"40%",IF(AND(U100="Detectivo",V100="Manual"),"30%",IF(AND(U100="Correctivo",V100="Automático"),"35%",IF(AND(U100="Correctivo",V100="Manual"),"25%",""))))))</f>
        <v>40%</v>
      </c>
      <c r="X100" s="96" t="s">
        <v>19</v>
      </c>
      <c r="Y100" s="96" t="s">
        <v>22</v>
      </c>
      <c r="Z100" s="96" t="s">
        <v>110</v>
      </c>
      <c r="AA100" s="112">
        <f>IFERROR(IF(T100="Probabilidad",(L100-(+L100*W100)),IF(T100="Impacto",L100,"")),"")</f>
        <v>0.24</v>
      </c>
      <c r="AB100" s="99" t="str">
        <f t="shared" si="95"/>
        <v>Baja</v>
      </c>
      <c r="AC100" s="100">
        <f t="shared" si="96"/>
        <v>0.24</v>
      </c>
      <c r="AD100" s="99" t="str">
        <f t="shared" ca="1" si="97"/>
        <v>Moderado</v>
      </c>
      <c r="AE100" s="100">
        <f t="shared" ca="1" si="98"/>
        <v>0.6</v>
      </c>
      <c r="AF100" s="101" t="str">
        <f t="shared" ca="1" si="99"/>
        <v>Moderado</v>
      </c>
      <c r="AG100" s="102" t="s">
        <v>122</v>
      </c>
      <c r="AH100" s="79" t="s">
        <v>398</v>
      </c>
      <c r="AI100" s="92" t="s">
        <v>193</v>
      </c>
      <c r="AJ100" s="103" t="s">
        <v>205</v>
      </c>
      <c r="AK100" s="103" t="s">
        <v>206</v>
      </c>
      <c r="AL100" s="79" t="s">
        <v>399</v>
      </c>
      <c r="AM100" s="92"/>
      <c r="AO100" s="275" t="s">
        <v>739</v>
      </c>
      <c r="AP100" s="275" t="s">
        <v>740</v>
      </c>
      <c r="AQ100" s="276">
        <v>1</v>
      </c>
      <c r="AR100" s="275" t="s">
        <v>741</v>
      </c>
      <c r="AS100" s="275" t="s">
        <v>742</v>
      </c>
      <c r="AT100" s="276">
        <v>1</v>
      </c>
      <c r="AU100" s="277"/>
      <c r="AV100" s="275" t="s">
        <v>582</v>
      </c>
      <c r="AW100" s="275" t="s">
        <v>583</v>
      </c>
      <c r="AX100" s="275" t="s">
        <v>583</v>
      </c>
      <c r="AY100" s="275" t="s">
        <v>583</v>
      </c>
      <c r="AZ100" s="230" t="s">
        <v>593</v>
      </c>
    </row>
    <row r="101" spans="1:52" s="115" customFormat="1" ht="151.5" customHeight="1" x14ac:dyDescent="0.25">
      <c r="A101" s="425"/>
      <c r="B101" s="458"/>
      <c r="C101" s="453"/>
      <c r="D101" s="453"/>
      <c r="E101" s="451"/>
      <c r="F101" s="451"/>
      <c r="G101" s="451"/>
      <c r="H101" s="433"/>
      <c r="I101" s="451"/>
      <c r="J101" s="444"/>
      <c r="K101" s="446"/>
      <c r="L101" s="438"/>
      <c r="M101" s="449"/>
      <c r="N101" s="182"/>
      <c r="O101" s="446"/>
      <c r="P101" s="438"/>
      <c r="Q101" s="441"/>
      <c r="R101" s="94">
        <v>2</v>
      </c>
      <c r="S101" s="79"/>
      <c r="T101" s="95" t="str">
        <f t="shared" si="94"/>
        <v/>
      </c>
      <c r="U101" s="96"/>
      <c r="V101" s="96"/>
      <c r="W101" s="97" t="str">
        <f t="shared" ref="W101:W102" si="100">IF(AND(U101="Preventivo",V101="Automático"),"50%",IF(AND(U101="Preventivo",V101="Manual"),"40%",IF(AND(U101="Detectivo",V101="Automático"),"40%",IF(AND(U101="Detectivo",V101="Manual"),"30%",IF(AND(U101="Correctivo",V101="Automático"),"35%",IF(AND(U101="Correctivo",V101="Manual"),"25%",""))))))</f>
        <v/>
      </c>
      <c r="X101" s="96"/>
      <c r="Y101" s="96"/>
      <c r="Z101" s="96"/>
      <c r="AA101" s="98" t="str">
        <f>IFERROR(IF(T101="Probabilidad",(AA100-(+AA100*W101)),IF(T101="Impacto",L101,"")),"")</f>
        <v/>
      </c>
      <c r="AB101" s="99" t="str">
        <f t="shared" si="95"/>
        <v/>
      </c>
      <c r="AC101" s="100" t="str">
        <f t="shared" si="96"/>
        <v/>
      </c>
      <c r="AD101" s="99" t="str">
        <f t="shared" si="97"/>
        <v/>
      </c>
      <c r="AE101" s="100" t="str">
        <f t="shared" si="98"/>
        <v/>
      </c>
      <c r="AF101" s="101" t="str">
        <f t="shared" si="99"/>
        <v/>
      </c>
      <c r="AG101" s="102"/>
      <c r="AH101" s="91"/>
      <c r="AI101" s="86"/>
      <c r="AJ101" s="93"/>
      <c r="AK101" s="93"/>
      <c r="AL101" s="91"/>
      <c r="AM101" s="92"/>
      <c r="AO101" s="206"/>
      <c r="AP101" s="206"/>
      <c r="AQ101" s="206"/>
      <c r="AR101" s="206"/>
      <c r="AS101" s="206"/>
      <c r="AT101" s="206"/>
      <c r="AU101" s="206"/>
      <c r="AV101" s="206"/>
      <c r="AW101" s="206"/>
      <c r="AX101" s="206"/>
      <c r="AY101" s="206"/>
      <c r="AZ101" s="206"/>
    </row>
    <row r="102" spans="1:52" s="115" customFormat="1" ht="151.5" customHeight="1" x14ac:dyDescent="0.25">
      <c r="A102" s="425"/>
      <c r="B102" s="459"/>
      <c r="C102" s="470"/>
      <c r="D102" s="453"/>
      <c r="E102" s="451"/>
      <c r="F102" s="451"/>
      <c r="G102" s="451"/>
      <c r="H102" s="433"/>
      <c r="I102" s="451"/>
      <c r="J102" s="444"/>
      <c r="K102" s="447"/>
      <c r="L102" s="439"/>
      <c r="M102" s="449"/>
      <c r="N102" s="182"/>
      <c r="O102" s="447"/>
      <c r="P102" s="439"/>
      <c r="Q102" s="442"/>
      <c r="R102" s="94">
        <v>3</v>
      </c>
      <c r="S102" s="79"/>
      <c r="T102" s="95" t="str">
        <f t="shared" si="94"/>
        <v/>
      </c>
      <c r="U102" s="96"/>
      <c r="V102" s="96"/>
      <c r="W102" s="97" t="str">
        <f t="shared" si="100"/>
        <v/>
      </c>
      <c r="X102" s="96"/>
      <c r="Y102" s="96"/>
      <c r="Z102" s="96"/>
      <c r="AA102" s="98" t="str">
        <f>IFERROR(IF(T102="Probabilidad",(AA101-(+AA101*W102)),IF(T102="Impacto",L102,"")),"")</f>
        <v/>
      </c>
      <c r="AB102" s="99" t="str">
        <f t="shared" si="95"/>
        <v/>
      </c>
      <c r="AC102" s="100" t="str">
        <f t="shared" si="96"/>
        <v/>
      </c>
      <c r="AD102" s="99" t="str">
        <f t="shared" si="97"/>
        <v/>
      </c>
      <c r="AE102" s="100" t="str">
        <f t="shared" si="98"/>
        <v/>
      </c>
      <c r="AF102" s="101" t="str">
        <f t="shared" si="99"/>
        <v/>
      </c>
      <c r="AG102" s="102"/>
      <c r="AH102" s="79"/>
      <c r="AI102" s="92"/>
      <c r="AJ102" s="103"/>
      <c r="AK102" s="103"/>
      <c r="AL102" s="79"/>
      <c r="AM102" s="92"/>
      <c r="AO102" s="206"/>
      <c r="AP102" s="206"/>
      <c r="AQ102" s="206"/>
      <c r="AR102" s="206"/>
      <c r="AS102" s="206"/>
      <c r="AT102" s="206"/>
      <c r="AU102" s="206"/>
      <c r="AV102" s="206"/>
      <c r="AW102" s="206"/>
      <c r="AX102" s="206"/>
      <c r="AY102" s="206"/>
      <c r="AZ102" s="206"/>
    </row>
    <row r="103" spans="1:52" s="115" customFormat="1" ht="102" x14ac:dyDescent="0.25">
      <c r="A103" s="425">
        <f>1+A100</f>
        <v>32</v>
      </c>
      <c r="B103" s="457" t="s">
        <v>387</v>
      </c>
      <c r="C103" s="452" t="s">
        <v>415</v>
      </c>
      <c r="D103" s="452" t="s">
        <v>388</v>
      </c>
      <c r="E103" s="432" t="s">
        <v>120</v>
      </c>
      <c r="F103" s="456" t="s">
        <v>434</v>
      </c>
      <c r="G103" s="456" t="s">
        <v>435</v>
      </c>
      <c r="H103" s="432" t="s">
        <v>436</v>
      </c>
      <c r="I103" s="450" t="s">
        <v>218</v>
      </c>
      <c r="J103" s="443">
        <v>12</v>
      </c>
      <c r="K103" s="445" t="str">
        <f>IF(J103&lt;=0,"",IF(J103&lt;=2,"Muy Baja",IF(J103&lt;=24,"Baja",IF(J103&lt;=500,"Media",IF(J103&lt;=5000,"Alta","Muy Alta")))))</f>
        <v>Baja</v>
      </c>
      <c r="L103" s="437">
        <f>IF(K103="","",IF(K103="Muy Baja",0.2,IF(K103="Baja",0.4,IF(K103="Media",0.6,IF(K103="Alta",0.8,IF(K103="Muy Alta",1,))))))</f>
        <v>0.4</v>
      </c>
      <c r="M103" s="448" t="s">
        <v>250</v>
      </c>
      <c r="N103" s="181" t="str">
        <f ca="1">IF(NOT(ISERROR(MATCH(M103,'Tabla Impacto'!$B$221:$B$223,0))),'Tabla Impacto'!$F$223&amp;"Por favor no seleccionar los criterios de impacto(Afectación Económica o presupuestal y Pérdida Reputacional)",M103)</f>
        <v xml:space="preserve"> El riesgo afecta la imagen de la entidad con algunos usuarios de relevancia frente al logro de los objetivos</v>
      </c>
      <c r="O103" s="445" t="str">
        <f ca="1">IF(OR(N103='Tabla Impacto'!$C$11,N103='Tabla Impacto'!$D$11),"Leve",IF(OR(N103='Tabla Impacto'!$C$12,N103='Tabla Impacto'!$D$12),"Menor",IF(OR(N103='Tabla Impacto'!$C$13,N103='Tabla Impacto'!$D$13),"Moderado",IF(OR(N103='Tabla Impacto'!$C$14,N103='Tabla Impacto'!$D$14),"Mayor",IF(OR(N103='Tabla Impacto'!$C$15,N103='Tabla Impacto'!$D$15),"Catastrófico","")))))</f>
        <v>Moderado</v>
      </c>
      <c r="P103" s="437">
        <f ca="1">IF(O103="","",IF(O103="Leve",0.2,IF(O103="Menor",0.4,IF(O103="Moderado",0.6,IF(O103="Mayor",0.8,IF(O103="Catastrófico",1,))))))</f>
        <v>0.6</v>
      </c>
      <c r="Q103" s="440" t="str">
        <f ca="1">IF(OR(AND(K103="Muy Baja",O103="Leve"),AND(K103="Muy Baja",O103="Menor"),AND(K103="Baja",O103="Leve")),"Bajo",IF(OR(AND(K103="Muy baja",O103="Moderado"),AND(K103="Baja",O103="Menor"),AND(K103="Baja",O103="Moderado"),AND(K103="Media",O103="Leve"),AND(K103="Media",O103="Menor"),AND(K103="Media",O103="Moderado"),AND(K103="Alta",O103="Leve"),AND(K103="Alta",O103="Menor")),"Moderado",IF(OR(AND(K103="Muy Baja",O103="Mayor"),AND(K103="Baja",O103="Mayor"),AND(K103="Media",O103="Mayor"),AND(K103="Alta",O103="Moderado"),AND(K103="Alta",O103="Mayor"),AND(K103="Muy Alta",O103="Leve"),AND(K103="Muy Alta",O103="Menor"),AND(K103="Muy Alta",O103="Moderado"),AND(K103="Muy Alta",O103="Mayor")),"Alto",IF(OR(AND(K103="Muy Baja",O103="Catastrófico"),AND(K103="Baja",O103="Catastrófico"),AND(K103="Media",O103="Catastrófico"),AND(K103="Alta",O103="Catastrófico"),AND(K103="Muy Alta",O103="Catastrófico")),"Extremo",""))))</f>
        <v>Moderado</v>
      </c>
      <c r="R103" s="94">
        <v>1</v>
      </c>
      <c r="S103" s="79" t="s">
        <v>400</v>
      </c>
      <c r="T103" s="95" t="str">
        <f t="shared" ref="T103:T105" si="101">IF(OR(U103="Preventivo",U103="Detectivo"),"Probabilidad",IF(U103="Correctivo","Impacto",""))</f>
        <v>Probabilidad</v>
      </c>
      <c r="U103" s="96" t="s">
        <v>14</v>
      </c>
      <c r="V103" s="96" t="s">
        <v>9</v>
      </c>
      <c r="W103" s="97" t="str">
        <f>IF(AND(U103="Preventivo",V103="Automático"),"50%",IF(AND(U103="Preventivo",V103="Manual"),"40%",IF(AND(U103="Detectivo",V103="Automático"),"40%",IF(AND(U103="Detectivo",V103="Manual"),"30%",IF(AND(U103="Correctivo",V103="Automático"),"35%",IF(AND(U103="Correctivo",V103="Manual"),"25%",""))))))</f>
        <v>40%</v>
      </c>
      <c r="X103" s="96" t="s">
        <v>19</v>
      </c>
      <c r="Y103" s="96" t="s">
        <v>22</v>
      </c>
      <c r="Z103" s="96" t="s">
        <v>110</v>
      </c>
      <c r="AA103" s="112">
        <f>IFERROR(IF(T103="Probabilidad",(L103-(+L103*W103)),IF(T103="Impacto",L103,"")),"")</f>
        <v>0.24</v>
      </c>
      <c r="AB103" s="99" t="str">
        <f t="shared" ref="AB103:AB105" si="102">IFERROR(IF(AA103="","",IF(AA103&lt;=0.2,"Muy Baja",IF(AA103&lt;=0.4,"Baja",IF(AA103&lt;=0.6,"Media",IF(AA103&lt;=0.8,"Alta","Muy Alta"))))),"")</f>
        <v>Baja</v>
      </c>
      <c r="AC103" s="100">
        <f t="shared" ref="AC103:AC105" si="103">+AA103</f>
        <v>0.24</v>
      </c>
      <c r="AD103" s="99" t="str">
        <f t="shared" ref="AD103:AD105" ca="1" si="104">IFERROR(IF(AE103="","",IF(AE103&lt;=0.2,"Leve",IF(AE103&lt;=0.4,"Menor",IF(AE103&lt;=0.6,"Moderado",IF(AE103&lt;=0.8,"Mayor","Catastrófico"))))),"")</f>
        <v>Moderado</v>
      </c>
      <c r="AE103" s="100">
        <f t="shared" ref="AE103:AE105" ca="1" si="105">IFERROR(IF(T103="Impacto",(P103-(+P103*W103)),IF(T103="Probabilidad",P103,"")),"")</f>
        <v>0.6</v>
      </c>
      <c r="AF103" s="101" t="str">
        <f t="shared" ref="AF103:AF105" ca="1" si="106">IFERROR(IF(OR(AND(AB103="Muy Baja",AD103="Leve"),AND(AB103="Muy Baja",AD103="Menor"),AND(AB103="Baja",AD103="Leve")),"Bajo",IF(OR(AND(AB103="Muy baja",AD103="Moderado"),AND(AB103="Baja",AD103="Menor"),AND(AB103="Baja",AD103="Moderado"),AND(AB103="Media",AD103="Leve"),AND(AB103="Media",AD103="Menor"),AND(AB103="Media",AD103="Moderado"),AND(AB103="Alta",AD103="Leve"),AND(AB103="Alta",AD103="Menor")),"Moderado",IF(OR(AND(AB103="Muy Baja",AD103="Mayor"),AND(AB103="Baja",AD103="Mayor"),AND(AB103="Media",AD103="Mayor"),AND(AB103="Alta",AD103="Moderado"),AND(AB103="Alta",AD103="Mayor"),AND(AB103="Muy Alta",AD103="Leve"),AND(AB103="Muy Alta",AD103="Menor"),AND(AB103="Muy Alta",AD103="Moderado"),AND(AB103="Muy Alta",AD103="Mayor")),"Alto",IF(OR(AND(AB103="Muy Baja",AD103="Catastrófico"),AND(AB103="Baja",AD103="Catastrófico"),AND(AB103="Media",AD103="Catastrófico"),AND(AB103="Alta",AD103="Catastrófico"),AND(AB103="Muy Alta",AD103="Catastrófico")),"Extremo","")))),"")</f>
        <v>Moderado</v>
      </c>
      <c r="AG103" s="102" t="s">
        <v>122</v>
      </c>
      <c r="AH103" s="79" t="s">
        <v>401</v>
      </c>
      <c r="AI103" s="104" t="s">
        <v>203</v>
      </c>
      <c r="AJ103" s="103" t="s">
        <v>205</v>
      </c>
      <c r="AK103" s="103" t="s">
        <v>206</v>
      </c>
      <c r="AL103" s="79" t="s">
        <v>402</v>
      </c>
      <c r="AM103" s="92"/>
      <c r="AO103" s="271" t="s">
        <v>743</v>
      </c>
      <c r="AP103" s="271" t="s">
        <v>744</v>
      </c>
      <c r="AQ103" s="276">
        <v>1</v>
      </c>
      <c r="AR103" s="271" t="s">
        <v>745</v>
      </c>
      <c r="AS103" s="271" t="s">
        <v>746</v>
      </c>
      <c r="AT103" s="276">
        <v>1</v>
      </c>
      <c r="AU103" s="271" t="s">
        <v>583</v>
      </c>
      <c r="AV103" s="271" t="s">
        <v>582</v>
      </c>
      <c r="AW103" s="271" t="s">
        <v>583</v>
      </c>
      <c r="AX103" s="271" t="s">
        <v>583</v>
      </c>
      <c r="AY103" s="271" t="s">
        <v>583</v>
      </c>
      <c r="AZ103" s="230" t="s">
        <v>593</v>
      </c>
    </row>
    <row r="104" spans="1:52" s="115" customFormat="1" ht="151.5" customHeight="1" x14ac:dyDescent="0.25">
      <c r="A104" s="425"/>
      <c r="B104" s="458"/>
      <c r="C104" s="453"/>
      <c r="D104" s="453"/>
      <c r="E104" s="433"/>
      <c r="F104" s="433"/>
      <c r="G104" s="433"/>
      <c r="H104" s="433"/>
      <c r="I104" s="451"/>
      <c r="J104" s="444"/>
      <c r="K104" s="446"/>
      <c r="L104" s="438"/>
      <c r="M104" s="449"/>
      <c r="N104" s="182"/>
      <c r="O104" s="446"/>
      <c r="P104" s="438"/>
      <c r="Q104" s="441"/>
      <c r="R104" s="94">
        <v>2</v>
      </c>
      <c r="S104" s="91" t="s">
        <v>437</v>
      </c>
      <c r="T104" s="95" t="str">
        <f t="shared" si="101"/>
        <v>Probabilidad</v>
      </c>
      <c r="U104" s="96" t="s">
        <v>15</v>
      </c>
      <c r="V104" s="96" t="s">
        <v>9</v>
      </c>
      <c r="W104" s="97" t="str">
        <f t="shared" ref="W104:W105" si="107">IF(AND(U104="Preventivo",V104="Automático"),"50%",IF(AND(U104="Preventivo",V104="Manual"),"40%",IF(AND(U104="Detectivo",V104="Automático"),"40%",IF(AND(U104="Detectivo",V104="Manual"),"30%",IF(AND(U104="Correctivo",V104="Automático"),"35%",IF(AND(U104="Correctivo",V104="Manual"),"25%",""))))))</f>
        <v>30%</v>
      </c>
      <c r="X104" s="96" t="s">
        <v>20</v>
      </c>
      <c r="Y104" s="96" t="s">
        <v>23</v>
      </c>
      <c r="Z104" s="96" t="s">
        <v>110</v>
      </c>
      <c r="AA104" s="98">
        <f>IFERROR(IF(T104="Probabilidad",(AA103-(+AA103*W104)),IF(T104="Impacto",L104,"")),"")</f>
        <v>0.16799999999999998</v>
      </c>
      <c r="AB104" s="99" t="str">
        <f t="shared" si="102"/>
        <v>Muy Baja</v>
      </c>
      <c r="AC104" s="100">
        <f t="shared" si="103"/>
        <v>0.16799999999999998</v>
      </c>
      <c r="AD104" s="99" t="str">
        <f t="shared" si="104"/>
        <v>Leve</v>
      </c>
      <c r="AE104" s="100">
        <f t="shared" si="105"/>
        <v>0</v>
      </c>
      <c r="AF104" s="101" t="str">
        <f t="shared" si="106"/>
        <v>Bajo</v>
      </c>
      <c r="AG104" s="102" t="s">
        <v>122</v>
      </c>
      <c r="AH104" s="140"/>
      <c r="AI104" s="180"/>
      <c r="AJ104" s="142"/>
      <c r="AK104" s="142"/>
      <c r="AL104" s="79"/>
      <c r="AM104" s="92"/>
      <c r="AO104" s="271" t="s">
        <v>747</v>
      </c>
      <c r="AP104" s="271" t="s">
        <v>748</v>
      </c>
      <c r="AQ104" s="276">
        <v>1</v>
      </c>
      <c r="AR104" s="271" t="s">
        <v>749</v>
      </c>
      <c r="AS104" s="271" t="s">
        <v>750</v>
      </c>
      <c r="AT104" s="276">
        <v>1</v>
      </c>
      <c r="AU104" s="271" t="s">
        <v>583</v>
      </c>
      <c r="AV104" s="271" t="s">
        <v>582</v>
      </c>
      <c r="AW104" s="271" t="s">
        <v>583</v>
      </c>
      <c r="AX104" s="271" t="s">
        <v>583</v>
      </c>
      <c r="AY104" s="271" t="s">
        <v>583</v>
      </c>
      <c r="AZ104" s="230" t="s">
        <v>593</v>
      </c>
    </row>
    <row r="105" spans="1:52" s="115" customFormat="1" ht="151.5" customHeight="1" x14ac:dyDescent="0.25">
      <c r="A105" s="425"/>
      <c r="B105" s="459"/>
      <c r="C105" s="470"/>
      <c r="D105" s="453"/>
      <c r="E105" s="433"/>
      <c r="F105" s="433"/>
      <c r="G105" s="433"/>
      <c r="H105" s="433"/>
      <c r="I105" s="451"/>
      <c r="J105" s="444"/>
      <c r="K105" s="447"/>
      <c r="L105" s="439"/>
      <c r="M105" s="449"/>
      <c r="N105" s="182"/>
      <c r="O105" s="447"/>
      <c r="P105" s="439"/>
      <c r="Q105" s="442"/>
      <c r="R105" s="94">
        <v>3</v>
      </c>
      <c r="S105" s="91" t="s">
        <v>438</v>
      </c>
      <c r="T105" s="95" t="str">
        <f t="shared" si="101"/>
        <v>Probabilidad</v>
      </c>
      <c r="U105" s="96" t="s">
        <v>14</v>
      </c>
      <c r="V105" s="96" t="s">
        <v>9</v>
      </c>
      <c r="W105" s="97" t="str">
        <f t="shared" si="107"/>
        <v>40%</v>
      </c>
      <c r="X105" s="96" t="s">
        <v>19</v>
      </c>
      <c r="Y105" s="96" t="s">
        <v>22</v>
      </c>
      <c r="Z105" s="96" t="s">
        <v>110</v>
      </c>
      <c r="AA105" s="98">
        <f>IFERROR(IF(T105="Probabilidad",(AA104-(+AA104*W105)),IF(T105="Impacto",L105,"")),"")</f>
        <v>0.10079999999999999</v>
      </c>
      <c r="AB105" s="99" t="str">
        <f t="shared" si="102"/>
        <v>Muy Baja</v>
      </c>
      <c r="AC105" s="100">
        <f t="shared" si="103"/>
        <v>0.10079999999999999</v>
      </c>
      <c r="AD105" s="99" t="str">
        <f t="shared" si="104"/>
        <v>Leve</v>
      </c>
      <c r="AE105" s="100">
        <f t="shared" si="105"/>
        <v>0</v>
      </c>
      <c r="AF105" s="101" t="str">
        <f t="shared" si="106"/>
        <v>Bajo</v>
      </c>
      <c r="AG105" s="102" t="s">
        <v>122</v>
      </c>
      <c r="AH105" s="140"/>
      <c r="AI105" s="180"/>
      <c r="AJ105" s="142"/>
      <c r="AK105" s="142"/>
      <c r="AL105" s="79"/>
      <c r="AM105" s="92"/>
      <c r="AO105" s="271" t="s">
        <v>751</v>
      </c>
      <c r="AP105" s="271" t="s">
        <v>752</v>
      </c>
      <c r="AQ105" s="276">
        <v>1</v>
      </c>
      <c r="AR105" s="271" t="s">
        <v>753</v>
      </c>
      <c r="AS105" s="271" t="s">
        <v>754</v>
      </c>
      <c r="AT105" s="276">
        <v>1</v>
      </c>
      <c r="AU105" s="271" t="s">
        <v>583</v>
      </c>
      <c r="AV105" s="271" t="s">
        <v>582</v>
      </c>
      <c r="AW105" s="271" t="s">
        <v>583</v>
      </c>
      <c r="AX105" s="271" t="s">
        <v>583</v>
      </c>
      <c r="AY105" s="271" t="s">
        <v>583</v>
      </c>
      <c r="AZ105" s="230" t="s">
        <v>593</v>
      </c>
    </row>
    <row r="106" spans="1:52" s="115" customFormat="1" ht="166.5" customHeight="1" x14ac:dyDescent="0.25">
      <c r="A106" s="425">
        <f>1+A103</f>
        <v>33</v>
      </c>
      <c r="B106" s="416" t="s">
        <v>212</v>
      </c>
      <c r="C106" s="429" t="s">
        <v>403</v>
      </c>
      <c r="D106" s="429" t="s">
        <v>404</v>
      </c>
      <c r="E106" s="422" t="s">
        <v>118</v>
      </c>
      <c r="F106" s="432" t="s">
        <v>518</v>
      </c>
      <c r="G106" s="432" t="s">
        <v>519</v>
      </c>
      <c r="H106" s="432" t="s">
        <v>520</v>
      </c>
      <c r="I106" s="422" t="s">
        <v>117</v>
      </c>
      <c r="J106" s="401">
        <v>365</v>
      </c>
      <c r="K106" s="404" t="str">
        <f>IF(J106&lt;=0,"",IF(J106&lt;=2,"Muy Baja",IF(J106&lt;=24,"Baja",IF(J106&lt;=500,"Media",IF(J106&lt;=5000,"Alta","Muy Alta")))))</f>
        <v>Media</v>
      </c>
      <c r="L106" s="407">
        <f>IF(K106="","",IF(K106="Muy Baja",0.2,IF(K106="Baja",0.4,IF(K106="Media",0.6,IF(K106="Alta",0.8,IF(K106="Muy Alta",1,))))))</f>
        <v>0.6</v>
      </c>
      <c r="M106" s="410" t="s">
        <v>250</v>
      </c>
      <c r="N106" s="185" t="str">
        <f ca="1">IF(NOT(ISERROR(MATCH(M106,'Tabla Impacto'!$B$221:$B$223,0))),'Tabla Impacto'!$F$223&amp;"Por favor no seleccionar los criterios de impacto(Afectación Económica o presupuestal y Pérdida Reputacional)",M106)</f>
        <v xml:space="preserve"> El riesgo afecta la imagen de la entidad con algunos usuarios de relevancia frente al logro de los objetivos</v>
      </c>
      <c r="O106" s="404" t="str">
        <f ca="1">IF(OR(N106='Tabla Impacto'!$C$11,N106='Tabla Impacto'!$D$11),"Leve",IF(OR(N106='Tabla Impacto'!$C$12,N106='Tabla Impacto'!$D$12),"Menor",IF(OR(N106='Tabla Impacto'!$C$13,N106='Tabla Impacto'!$D$13),"Moderado",IF(OR(N106='Tabla Impacto'!$C$14,N106='Tabla Impacto'!$D$14),"Mayor",IF(OR(N106='Tabla Impacto'!$C$15,N106='Tabla Impacto'!$D$15),"Catastrófico","")))))</f>
        <v>Moderado</v>
      </c>
      <c r="P106" s="407">
        <f ca="1">IF(O106="","",IF(O106="Leve",0.2,IF(O106="Menor",0.4,IF(O106="Moderado",0.6,IF(O106="Mayor",0.8,IF(O106="Catastrófico",1,))))))</f>
        <v>0.6</v>
      </c>
      <c r="Q106" s="413" t="str">
        <f ca="1">IF(OR(AND(K106="Muy Baja",O106="Leve"),AND(K106="Muy Baja",O106="Menor"),AND(K106="Baja",O106="Leve")),"Bajo",IF(OR(AND(K106="Muy baja",O106="Moderado"),AND(K106="Baja",O106="Menor"),AND(K106="Baja",O106="Moderado"),AND(K106="Media",O106="Leve"),AND(K106="Media",O106="Menor"),AND(K106="Media",O106="Moderado"),AND(K106="Alta",O106="Leve"),AND(K106="Alta",O106="Menor")),"Moderado",IF(OR(AND(K106="Muy Baja",O106="Mayor"),AND(K106="Baja",O106="Mayor"),AND(K106="Media",O106="Mayor"),AND(K106="Alta",O106="Moderado"),AND(K106="Alta",O106="Mayor"),AND(K106="Muy Alta",O106="Leve"),AND(K106="Muy Alta",O106="Menor"),AND(K106="Muy Alta",O106="Moderado"),AND(K106="Muy Alta",O106="Mayor")),"Alto",IF(OR(AND(K106="Muy Baja",O106="Catastrófico"),AND(K106="Baja",O106="Catastrófico"),AND(K106="Media",O106="Catastrófico"),AND(K106="Alta",O106="Catastrófico"),AND(K106="Muy Alta",O106="Catastrófico")),"Extremo",""))))</f>
        <v>Moderado</v>
      </c>
      <c r="R106" s="124">
        <v>1</v>
      </c>
      <c r="S106" s="91" t="s">
        <v>523</v>
      </c>
      <c r="T106" s="123" t="str">
        <f t="shared" ref="T106:T114" si="108">IF(OR(U106="Preventivo",U106="Detectivo"),"Probabilidad",IF(U106="Correctivo","Impacto",""))</f>
        <v>Probabilidad</v>
      </c>
      <c r="U106" s="125" t="s">
        <v>15</v>
      </c>
      <c r="V106" s="125" t="s">
        <v>9</v>
      </c>
      <c r="W106" s="126" t="str">
        <f>IF(AND(U106="Preventivo",V106="Automático"),"50%",IF(AND(U106="Preventivo",V106="Manual"),"40%",IF(AND(U106="Detectivo",V106="Automático"),"40%",IF(AND(U106="Detectivo",V106="Manual"),"30%",IF(AND(U106="Correctivo",V106="Automático"),"35%",IF(AND(U106="Correctivo",V106="Manual"),"25%",""))))))</f>
        <v>30%</v>
      </c>
      <c r="X106" s="125" t="s">
        <v>19</v>
      </c>
      <c r="Y106" s="125" t="s">
        <v>22</v>
      </c>
      <c r="Z106" s="125" t="s">
        <v>110</v>
      </c>
      <c r="AA106" s="108">
        <f>IFERROR(IF(T106="Probabilidad",(L106-(+L106*W106)),IF(T106="Impacto",L106,"")),"")</f>
        <v>0.42</v>
      </c>
      <c r="AB106" s="118" t="str">
        <f t="shared" ref="AB106:AB114" si="109">IFERROR(IF(AA106="","",IF(AA106&lt;=0.2,"Muy Baja",IF(AA106&lt;=0.4,"Baja",IF(AA106&lt;=0.6,"Media",IF(AA106&lt;=0.8,"Alta","Muy Alta"))))),"")</f>
        <v>Media</v>
      </c>
      <c r="AC106" s="119">
        <f t="shared" ref="AC106:AC114" si="110">+AA106</f>
        <v>0.42</v>
      </c>
      <c r="AD106" s="118" t="str">
        <f t="shared" ref="AD106:AD114" ca="1" si="111">IFERROR(IF(AE106="","",IF(AE106&lt;=0.2,"Leve",IF(AE106&lt;=0.4,"Menor",IF(AE106&lt;=0.6,"Moderado",IF(AE106&lt;=0.8,"Mayor","Catastrófico"))))),"")</f>
        <v>Moderado</v>
      </c>
      <c r="AE106" s="119">
        <f ca="1">IFERROR(IF(T106="Impacto",(P106-(+P106*W106)),IF(T106="Probabilidad",P106,"")),"")</f>
        <v>0.6</v>
      </c>
      <c r="AF106" s="120" t="str">
        <f t="shared" ref="AF106:AF114" ca="1" si="112">IFERROR(IF(OR(AND(AB106="Muy Baja",AD106="Leve"),AND(AB106="Muy Baja",AD106="Menor"),AND(AB106="Baja",AD106="Leve")),"Bajo",IF(OR(AND(AB106="Muy baja",AD106="Moderado"),AND(AB106="Baja",AD106="Menor"),AND(AB106="Baja",AD106="Moderado"),AND(AB106="Media",AD106="Leve"),AND(AB106="Media",AD106="Menor"),AND(AB106="Media",AD106="Moderado"),AND(AB106="Alta",AD106="Leve"),AND(AB106="Alta",AD106="Menor")),"Moderado",IF(OR(AND(AB106="Muy Baja",AD106="Mayor"),AND(AB106="Baja",AD106="Mayor"),AND(AB106="Media",AD106="Mayor"),AND(AB106="Alta",AD106="Moderado"),AND(AB106="Alta",AD106="Mayor"),AND(AB106="Muy Alta",AD106="Leve"),AND(AB106="Muy Alta",AD106="Menor"),AND(AB106="Muy Alta",AD106="Moderado"),AND(AB106="Muy Alta",AD106="Mayor")),"Alto",IF(OR(AND(AB106="Muy Baja",AD106="Catastrófico"),AND(AB106="Baja",AD106="Catastrófico"),AND(AB106="Media",AD106="Catastrófico"),AND(AB106="Alta",AD106="Catastrófico"),AND(AB106="Muy Alta",AD106="Catastrófico")),"Extremo","")))),"")</f>
        <v>Moderado</v>
      </c>
      <c r="AG106" s="121" t="s">
        <v>122</v>
      </c>
      <c r="AH106" s="130" t="s">
        <v>521</v>
      </c>
      <c r="AI106" s="116" t="s">
        <v>197</v>
      </c>
      <c r="AJ106" s="117" t="s">
        <v>205</v>
      </c>
      <c r="AK106" s="117" t="s">
        <v>206</v>
      </c>
      <c r="AL106" s="130" t="s">
        <v>524</v>
      </c>
      <c r="AM106" s="116"/>
      <c r="AO106" s="91" t="s">
        <v>764</v>
      </c>
      <c r="AP106" s="204" t="s">
        <v>766</v>
      </c>
      <c r="AQ106" s="209">
        <v>1</v>
      </c>
      <c r="AR106" s="130" t="s">
        <v>768</v>
      </c>
      <c r="AS106" s="130" t="s">
        <v>767</v>
      </c>
      <c r="AT106" s="209">
        <v>1</v>
      </c>
      <c r="AU106" s="206"/>
      <c r="AV106" s="207" t="s">
        <v>582</v>
      </c>
      <c r="AW106" s="207" t="s">
        <v>583</v>
      </c>
      <c r="AX106" s="207" t="s">
        <v>583</v>
      </c>
      <c r="AY106" s="207" t="s">
        <v>583</v>
      </c>
      <c r="AZ106" s="230" t="s">
        <v>593</v>
      </c>
    </row>
    <row r="107" spans="1:52" s="115" customFormat="1" ht="151.5" customHeight="1" x14ac:dyDescent="0.25">
      <c r="A107" s="425"/>
      <c r="B107" s="417"/>
      <c r="C107" s="427"/>
      <c r="D107" s="427"/>
      <c r="E107" s="423"/>
      <c r="F107" s="433"/>
      <c r="G107" s="433"/>
      <c r="H107" s="433"/>
      <c r="I107" s="423"/>
      <c r="J107" s="402"/>
      <c r="K107" s="405"/>
      <c r="L107" s="408"/>
      <c r="M107" s="411"/>
      <c r="N107" s="186"/>
      <c r="O107" s="405"/>
      <c r="P107" s="408"/>
      <c r="Q107" s="414"/>
      <c r="R107" s="124">
        <v>2</v>
      </c>
      <c r="S107" s="91" t="s">
        <v>492</v>
      </c>
      <c r="T107" s="123" t="str">
        <f t="shared" si="108"/>
        <v>Probabilidad</v>
      </c>
      <c r="U107" s="125" t="s">
        <v>14</v>
      </c>
      <c r="V107" s="125" t="s">
        <v>9</v>
      </c>
      <c r="W107" s="126" t="str">
        <f>IF(AND(U107="Preventivo",V107="Automático"),"50%",IF(AND(U107="Preventivo",V107="Manual"),"40%",IF(AND(U107="Detectivo",V107="Automático"),"40%",IF(AND(U107="Detectivo",V107="Manual"),"30%",IF(AND(U107="Correctivo",V107="Automático"),"35%",IF(AND(U107="Correctivo",V107="Manual"),"25%",""))))))</f>
        <v>40%</v>
      </c>
      <c r="X107" s="125" t="s">
        <v>20</v>
      </c>
      <c r="Y107" s="125" t="s">
        <v>22</v>
      </c>
      <c r="Z107" s="125" t="s">
        <v>110</v>
      </c>
      <c r="AA107" s="108">
        <f>IFERROR(IF(T107="Probabilidad",(AA106-(+AA106*W107)),IF(T107="Impacto",L107,"")),"")</f>
        <v>0.252</v>
      </c>
      <c r="AB107" s="118" t="str">
        <f t="shared" si="109"/>
        <v>Baja</v>
      </c>
      <c r="AC107" s="119">
        <f t="shared" si="110"/>
        <v>0.252</v>
      </c>
      <c r="AD107" s="118" t="str">
        <f t="shared" si="111"/>
        <v>Moderado</v>
      </c>
      <c r="AE107" s="119">
        <v>0.6</v>
      </c>
      <c r="AF107" s="120" t="str">
        <f t="shared" si="112"/>
        <v>Moderado</v>
      </c>
      <c r="AG107" s="121" t="s">
        <v>122</v>
      </c>
      <c r="AH107" s="127" t="s">
        <v>213</v>
      </c>
      <c r="AI107" s="128" t="s">
        <v>197</v>
      </c>
      <c r="AJ107" s="117" t="s">
        <v>205</v>
      </c>
      <c r="AK107" s="117" t="s">
        <v>206</v>
      </c>
      <c r="AL107" s="129" t="s">
        <v>522</v>
      </c>
      <c r="AM107" s="116"/>
      <c r="AO107" s="91" t="s">
        <v>765</v>
      </c>
      <c r="AP107" s="206" t="s">
        <v>769</v>
      </c>
      <c r="AQ107" s="209">
        <v>1</v>
      </c>
      <c r="AR107" s="129" t="s">
        <v>230</v>
      </c>
      <c r="AS107" s="206" t="s">
        <v>770</v>
      </c>
      <c r="AT107" s="209">
        <v>1</v>
      </c>
      <c r="AU107" s="206"/>
      <c r="AV107" s="207" t="s">
        <v>582</v>
      </c>
      <c r="AW107" s="207" t="s">
        <v>583</v>
      </c>
      <c r="AX107" s="207" t="s">
        <v>583</v>
      </c>
      <c r="AY107" s="207" t="s">
        <v>583</v>
      </c>
      <c r="AZ107" s="230" t="s">
        <v>593</v>
      </c>
    </row>
    <row r="108" spans="1:52" s="115" customFormat="1" ht="99.75" customHeight="1" x14ac:dyDescent="0.25">
      <c r="A108" s="425"/>
      <c r="B108" s="418"/>
      <c r="C108" s="427"/>
      <c r="D108" s="427"/>
      <c r="E108" s="423"/>
      <c r="F108" s="433"/>
      <c r="G108" s="433"/>
      <c r="H108" s="433"/>
      <c r="I108" s="423"/>
      <c r="J108" s="402"/>
      <c r="K108" s="406"/>
      <c r="L108" s="409"/>
      <c r="M108" s="411"/>
      <c r="N108" s="186"/>
      <c r="O108" s="406"/>
      <c r="P108" s="409"/>
      <c r="Q108" s="415"/>
      <c r="R108" s="124">
        <v>3</v>
      </c>
      <c r="S108" s="122"/>
      <c r="T108" s="123" t="str">
        <f t="shared" si="108"/>
        <v/>
      </c>
      <c r="U108" s="125"/>
      <c r="V108" s="125"/>
      <c r="W108" s="126"/>
      <c r="X108" s="125"/>
      <c r="Y108" s="125"/>
      <c r="Z108" s="125"/>
      <c r="AA108" s="108" t="str">
        <f>IFERROR(IF(T108="Probabilidad",(AA107-(+AA107*W108)),IF(T108="Impacto",L108,"")),"")</f>
        <v/>
      </c>
      <c r="AB108" s="118" t="str">
        <f t="shared" si="109"/>
        <v/>
      </c>
      <c r="AC108" s="119" t="str">
        <f t="shared" si="110"/>
        <v/>
      </c>
      <c r="AD108" s="118" t="str">
        <f t="shared" si="111"/>
        <v/>
      </c>
      <c r="AE108" s="119" t="str">
        <f>IFERROR(IF(T108="Impacto",(P108-(+P108*W108)),IF(T108="Probabilidad",P108,"")),"")</f>
        <v/>
      </c>
      <c r="AF108" s="120" t="str">
        <f t="shared" si="112"/>
        <v/>
      </c>
      <c r="AG108" s="121"/>
      <c r="AH108" s="122"/>
      <c r="AI108" s="116"/>
      <c r="AJ108" s="117"/>
      <c r="AK108" s="117"/>
      <c r="AL108" s="122"/>
      <c r="AM108" s="116"/>
      <c r="AO108" s="206"/>
      <c r="AP108" s="206"/>
      <c r="AQ108" s="206"/>
      <c r="AR108" s="206"/>
      <c r="AS108" s="206"/>
      <c r="AT108" s="206"/>
      <c r="AU108" s="206"/>
      <c r="AV108" s="206"/>
      <c r="AW108" s="206"/>
      <c r="AX108" s="206"/>
      <c r="AY108" s="206"/>
      <c r="AZ108" s="206"/>
    </row>
    <row r="109" spans="1:52" s="115" customFormat="1" ht="125.25" customHeight="1" x14ac:dyDescent="0.25">
      <c r="A109" s="425">
        <f>1+A106</f>
        <v>34</v>
      </c>
      <c r="B109" s="416" t="s">
        <v>212</v>
      </c>
      <c r="C109" s="429" t="s">
        <v>403</v>
      </c>
      <c r="D109" s="429" t="s">
        <v>404</v>
      </c>
      <c r="E109" s="422" t="s">
        <v>118</v>
      </c>
      <c r="F109" s="432" t="s">
        <v>491</v>
      </c>
      <c r="G109" s="432" t="s">
        <v>511</v>
      </c>
      <c r="H109" s="432" t="s">
        <v>512</v>
      </c>
      <c r="I109" s="422" t="s">
        <v>218</v>
      </c>
      <c r="J109" s="401">
        <v>365</v>
      </c>
      <c r="K109" s="404" t="str">
        <f>IF(J109&lt;=0,"",IF(J109&lt;=2,"Muy Baja",IF(J109&lt;=24,"Baja",IF(J109&lt;=500,"Media",IF(J109&lt;=5000,"Alta","Muy Alta")))))</f>
        <v>Media</v>
      </c>
      <c r="L109" s="407">
        <f>IF(K109="","",IF(K109="Muy Baja",0.2,IF(K109="Baja",0.4,IF(K109="Media",0.6,IF(K109="Alta",0.8,IF(K109="Muy Alta",1,))))))</f>
        <v>0.6</v>
      </c>
      <c r="M109" s="410" t="s">
        <v>250</v>
      </c>
      <c r="N109" s="185" t="str">
        <f ca="1">IF(NOT(ISERROR(MATCH(M109,'Tabla Impacto'!$B$221:$B$223,0))),'Tabla Impacto'!$F$223&amp;"Por favor no seleccionar los criterios de impacto(Afectación Económica o presupuestal y Pérdida Reputacional)",M109)</f>
        <v xml:space="preserve"> El riesgo afecta la imagen de la entidad con algunos usuarios de relevancia frente al logro de los objetivos</v>
      </c>
      <c r="O109" s="404" t="str">
        <f ca="1">IF(OR(N109='Tabla Impacto'!$C$11,N109='Tabla Impacto'!$D$11),"Leve",IF(OR(N109='Tabla Impacto'!$C$12,N109='Tabla Impacto'!$D$12),"Menor",IF(OR(N109='Tabla Impacto'!$C$13,N109='Tabla Impacto'!$D$13),"Moderado",IF(OR(N109='Tabla Impacto'!$C$14,N109='Tabla Impacto'!$D$14),"Mayor",IF(OR(N109='Tabla Impacto'!$C$15,N109='Tabla Impacto'!$D$15),"Catastrófico","")))))</f>
        <v>Moderado</v>
      </c>
      <c r="P109" s="407">
        <f ca="1">IF(O109="","",IF(O109="Leve",0.2,IF(O109="Menor",0.4,IF(O109="Moderado",0.6,IF(O109="Mayor",0.8,IF(O109="Catastrófico",1,))))))</f>
        <v>0.6</v>
      </c>
      <c r="Q109" s="413" t="str">
        <f ca="1">IF(OR(AND(K109="Muy Baja",O109="Leve"),AND(K109="Muy Baja",O109="Menor"),AND(K109="Baja",O109="Leve")),"Bajo",IF(OR(AND(K109="Muy baja",O109="Moderado"),AND(K109="Baja",O109="Menor"),AND(K109="Baja",O109="Moderado"),AND(K109="Media",O109="Leve"),AND(K109="Media",O109="Menor"),AND(K109="Media",O109="Moderado"),AND(K109="Alta",O109="Leve"),AND(K109="Alta",O109="Menor")),"Moderado",IF(OR(AND(K109="Muy Baja",O109="Mayor"),AND(K109="Baja",O109="Mayor"),AND(K109="Media",O109="Mayor"),AND(K109="Alta",O109="Moderado"),AND(K109="Alta",O109="Mayor"),AND(K109="Muy Alta",O109="Leve"),AND(K109="Muy Alta",O109="Menor"),AND(K109="Muy Alta",O109="Moderado"),AND(K109="Muy Alta",O109="Mayor")),"Alto",IF(OR(AND(K109="Muy Baja",O109="Catastrófico"),AND(K109="Baja",O109="Catastrófico"),AND(K109="Media",O109="Catastrófico"),AND(K109="Alta",O109="Catastrófico"),AND(K109="Muy Alta",O109="Catastrófico")),"Extremo",""))))</f>
        <v>Moderado</v>
      </c>
      <c r="R109" s="124">
        <v>1</v>
      </c>
      <c r="S109" s="79" t="s">
        <v>513</v>
      </c>
      <c r="T109" s="123" t="str">
        <f t="shared" si="108"/>
        <v>Probabilidad</v>
      </c>
      <c r="U109" s="125" t="s">
        <v>14</v>
      </c>
      <c r="V109" s="125" t="s">
        <v>9</v>
      </c>
      <c r="W109" s="126" t="str">
        <f>IF(AND(U109="Preventivo",V109="Automático"),"50%",IF(AND(U109="Preventivo",V109="Manual"),"40%",IF(AND(U109="Detectivo",V109="Automático"),"40%",IF(AND(U109="Detectivo",V109="Manual"),"30%",IF(AND(U109="Correctivo",V109="Automático"),"35%",IF(AND(U109="Correctivo",V109="Manual"),"25%",""))))))</f>
        <v>40%</v>
      </c>
      <c r="X109" s="125" t="s">
        <v>19</v>
      </c>
      <c r="Y109" s="125" t="s">
        <v>23</v>
      </c>
      <c r="Z109" s="125" t="s">
        <v>110</v>
      </c>
      <c r="AA109" s="108">
        <f>IFERROR(IF(T109="Probabilidad",(L109-(+L109*W109)),IF(T109="Impacto",L109,"")),"")</f>
        <v>0.36</v>
      </c>
      <c r="AB109" s="118" t="str">
        <f t="shared" si="109"/>
        <v>Baja</v>
      </c>
      <c r="AC109" s="119">
        <f t="shared" si="110"/>
        <v>0.36</v>
      </c>
      <c r="AD109" s="118" t="str">
        <f t="shared" ca="1" si="111"/>
        <v>Moderado</v>
      </c>
      <c r="AE109" s="119">
        <f ca="1">IFERROR(IF(T109="Impacto",(P109-(+P109*W109)),IF(T109="Probabilidad",P109,"")),"")</f>
        <v>0.6</v>
      </c>
      <c r="AF109" s="120" t="str">
        <f t="shared" ca="1" si="112"/>
        <v>Moderado</v>
      </c>
      <c r="AG109" s="121" t="s">
        <v>122</v>
      </c>
      <c r="AH109" s="127" t="s">
        <v>213</v>
      </c>
      <c r="AI109" s="128" t="s">
        <v>197</v>
      </c>
      <c r="AJ109" s="187" t="s">
        <v>205</v>
      </c>
      <c r="AK109" s="187" t="s">
        <v>206</v>
      </c>
      <c r="AL109" s="127" t="s">
        <v>230</v>
      </c>
      <c r="AM109" s="116"/>
      <c r="AO109" s="79" t="s">
        <v>771</v>
      </c>
      <c r="AP109" s="512" t="s">
        <v>774</v>
      </c>
      <c r="AQ109" s="209">
        <v>1</v>
      </c>
      <c r="AR109" s="127" t="s">
        <v>230</v>
      </c>
      <c r="AS109" s="204" t="s">
        <v>775</v>
      </c>
      <c r="AT109" s="209">
        <v>1</v>
      </c>
      <c r="AU109" s="206"/>
      <c r="AV109" s="207" t="s">
        <v>582</v>
      </c>
      <c r="AW109" s="207" t="s">
        <v>583</v>
      </c>
      <c r="AX109" s="207" t="s">
        <v>583</v>
      </c>
      <c r="AY109" s="207" t="s">
        <v>583</v>
      </c>
      <c r="AZ109" s="230" t="s">
        <v>593</v>
      </c>
    </row>
    <row r="110" spans="1:52" s="115" customFormat="1" ht="151.5" customHeight="1" x14ac:dyDescent="0.25">
      <c r="A110" s="425"/>
      <c r="B110" s="417"/>
      <c r="C110" s="427"/>
      <c r="D110" s="427"/>
      <c r="E110" s="423"/>
      <c r="F110" s="433"/>
      <c r="G110" s="433"/>
      <c r="H110" s="433"/>
      <c r="I110" s="423"/>
      <c r="J110" s="402"/>
      <c r="K110" s="405"/>
      <c r="L110" s="408"/>
      <c r="M110" s="411"/>
      <c r="N110" s="186"/>
      <c r="O110" s="405"/>
      <c r="P110" s="408"/>
      <c r="Q110" s="414"/>
      <c r="R110" s="124">
        <v>2</v>
      </c>
      <c r="S110" s="79" t="s">
        <v>514</v>
      </c>
      <c r="T110" s="123" t="str">
        <f t="shared" si="108"/>
        <v>Probabilidad</v>
      </c>
      <c r="U110" s="125" t="s">
        <v>14</v>
      </c>
      <c r="V110" s="125" t="s">
        <v>9</v>
      </c>
      <c r="W110" s="126" t="str">
        <f>IF(AND(U110="Preventivo",V110="Automático"),"50%",IF(AND(U110="Preventivo",V110="Manual"),"40%",IF(AND(U110="Detectivo",V110="Automático"),"40%",IF(AND(U110="Detectivo",V110="Manual"),"30%",IF(AND(U110="Correctivo",V110="Automático"),"35%",IF(AND(U110="Correctivo",V110="Manual"),"25%",""))))))</f>
        <v>40%</v>
      </c>
      <c r="X110" s="125" t="s">
        <v>20</v>
      </c>
      <c r="Y110" s="125" t="s">
        <v>22</v>
      </c>
      <c r="Z110" s="125" t="s">
        <v>110</v>
      </c>
      <c r="AA110" s="108">
        <f>IFERROR(IF(T110="Probabilidad",(AA109-(+AA109*W110)),IF(T110="Impacto",L110,"")),"")</f>
        <v>0.216</v>
      </c>
      <c r="AB110" s="118" t="str">
        <f t="shared" si="109"/>
        <v>Baja</v>
      </c>
      <c r="AC110" s="119">
        <f t="shared" si="110"/>
        <v>0.216</v>
      </c>
      <c r="AD110" s="118" t="str">
        <f t="shared" si="111"/>
        <v>Moderado</v>
      </c>
      <c r="AE110" s="119">
        <v>0.6</v>
      </c>
      <c r="AF110" s="120" t="str">
        <f t="shared" si="112"/>
        <v>Moderado</v>
      </c>
      <c r="AG110" s="121" t="s">
        <v>122</v>
      </c>
      <c r="AH110" s="127" t="s">
        <v>231</v>
      </c>
      <c r="AI110" s="128" t="s">
        <v>195</v>
      </c>
      <c r="AJ110" s="187" t="s">
        <v>205</v>
      </c>
      <c r="AK110" s="187" t="s">
        <v>206</v>
      </c>
      <c r="AL110" s="130" t="s">
        <v>232</v>
      </c>
      <c r="AM110" s="116"/>
      <c r="AO110" s="79" t="s">
        <v>772</v>
      </c>
      <c r="AP110" s="513"/>
      <c r="AQ110" s="209">
        <v>1</v>
      </c>
      <c r="AR110" s="130" t="s">
        <v>773</v>
      </c>
      <c r="AS110" s="204" t="s">
        <v>776</v>
      </c>
      <c r="AT110" s="209">
        <v>1</v>
      </c>
      <c r="AU110" s="206"/>
      <c r="AV110" s="207" t="s">
        <v>582</v>
      </c>
      <c r="AW110" s="207" t="s">
        <v>583</v>
      </c>
      <c r="AX110" s="207" t="s">
        <v>583</v>
      </c>
      <c r="AY110" s="207" t="s">
        <v>583</v>
      </c>
      <c r="AZ110" s="230" t="s">
        <v>593</v>
      </c>
    </row>
    <row r="111" spans="1:52" s="115" customFormat="1" ht="151.5" customHeight="1" x14ac:dyDescent="0.25">
      <c r="A111" s="425"/>
      <c r="B111" s="418"/>
      <c r="C111" s="427"/>
      <c r="D111" s="427"/>
      <c r="E111" s="423"/>
      <c r="F111" s="433"/>
      <c r="G111" s="433"/>
      <c r="H111" s="433"/>
      <c r="I111" s="423"/>
      <c r="J111" s="402"/>
      <c r="K111" s="406"/>
      <c r="L111" s="409"/>
      <c r="M111" s="411"/>
      <c r="N111" s="186"/>
      <c r="O111" s="406"/>
      <c r="P111" s="409"/>
      <c r="Q111" s="415"/>
      <c r="R111" s="124">
        <v>3</v>
      </c>
      <c r="S111" s="122"/>
      <c r="T111" s="123" t="str">
        <f t="shared" si="108"/>
        <v/>
      </c>
      <c r="U111" s="125"/>
      <c r="V111" s="125"/>
      <c r="W111" s="126"/>
      <c r="X111" s="125"/>
      <c r="Y111" s="125"/>
      <c r="Z111" s="125"/>
      <c r="AA111" s="108" t="str">
        <f>IFERROR(IF(T111="Probabilidad",(AA110-(+AA110*W111)),IF(T111="Impacto",L111,"")),"")</f>
        <v/>
      </c>
      <c r="AB111" s="118" t="str">
        <f t="shared" si="109"/>
        <v/>
      </c>
      <c r="AC111" s="119" t="str">
        <f t="shared" si="110"/>
        <v/>
      </c>
      <c r="AD111" s="118" t="str">
        <f t="shared" si="111"/>
        <v/>
      </c>
      <c r="AE111" s="119" t="str">
        <f>IFERROR(IF(T111="Impacto",(P111-(+P111*W111)),IF(T111="Probabilidad",P111,"")),"")</f>
        <v/>
      </c>
      <c r="AF111" s="120" t="str">
        <f t="shared" si="112"/>
        <v/>
      </c>
      <c r="AG111" s="121"/>
      <c r="AH111" s="122"/>
      <c r="AI111" s="116"/>
      <c r="AJ111" s="117"/>
      <c r="AK111" s="117"/>
      <c r="AL111" s="122"/>
      <c r="AM111" s="116"/>
      <c r="AO111" s="206"/>
      <c r="AP111" s="206"/>
      <c r="AQ111" s="206"/>
      <c r="AR111" s="206"/>
      <c r="AS111" s="206"/>
      <c r="AT111" s="206"/>
      <c r="AU111" s="206"/>
      <c r="AV111" s="206"/>
      <c r="AW111" s="206"/>
      <c r="AX111" s="206"/>
      <c r="AY111" s="206"/>
      <c r="AZ111" s="206"/>
    </row>
    <row r="112" spans="1:52" s="115" customFormat="1" ht="110.25" customHeight="1" x14ac:dyDescent="0.25">
      <c r="A112" s="425">
        <f>1+A109</f>
        <v>35</v>
      </c>
      <c r="B112" s="416" t="s">
        <v>212</v>
      </c>
      <c r="C112" s="429" t="s">
        <v>403</v>
      </c>
      <c r="D112" s="429" t="s">
        <v>404</v>
      </c>
      <c r="E112" s="422" t="s">
        <v>120</v>
      </c>
      <c r="F112" s="432" t="s">
        <v>515</v>
      </c>
      <c r="G112" s="432" t="s">
        <v>214</v>
      </c>
      <c r="H112" s="432" t="s">
        <v>516</v>
      </c>
      <c r="I112" s="422" t="s">
        <v>220</v>
      </c>
      <c r="J112" s="401">
        <v>365</v>
      </c>
      <c r="K112" s="404" t="str">
        <f>IF(J112&lt;=0,"",IF(J112&lt;=2,"Muy Baja",IF(J112&lt;=24,"Baja",IF(J112&lt;=500,"Media",IF(J112&lt;=5000,"Alta","Muy Alta")))))</f>
        <v>Media</v>
      </c>
      <c r="L112" s="407">
        <f>IF(K112="","",IF(K112="Muy Baja",0.2,IF(K112="Baja",0.4,IF(K112="Media",0.6,IF(K112="Alta",0.8,IF(K112="Muy Alta",1,))))))</f>
        <v>0.6</v>
      </c>
      <c r="M112" s="410" t="s">
        <v>257</v>
      </c>
      <c r="N112" s="185" t="str">
        <f ca="1">IF(NOT(ISERROR(MATCH(M112,'Tabla Impacto'!$B$221:$B$223,0))),'Tabla Impacto'!$F$223&amp;"Por favor no seleccionar los criterios de impacto(Afectación Económica o presupuestal y Pérdida Reputacional)",M112)</f>
        <v xml:space="preserve"> El riesgo afecta la imagen de la entidad con efecto publicitario sostenido a nivel de sector administrativo, nivel departamental o municipal</v>
      </c>
      <c r="O112" s="404" t="str">
        <f ca="1">IF(OR(N112='Tabla Impacto'!$C$11,N112='Tabla Impacto'!$D$11),"Leve",IF(OR(N112='Tabla Impacto'!$C$12,N112='Tabla Impacto'!$D$12),"Menor",IF(OR(N112='Tabla Impacto'!$C$13,N112='Tabla Impacto'!$D$13),"Moderado",IF(OR(N112='Tabla Impacto'!$C$14,N112='Tabla Impacto'!$D$14),"Mayor",IF(OR(N112='Tabla Impacto'!$C$15,N112='Tabla Impacto'!$D$15),"Catastrófico","")))))</f>
        <v>Mayor</v>
      </c>
      <c r="P112" s="407">
        <f ca="1">IF(O112="","",IF(O112="Leve",0.2,IF(O112="Menor",0.4,IF(O112="Moderado",0.6,IF(O112="Mayor",0.8,IF(O112="Catastrófico",1,))))))</f>
        <v>0.8</v>
      </c>
      <c r="Q112" s="413" t="str">
        <f ca="1">IF(OR(AND(K112="Muy Baja",O112="Leve"),AND(K112="Muy Baja",O112="Menor"),AND(K112="Baja",O112="Leve")),"Bajo",IF(OR(AND(K112="Muy baja",O112="Moderado"),AND(K112="Baja",O112="Menor"),AND(K112="Baja",O112="Moderado"),AND(K112="Media",O112="Leve"),AND(K112="Media",O112="Menor"),AND(K112="Media",O112="Moderado"),AND(K112="Alta",O112="Leve"),AND(K112="Alta",O112="Menor")),"Moderado",IF(OR(AND(K112="Muy Baja",O112="Mayor"),AND(K112="Baja",O112="Mayor"),AND(K112="Media",O112="Mayor"),AND(K112="Alta",O112="Moderado"),AND(K112="Alta",O112="Mayor"),AND(K112="Muy Alta",O112="Leve"),AND(K112="Muy Alta",O112="Menor"),AND(K112="Muy Alta",O112="Moderado"),AND(K112="Muy Alta",O112="Mayor")),"Alto",IF(OR(AND(K112="Muy Baja",O112="Catastrófico"),AND(K112="Baja",O112="Catastrófico"),AND(K112="Media",O112="Catastrófico"),AND(K112="Alta",O112="Catastrófico"),AND(K112="Muy Alta",O112="Catastrófico")),"Extremo",""))))</f>
        <v>Alto</v>
      </c>
      <c r="R112" s="124">
        <v>1</v>
      </c>
      <c r="S112" s="91" t="s">
        <v>517</v>
      </c>
      <c r="T112" s="123" t="str">
        <f t="shared" si="108"/>
        <v>Probabilidad</v>
      </c>
      <c r="U112" s="125" t="s">
        <v>14</v>
      </c>
      <c r="V112" s="125" t="s">
        <v>9</v>
      </c>
      <c r="W112" s="126" t="str">
        <f>IF(AND(U112="Preventivo",V112="Automático"),"50%",IF(AND(U112="Preventivo",V112="Manual"),"40%",IF(AND(U112="Detectivo",V112="Automático"),"40%",IF(AND(U112="Detectivo",V112="Manual"),"30%",IF(AND(U112="Correctivo",V112="Automático"),"35%",IF(AND(U112="Correctivo",V112="Manual"),"25%",""))))))</f>
        <v>40%</v>
      </c>
      <c r="X112" s="125" t="s">
        <v>19</v>
      </c>
      <c r="Y112" s="125" t="s">
        <v>22</v>
      </c>
      <c r="Z112" s="125" t="s">
        <v>110</v>
      </c>
      <c r="AA112" s="108">
        <f>IFERROR(IF(T112="Probabilidad",(L112-(+L112*W112)),IF(T112="Impacto",L112,"")),"")</f>
        <v>0.36</v>
      </c>
      <c r="AB112" s="118" t="str">
        <f t="shared" si="109"/>
        <v>Baja</v>
      </c>
      <c r="AC112" s="119">
        <f t="shared" si="110"/>
        <v>0.36</v>
      </c>
      <c r="AD112" s="118" t="str">
        <f t="shared" ca="1" si="111"/>
        <v>Mayor</v>
      </c>
      <c r="AE112" s="119">
        <f ca="1">IFERROR(IF(T112="Impacto",(P112-(+P112*W112)),IF(T112="Probabilidad",P112,"")),"")</f>
        <v>0.8</v>
      </c>
      <c r="AF112" s="120" t="str">
        <f t="shared" ca="1" si="112"/>
        <v>Alto</v>
      </c>
      <c r="AG112" s="121" t="s">
        <v>122</v>
      </c>
      <c r="AH112" s="127" t="s">
        <v>213</v>
      </c>
      <c r="AI112" s="128" t="s">
        <v>197</v>
      </c>
      <c r="AJ112" s="187" t="s">
        <v>205</v>
      </c>
      <c r="AK112" s="187" t="s">
        <v>206</v>
      </c>
      <c r="AL112" s="127" t="s">
        <v>230</v>
      </c>
      <c r="AM112" s="116"/>
      <c r="AO112" s="91" t="s">
        <v>777</v>
      </c>
      <c r="AP112" s="204" t="s">
        <v>779</v>
      </c>
      <c r="AQ112" s="209">
        <v>1</v>
      </c>
      <c r="AR112" s="127" t="s">
        <v>230</v>
      </c>
      <c r="AS112" s="204" t="s">
        <v>775</v>
      </c>
      <c r="AT112" s="209">
        <v>1</v>
      </c>
      <c r="AU112" s="206"/>
      <c r="AV112" s="207" t="s">
        <v>582</v>
      </c>
      <c r="AW112" s="207" t="s">
        <v>583</v>
      </c>
      <c r="AX112" s="207" t="s">
        <v>583</v>
      </c>
      <c r="AY112" s="207" t="s">
        <v>583</v>
      </c>
      <c r="AZ112" s="230" t="s">
        <v>593</v>
      </c>
    </row>
    <row r="113" spans="1:52" s="115" customFormat="1" ht="151.5" customHeight="1" x14ac:dyDescent="0.25">
      <c r="A113" s="425"/>
      <c r="B113" s="417"/>
      <c r="C113" s="427"/>
      <c r="D113" s="427"/>
      <c r="E113" s="423"/>
      <c r="F113" s="433"/>
      <c r="G113" s="433"/>
      <c r="H113" s="433"/>
      <c r="I113" s="423"/>
      <c r="J113" s="402"/>
      <c r="K113" s="405"/>
      <c r="L113" s="408"/>
      <c r="M113" s="411"/>
      <c r="N113" s="186"/>
      <c r="O113" s="405"/>
      <c r="P113" s="408"/>
      <c r="Q113" s="414"/>
      <c r="R113" s="124">
        <v>2</v>
      </c>
      <c r="S113" s="122" t="s">
        <v>221</v>
      </c>
      <c r="T113" s="123" t="str">
        <f t="shared" si="108"/>
        <v>Probabilidad</v>
      </c>
      <c r="U113" s="125" t="s">
        <v>15</v>
      </c>
      <c r="V113" s="125" t="s">
        <v>10</v>
      </c>
      <c r="W113" s="126" t="str">
        <f>IF(AND(U113="Preventivo",V113="Automático"),"50%",IF(AND(U113="Preventivo",V113="Manual"),"40%",IF(AND(U113="Detectivo",V113="Automático"),"40%",IF(AND(U113="Detectivo",V113="Manual"),"30%",IF(AND(U113="Correctivo",V113="Automático"),"35%",IF(AND(U113="Correctivo",V113="Manual"),"25%",""))))))</f>
        <v>40%</v>
      </c>
      <c r="X113" s="125" t="s">
        <v>19</v>
      </c>
      <c r="Y113" s="125" t="s">
        <v>22</v>
      </c>
      <c r="Z113" s="125" t="s">
        <v>110</v>
      </c>
      <c r="AA113" s="108">
        <f>IFERROR(IF(T113="Probabilidad",(AA112-(+AA112*W113)),IF(T113="Impacto",L113,"")),"")</f>
        <v>0.216</v>
      </c>
      <c r="AB113" s="118" t="str">
        <f t="shared" si="109"/>
        <v>Baja</v>
      </c>
      <c r="AC113" s="119">
        <f t="shared" si="110"/>
        <v>0.216</v>
      </c>
      <c r="AD113" s="118" t="str">
        <f t="shared" si="111"/>
        <v>Mayor</v>
      </c>
      <c r="AE113" s="119">
        <v>0.8</v>
      </c>
      <c r="AF113" s="120" t="str">
        <f t="shared" si="112"/>
        <v>Alto</v>
      </c>
      <c r="AG113" s="121" t="s">
        <v>122</v>
      </c>
      <c r="AH113" s="129" t="s">
        <v>231</v>
      </c>
      <c r="AI113" s="128" t="s">
        <v>197</v>
      </c>
      <c r="AJ113" s="187" t="s">
        <v>205</v>
      </c>
      <c r="AK113" s="187" t="s">
        <v>206</v>
      </c>
      <c r="AL113" s="127" t="s">
        <v>232</v>
      </c>
      <c r="AM113" s="116"/>
      <c r="AO113" s="122" t="s">
        <v>778</v>
      </c>
      <c r="AP113" s="204" t="s">
        <v>780</v>
      </c>
      <c r="AQ113" s="209">
        <v>1</v>
      </c>
      <c r="AR113" s="127" t="s">
        <v>232</v>
      </c>
      <c r="AS113" s="204" t="s">
        <v>781</v>
      </c>
      <c r="AT113" s="209">
        <v>1</v>
      </c>
      <c r="AU113" s="206"/>
      <c r="AV113" s="207" t="s">
        <v>582</v>
      </c>
      <c r="AW113" s="207" t="s">
        <v>583</v>
      </c>
      <c r="AX113" s="207" t="s">
        <v>583</v>
      </c>
      <c r="AY113" s="207" t="s">
        <v>583</v>
      </c>
      <c r="AZ113" s="230" t="s">
        <v>593</v>
      </c>
    </row>
    <row r="114" spans="1:52" s="115" customFormat="1" ht="151.5" customHeight="1" x14ac:dyDescent="0.25">
      <c r="A114" s="425"/>
      <c r="B114" s="418"/>
      <c r="C114" s="427"/>
      <c r="D114" s="427"/>
      <c r="E114" s="423"/>
      <c r="F114" s="433"/>
      <c r="G114" s="433"/>
      <c r="H114" s="433"/>
      <c r="I114" s="423"/>
      <c r="J114" s="402"/>
      <c r="K114" s="406"/>
      <c r="L114" s="409"/>
      <c r="M114" s="411"/>
      <c r="N114" s="186"/>
      <c r="O114" s="406"/>
      <c r="P114" s="409"/>
      <c r="Q114" s="415"/>
      <c r="R114" s="124">
        <v>3</v>
      </c>
      <c r="S114" s="122"/>
      <c r="T114" s="123" t="str">
        <f t="shared" si="108"/>
        <v/>
      </c>
      <c r="U114" s="125"/>
      <c r="V114" s="125"/>
      <c r="W114" s="126"/>
      <c r="X114" s="125"/>
      <c r="Y114" s="125"/>
      <c r="Z114" s="125"/>
      <c r="AA114" s="108" t="str">
        <f>IFERROR(IF(T114="Probabilidad",(AA113-(+AA113*W114)),IF(T114="Impacto",L114,"")),"")</f>
        <v/>
      </c>
      <c r="AB114" s="118" t="str">
        <f t="shared" si="109"/>
        <v/>
      </c>
      <c r="AC114" s="119" t="str">
        <f t="shared" si="110"/>
        <v/>
      </c>
      <c r="AD114" s="118" t="str">
        <f t="shared" si="111"/>
        <v/>
      </c>
      <c r="AE114" s="119" t="str">
        <f>IFERROR(IF(T114="Impacto",(P114-(+P114*W114)),IF(T114="Probabilidad",P114,"")),"")</f>
        <v/>
      </c>
      <c r="AF114" s="120" t="str">
        <f t="shared" si="112"/>
        <v/>
      </c>
      <c r="AG114" s="121"/>
      <c r="AH114" s="122"/>
      <c r="AI114" s="116"/>
      <c r="AJ114" s="117"/>
      <c r="AK114" s="117"/>
      <c r="AL114" s="122"/>
      <c r="AM114" s="116"/>
      <c r="AO114" s="206"/>
      <c r="AP114" s="206"/>
      <c r="AQ114" s="206"/>
      <c r="AR114" s="206"/>
      <c r="AS114" s="206"/>
      <c r="AT114" s="206"/>
      <c r="AU114" s="206"/>
      <c r="AV114" s="206"/>
      <c r="AW114" s="206"/>
      <c r="AX114" s="206"/>
      <c r="AY114" s="206"/>
      <c r="AZ114" s="206"/>
    </row>
    <row r="115" spans="1:52" s="115" customFormat="1" ht="179.25" customHeight="1" x14ac:dyDescent="0.25">
      <c r="A115" s="425">
        <f>1+A112</f>
        <v>36</v>
      </c>
      <c r="B115" s="416" t="s">
        <v>405</v>
      </c>
      <c r="C115" s="429" t="s">
        <v>406</v>
      </c>
      <c r="D115" s="429" t="s">
        <v>407</v>
      </c>
      <c r="E115" s="422" t="s">
        <v>118</v>
      </c>
      <c r="F115" s="468" t="s">
        <v>484</v>
      </c>
      <c r="G115" s="468" t="s">
        <v>245</v>
      </c>
      <c r="H115" s="419" t="s">
        <v>485</v>
      </c>
      <c r="I115" s="422" t="s">
        <v>218</v>
      </c>
      <c r="J115" s="434">
        <v>1096</v>
      </c>
      <c r="K115" s="404" t="str">
        <f>IF(J115&lt;=0,"",IF(J115&lt;=2,"Muy Baja",IF(J115&lt;=24,"Baja",IF(J115&lt;=500,"Media",IF(J115&lt;=5000,"Alta","Muy Alta")))))</f>
        <v>Alta</v>
      </c>
      <c r="L115" s="407">
        <f>IF(K115="","",IF(K115="Muy Baja",0.2,IF(K115="Baja",0.4,IF(K115="Media",0.6,IF(K115="Alta",0.8,IF(K115="Muy Alta",1,))))))</f>
        <v>0.8</v>
      </c>
      <c r="M115" s="410" t="s">
        <v>250</v>
      </c>
      <c r="N115" s="185" t="str">
        <f ca="1">IF(NOT(ISERROR(MATCH(M115,'Tabla Impacto'!$B$221:$B$223,0))),'Tabla Impacto'!$F$223&amp;"Por favor no seleccionar los criterios de impacto(Afectación Económica o presupuestal y Pérdida Reputacional)",M115)</f>
        <v xml:space="preserve"> El riesgo afecta la imagen de la entidad con algunos usuarios de relevancia frente al logro de los objetivos</v>
      </c>
      <c r="O115" s="404" t="str">
        <f ca="1">IF(OR(N115='Tabla Impacto'!$C$11,N115='Tabla Impacto'!$D$11),"Leve",IF(OR(N115='Tabla Impacto'!$C$12,N115='Tabla Impacto'!$D$12),"Menor",IF(OR(N115='Tabla Impacto'!$C$13,N115='Tabla Impacto'!$D$13),"Moderado",IF(OR(N115='Tabla Impacto'!$C$14,N115='Tabla Impacto'!$D$14),"Mayor",IF(OR(N115='Tabla Impacto'!$C$15,N115='Tabla Impacto'!$D$15),"Catastrófico","")))))</f>
        <v>Moderado</v>
      </c>
      <c r="P115" s="407">
        <f ca="1">IF(O115="","",IF(O115="Leve",0.2,IF(O115="Menor",0.4,IF(O115="Moderado",0.6,IF(O115="Mayor",0.8,IF(O115="Catastrófico",1,))))))</f>
        <v>0.6</v>
      </c>
      <c r="Q115" s="413" t="str">
        <f ca="1">IF(OR(AND(K115="Muy Baja",O115="Leve"),AND(K115="Muy Baja",O115="Menor"),AND(K115="Baja",O115="Leve")),"Bajo",IF(OR(AND(K115="Muy baja",O115="Moderado"),AND(K115="Baja",O115="Menor"),AND(K115="Baja",O115="Moderado"),AND(K115="Media",O115="Leve"),AND(K115="Media",O115="Menor"),AND(K115="Media",O115="Moderado"),AND(K115="Alta",O115="Leve"),AND(K115="Alta",O115="Menor")),"Moderado",IF(OR(AND(K115="Muy Baja",O115="Mayor"),AND(K115="Baja",O115="Mayor"),AND(K115="Media",O115="Mayor"),AND(K115="Alta",O115="Moderado"),AND(K115="Alta",O115="Mayor"),AND(K115="Muy Alta",O115="Leve"),AND(K115="Muy Alta",O115="Menor"),AND(K115="Muy Alta",O115="Moderado"),AND(K115="Muy Alta",O115="Mayor")),"Alto",IF(OR(AND(K115="Muy Baja",O115="Catastrófico"),AND(K115="Baja",O115="Catastrófico"),AND(K115="Media",O115="Catastrófico"),AND(K115="Alta",O115="Catastrófico"),AND(K115="Muy Alta",O115="Catastrófico")),"Extremo",""))))</f>
        <v>Alto</v>
      </c>
      <c r="R115" s="124">
        <v>1</v>
      </c>
      <c r="S115" s="91" t="s">
        <v>486</v>
      </c>
      <c r="T115" s="123" t="str">
        <f>IF(OR(U115="Preventivo",U115="Detectivo"),"Probabilidad",IF(U115="Correctivo","Impacto",""))</f>
        <v>Probabilidad</v>
      </c>
      <c r="U115" s="125" t="s">
        <v>15</v>
      </c>
      <c r="V115" s="125" t="s">
        <v>9</v>
      </c>
      <c r="W115" s="126" t="str">
        <f>IF(AND(U115="Preventivo",V115="Automático"),"50%",IF(AND(U115="Preventivo",V115="Manual"),"40%",IF(AND(U115="Detectivo",V115="Automático"),"40%",IF(AND(U115="Detectivo",V115="Manual"),"30%",IF(AND(U115="Correctivo",V115="Automático"),"35%",IF(AND(U115="Correctivo",V115="Manual"),"25%",""))))))</f>
        <v>30%</v>
      </c>
      <c r="X115" s="125" t="s">
        <v>19</v>
      </c>
      <c r="Y115" s="125" t="s">
        <v>22</v>
      </c>
      <c r="Z115" s="125" t="s">
        <v>110</v>
      </c>
      <c r="AA115" s="108">
        <f>IFERROR(IF(T115="Probabilidad",(L115-(+L115*W115)),IF(T115="Impacto",L115,"")),"")</f>
        <v>0.56000000000000005</v>
      </c>
      <c r="AB115" s="118" t="str">
        <f>IFERROR(IF(AA115="","",IF(AA115&lt;=0.2,"Muy Baja",IF(AA115&lt;=0.4,"Baja",IF(AA115&lt;=0.6,"Media",IF(AA115&lt;=0.8,"Alta","Muy Alta"))))),"")</f>
        <v>Media</v>
      </c>
      <c r="AC115" s="119">
        <f>+AA115</f>
        <v>0.56000000000000005</v>
      </c>
      <c r="AD115" s="118" t="str">
        <f ca="1">IFERROR(IF(AE115="","",IF(AE115&lt;=0.2,"Leve",IF(AE115&lt;=0.4,"Menor",IF(AE115&lt;=0.6,"Moderado",IF(AE115&lt;=0.8,"Mayor","Catastrófico"))))),"")</f>
        <v>Moderado</v>
      </c>
      <c r="AE115" s="119">
        <f ca="1">IFERROR(IF(T115="Impacto",(P115-(+P115*W115)),IF(T115="Probabilidad",P115,"")),"")</f>
        <v>0.6</v>
      </c>
      <c r="AF115" s="120" t="str">
        <f ca="1">IFERROR(IF(OR(AND(AB115="Muy Baja",AD115="Leve"),AND(AB115="Muy Baja",AD115="Menor"),AND(AB115="Baja",AD115="Leve")),"Bajo",IF(OR(AND(AB115="Muy baja",AD115="Moderado"),AND(AB115="Baja",AD115="Menor"),AND(AB115="Baja",AD115="Moderado"),AND(AB115="Media",AD115="Leve"),AND(AB115="Media",AD115="Menor"),AND(AB115="Media",AD115="Moderado"),AND(AB115="Alta",AD115="Leve"),AND(AB115="Alta",AD115="Menor")),"Moderado",IF(OR(AND(AB115="Muy Baja",AD115="Mayor"),AND(AB115="Baja",AD115="Mayor"),AND(AB115="Media",AD115="Mayor"),AND(AB115="Alta",AD115="Moderado"),AND(AB115="Alta",AD115="Mayor"),AND(AB115="Muy Alta",AD115="Leve"),AND(AB115="Muy Alta",AD115="Menor"),AND(AB115="Muy Alta",AD115="Moderado"),AND(AB115="Muy Alta",AD115="Mayor")),"Alto",IF(OR(AND(AB115="Muy Baja",AD115="Catastrófico"),AND(AB115="Baja",AD115="Catastrófico"),AND(AB115="Media",AD115="Catastrófico"),AND(AB115="Alta",AD115="Catastrófico"),AND(AB115="Muy Alta",AD115="Catastrófico")),"Extremo","")))),"")</f>
        <v>Moderado</v>
      </c>
      <c r="AG115" s="121" t="s">
        <v>122</v>
      </c>
      <c r="AH115" s="130" t="s">
        <v>274</v>
      </c>
      <c r="AI115" s="116" t="s">
        <v>273</v>
      </c>
      <c r="AJ115" s="117" t="s">
        <v>205</v>
      </c>
      <c r="AK115" s="117" t="s">
        <v>206</v>
      </c>
      <c r="AL115" s="122" t="s">
        <v>498</v>
      </c>
      <c r="AM115" s="116"/>
      <c r="AO115" s="204" t="s">
        <v>755</v>
      </c>
      <c r="AP115" s="204" t="s">
        <v>756</v>
      </c>
      <c r="AQ115" s="272">
        <v>1</v>
      </c>
      <c r="AR115" s="204" t="s">
        <v>757</v>
      </c>
      <c r="AS115" s="204" t="s">
        <v>758</v>
      </c>
      <c r="AT115" s="272">
        <v>1</v>
      </c>
      <c r="AU115" s="257" t="s">
        <v>582</v>
      </c>
      <c r="AV115" s="267"/>
      <c r="AW115" s="509" t="s">
        <v>759</v>
      </c>
      <c r="AX115" s="509"/>
      <c r="AY115" s="509"/>
      <c r="AZ115" s="286" t="s">
        <v>786</v>
      </c>
    </row>
    <row r="116" spans="1:52" s="115" customFormat="1" ht="151.5" customHeight="1" x14ac:dyDescent="0.25">
      <c r="A116" s="425"/>
      <c r="B116" s="417"/>
      <c r="C116" s="430"/>
      <c r="D116" s="430"/>
      <c r="E116" s="423"/>
      <c r="F116" s="469"/>
      <c r="G116" s="469"/>
      <c r="H116" s="420"/>
      <c r="I116" s="423"/>
      <c r="J116" s="435"/>
      <c r="K116" s="405"/>
      <c r="L116" s="408"/>
      <c r="M116" s="411"/>
      <c r="N116" s="186"/>
      <c r="O116" s="405"/>
      <c r="P116" s="408"/>
      <c r="Q116" s="414"/>
      <c r="R116" s="124">
        <v>2</v>
      </c>
      <c r="S116" s="122" t="s">
        <v>487</v>
      </c>
      <c r="T116" s="123" t="str">
        <f>IF(OR(U116="Preventivo",U116="Detectivo"),"Probabilidad",IF(U116="Correctivo","Impacto",""))</f>
        <v>Probabilidad</v>
      </c>
      <c r="U116" s="125" t="s">
        <v>14</v>
      </c>
      <c r="V116" s="125" t="s">
        <v>9</v>
      </c>
      <c r="W116" s="126" t="str">
        <f>IF(AND(U116="Preventivo",V116="Automático"),"50%",IF(AND(U116="Preventivo",V116="Manual"),"40%",IF(AND(U116="Detectivo",V116="Automático"),"40%",IF(AND(U116="Detectivo",V116="Manual"),"30%",IF(AND(U116="Correctivo",V116="Automático"),"35%",IF(AND(U116="Correctivo",V116="Manual"),"25%",""))))))</f>
        <v>40%</v>
      </c>
      <c r="X116" s="125" t="s">
        <v>20</v>
      </c>
      <c r="Y116" s="125" t="s">
        <v>22</v>
      </c>
      <c r="Z116" s="125" t="s">
        <v>110</v>
      </c>
      <c r="AA116" s="108">
        <f>IFERROR(IF(T116="Probabilidad",(L116-(+L116*W116)),IF(T116="Impacto",L116,"")),"")</f>
        <v>0</v>
      </c>
      <c r="AB116" s="118" t="str">
        <f>IFERROR(IF(AA116="","",IF(AA116&lt;=0.2,"Muy Baja",IF(AA116&lt;=0.4,"Baja",IF(AA116&lt;=0.6,"Media",IF(AA116&lt;=0.8,"Alta","Muy Alta"))))),"")</f>
        <v>Muy Baja</v>
      </c>
      <c r="AC116" s="119">
        <f>+AA116</f>
        <v>0</v>
      </c>
      <c r="AD116" s="118" t="str">
        <f>IFERROR(IF(AE116="","",IF(AE116&lt;=0.2,"Leve",IF(AE116&lt;=0.4,"Menor",IF(AE116&lt;=0.6,"Moderado",IF(AE116&lt;=0.8,"Mayor","Catastrófico"))))),"")</f>
        <v>Leve</v>
      </c>
      <c r="AE116" s="119">
        <f>IFERROR(IF(T116="Impacto",(P116-(+P116*W116)),IF(T116="Probabilidad",P116,"")),"")</f>
        <v>0</v>
      </c>
      <c r="AF116" s="120" t="str">
        <f>IFERROR(IF(OR(AND(AB116="Muy Baja",AD116="Leve"),AND(AB116="Muy Baja",AD116="Menor"),AND(AB116="Baja",AD116="Leve")),"Bajo",IF(OR(AND(AB116="Muy baja",AD116="Moderado"),AND(AB116="Baja",AD116="Menor"),AND(AB116="Baja",AD116="Moderado"),AND(AB116="Media",AD116="Leve"),AND(AB116="Media",AD116="Menor"),AND(AB116="Media",AD116="Moderado"),AND(AB116="Alta",AD116="Leve"),AND(AB116="Alta",AD116="Menor")),"Moderado",IF(OR(AND(AB116="Muy Baja",AD116="Mayor"),AND(AB116="Baja",AD116="Mayor"),AND(AB116="Media",AD116="Mayor"),AND(AB116="Alta",AD116="Moderado"),AND(AB116="Alta",AD116="Mayor"),AND(AB116="Muy Alta",AD116="Leve"),AND(AB116="Muy Alta",AD116="Menor"),AND(AB116="Muy Alta",AD116="Moderado"),AND(AB116="Muy Alta",AD116="Mayor")),"Alto",IF(OR(AND(AB116="Muy Baja",AD116="Catastrófico"),AND(AB116="Baja",AD116="Catastrófico"),AND(AB116="Media",AD116="Catastrófico"),AND(AB116="Alta",AD116="Catastrófico"),AND(AB116="Muy Alta",AD116="Catastrófico")),"Extremo","")))),"")</f>
        <v>Bajo</v>
      </c>
      <c r="AG116" s="121" t="s">
        <v>122</v>
      </c>
      <c r="AH116" s="130" t="s">
        <v>488</v>
      </c>
      <c r="AI116" s="131" t="s">
        <v>489</v>
      </c>
      <c r="AJ116" s="117" t="s">
        <v>205</v>
      </c>
      <c r="AK116" s="117" t="s">
        <v>490</v>
      </c>
      <c r="AL116" s="122"/>
      <c r="AM116" s="116"/>
      <c r="AO116" s="204" t="s">
        <v>760</v>
      </c>
      <c r="AP116" s="204" t="s">
        <v>761</v>
      </c>
      <c r="AQ116" s="272">
        <v>1</v>
      </c>
      <c r="AR116" s="204" t="s">
        <v>761</v>
      </c>
      <c r="AS116" s="204" t="s">
        <v>762</v>
      </c>
      <c r="AT116" s="272">
        <v>1</v>
      </c>
      <c r="AU116" s="267"/>
      <c r="AV116" s="257" t="s">
        <v>582</v>
      </c>
      <c r="AW116" s="268" t="s">
        <v>583</v>
      </c>
      <c r="AX116" s="268" t="s">
        <v>583</v>
      </c>
      <c r="AY116" s="268" t="s">
        <v>583</v>
      </c>
      <c r="AZ116" s="230" t="s">
        <v>593</v>
      </c>
    </row>
    <row r="117" spans="1:52" s="115" customFormat="1" ht="151.5" customHeight="1" x14ac:dyDescent="0.25">
      <c r="A117" s="425"/>
      <c r="B117" s="418"/>
      <c r="C117" s="431"/>
      <c r="D117" s="431"/>
      <c r="E117" s="423"/>
      <c r="F117" s="423"/>
      <c r="G117" s="423"/>
      <c r="H117" s="420"/>
      <c r="I117" s="423"/>
      <c r="J117" s="436"/>
      <c r="K117" s="405"/>
      <c r="L117" s="408"/>
      <c r="M117" s="411"/>
      <c r="N117" s="186"/>
      <c r="O117" s="405"/>
      <c r="P117" s="408"/>
      <c r="Q117" s="414"/>
      <c r="R117" s="155">
        <v>3</v>
      </c>
      <c r="S117" s="122"/>
      <c r="T117" s="123"/>
      <c r="U117" s="125"/>
      <c r="V117" s="125"/>
      <c r="W117" s="126"/>
      <c r="X117" s="125"/>
      <c r="Y117" s="125"/>
      <c r="Z117" s="125"/>
      <c r="AA117" s="108"/>
      <c r="AB117" s="118"/>
      <c r="AC117" s="119"/>
      <c r="AD117" s="118"/>
      <c r="AE117" s="119"/>
      <c r="AF117" s="120"/>
      <c r="AG117" s="121"/>
      <c r="AH117" s="130"/>
      <c r="AI117" s="116"/>
      <c r="AJ117" s="117"/>
      <c r="AK117" s="117"/>
      <c r="AL117" s="122"/>
      <c r="AM117" s="116"/>
      <c r="AO117" s="206"/>
      <c r="AP117" s="206"/>
      <c r="AQ117" s="206"/>
      <c r="AR117" s="206"/>
      <c r="AS117" s="206"/>
      <c r="AT117" s="206"/>
      <c r="AU117" s="206"/>
      <c r="AV117" s="206"/>
      <c r="AW117" s="206"/>
      <c r="AX117" s="206"/>
      <c r="AY117" s="206"/>
      <c r="AZ117" s="206"/>
    </row>
    <row r="118" spans="1:52" s="115" customFormat="1" ht="151.5" customHeight="1" x14ac:dyDescent="0.25">
      <c r="A118" s="425">
        <f>1+A115</f>
        <v>37</v>
      </c>
      <c r="B118" s="416" t="s">
        <v>216</v>
      </c>
      <c r="C118" s="429" t="s">
        <v>408</v>
      </c>
      <c r="D118" s="429" t="s">
        <v>217</v>
      </c>
      <c r="E118" s="422" t="s">
        <v>120</v>
      </c>
      <c r="F118" s="454" t="s">
        <v>445</v>
      </c>
      <c r="G118" s="468" t="s">
        <v>236</v>
      </c>
      <c r="H118" s="419" t="s">
        <v>444</v>
      </c>
      <c r="I118" s="422" t="s">
        <v>115</v>
      </c>
      <c r="J118" s="401">
        <v>56</v>
      </c>
      <c r="K118" s="404" t="str">
        <f>IF(J118&lt;=0,"",IF(J118&lt;=2,"Muy Baja",IF(J118&lt;=24,"Baja",IF(J118&lt;=500,"Media",IF(J118&lt;=5000,"Alta","Muy Alta")))))</f>
        <v>Media</v>
      </c>
      <c r="L118" s="407">
        <f>IF(K118="","",IF(K118="Muy Baja",0.2,IF(K118="Baja",0.4,IF(K118="Media",0.6,IF(K118="Alta",0.8,IF(K118="Muy Alta",1,))))))</f>
        <v>0.6</v>
      </c>
      <c r="M118" s="410" t="s">
        <v>250</v>
      </c>
      <c r="N118" s="185" t="str">
        <f ca="1">IF(NOT(ISERROR(MATCH(M118,'Tabla Impacto'!$B$221:$B$223,0))),'Tabla Impacto'!$F$223&amp;"Por favor no seleccionar los criterios de impacto(Afectación Económica o presupuestal y Pérdida Reputacional)",M118)</f>
        <v xml:space="preserve"> El riesgo afecta la imagen de la entidad con algunos usuarios de relevancia frente al logro de los objetivos</v>
      </c>
      <c r="O118" s="404" t="str">
        <f ca="1">IF(OR(N118='Tabla Impacto'!$C$11,N118='Tabla Impacto'!$D$11),"Leve",IF(OR(N118='Tabla Impacto'!$C$12,N118='Tabla Impacto'!$D$12),"Menor",IF(OR(N118='Tabla Impacto'!$C$13,N118='Tabla Impacto'!$D$13),"Moderado",IF(OR(N118='Tabla Impacto'!$C$14,N118='Tabla Impacto'!$D$14),"Mayor",IF(OR(N118='Tabla Impacto'!$C$15,N118='Tabla Impacto'!$D$15),"Catastrófico","")))))</f>
        <v>Moderado</v>
      </c>
      <c r="P118" s="407">
        <f ca="1">IF(O118="","",IF(O118="Leve",0.2,IF(O118="Menor",0.4,IF(O118="Moderado",0.6,IF(O118="Mayor",0.8,IF(O118="Catastrófico",1,))))))</f>
        <v>0.6</v>
      </c>
      <c r="Q118" s="413" t="str">
        <f ca="1">IF(OR(AND(K118="Muy Baja",O118="Leve"),AND(K118="Muy Baja",O118="Menor"),AND(K118="Baja",O118="Leve")),"Bajo",IF(OR(AND(K118="Muy baja",O118="Moderado"),AND(K118="Baja",O118="Menor"),AND(K118="Baja",O118="Moderado"),AND(K118="Media",O118="Leve"),AND(K118="Media",O118="Menor"),AND(K118="Media",O118="Moderado"),AND(K118="Alta",O118="Leve"),AND(K118="Alta",O118="Menor")),"Moderado",IF(OR(AND(K118="Muy Baja",O118="Mayor"),AND(K118="Baja",O118="Mayor"),AND(K118="Media",O118="Mayor"),AND(K118="Alta",O118="Moderado"),AND(K118="Alta",O118="Mayor"),AND(K118="Muy Alta",O118="Leve"),AND(K118="Muy Alta",O118="Menor"),AND(K118="Muy Alta",O118="Moderado"),AND(K118="Muy Alta",O118="Mayor")),"Alto",IF(OR(AND(K118="Muy Baja",O118="Catastrófico"),AND(K118="Baja",O118="Catastrófico"),AND(K118="Media",O118="Catastrófico"),AND(K118="Alta",O118="Catastrófico"),AND(K118="Muy Alta",O118="Catastrófico")),"Extremo",""))))</f>
        <v>Moderado</v>
      </c>
      <c r="R118" s="124">
        <v>1</v>
      </c>
      <c r="S118" s="122" t="s">
        <v>416</v>
      </c>
      <c r="T118" s="123" t="str">
        <f t="shared" ref="T118:T126" si="113">IF(OR(U118="Preventivo",U118="Detectivo"),"Probabilidad",IF(U118="Correctivo","Impacto",""))</f>
        <v>Probabilidad</v>
      </c>
      <c r="U118" s="125" t="s">
        <v>15</v>
      </c>
      <c r="V118" s="125" t="s">
        <v>9</v>
      </c>
      <c r="W118" s="126" t="str">
        <f t="shared" ref="W118:W126" si="114">IF(AND(U118="Preventivo",V118="Automático"),"50%",IF(AND(U118="Preventivo",V118="Manual"),"40%",IF(AND(U118="Detectivo",V118="Automático"),"40%",IF(AND(U118="Detectivo",V118="Manual"),"30%",IF(AND(U118="Correctivo",V118="Automático"),"35%",IF(AND(U118="Correctivo",V118="Manual"),"25%",""))))))</f>
        <v>30%</v>
      </c>
      <c r="X118" s="96" t="s">
        <v>19</v>
      </c>
      <c r="Y118" s="96" t="s">
        <v>22</v>
      </c>
      <c r="Z118" s="96" t="s">
        <v>110</v>
      </c>
      <c r="AA118" s="108">
        <f>IFERROR(IF(T118="Probabilidad",(L118-(+L118*W118)),IF(T118="Impacto",L118,"")),"")</f>
        <v>0.42</v>
      </c>
      <c r="AB118" s="118" t="str">
        <f t="shared" ref="AB118:AB126" si="115">IFERROR(IF(AA118="","",IF(AA118&lt;=0.2,"Muy Baja",IF(AA118&lt;=0.4,"Baja",IF(AA118&lt;=0.6,"Media",IF(AA118&lt;=0.8,"Alta","Muy Alta"))))),"")</f>
        <v>Media</v>
      </c>
      <c r="AC118" s="119">
        <f t="shared" ref="AC118:AC126" si="116">+AA118</f>
        <v>0.42</v>
      </c>
      <c r="AD118" s="118" t="str">
        <f t="shared" ref="AD118:AD126" ca="1" si="117">IFERROR(IF(AE118="","",IF(AE118&lt;=0.2,"Leve",IF(AE118&lt;=0.4,"Menor",IF(AE118&lt;=0.6,"Moderado",IF(AE118&lt;=0.8,"Mayor","Catastrófico"))))),"")</f>
        <v>Moderado</v>
      </c>
      <c r="AE118" s="119">
        <f t="shared" ref="AE118:AE126" ca="1" si="118">IFERROR(IF(T118="Impacto",(P118-(+P118*W118)),IF(T118="Probabilidad",P118,"")),"")</f>
        <v>0.6</v>
      </c>
      <c r="AF118" s="120" t="str">
        <f t="shared" ref="AF118:AF126" ca="1" si="119">IFERROR(IF(OR(AND(AB118="Muy Baja",AD118="Leve"),AND(AB118="Muy Baja",AD118="Menor"),AND(AB118="Baja",AD118="Leve")),"Bajo",IF(OR(AND(AB118="Muy baja",AD118="Moderado"),AND(AB118="Baja",AD118="Menor"),AND(AB118="Baja",AD118="Moderado"),AND(AB118="Media",AD118="Leve"),AND(AB118="Media",AD118="Menor"),AND(AB118="Media",AD118="Moderado"),AND(AB118="Alta",AD118="Leve"),AND(AB118="Alta",AD118="Menor")),"Moderado",IF(OR(AND(AB118="Muy Baja",AD118="Mayor"),AND(AB118="Baja",AD118="Mayor"),AND(AB118="Media",AD118="Mayor"),AND(AB118="Alta",AD118="Moderado"),AND(AB118="Alta",AD118="Mayor"),AND(AB118="Muy Alta",AD118="Leve"),AND(AB118="Muy Alta",AD118="Menor"),AND(AB118="Muy Alta",AD118="Moderado"),AND(AB118="Muy Alta",AD118="Mayor")),"Alto",IF(OR(AND(AB118="Muy Baja",AD118="Catastrófico"),AND(AB118="Baja",AD118="Catastrófico"),AND(AB118="Media",AD118="Catastrófico"),AND(AB118="Alta",AD118="Catastrófico"),AND(AB118="Muy Alta",AD118="Catastrófico")),"Extremo","")))),"")</f>
        <v>Moderado</v>
      </c>
      <c r="AG118" s="121" t="s">
        <v>122</v>
      </c>
      <c r="AH118" s="130" t="s">
        <v>446</v>
      </c>
      <c r="AI118" s="92" t="s">
        <v>448</v>
      </c>
      <c r="AJ118" s="103" t="s">
        <v>205</v>
      </c>
      <c r="AK118" s="103" t="s">
        <v>206</v>
      </c>
      <c r="AL118" s="91" t="s">
        <v>449</v>
      </c>
      <c r="AM118" s="116"/>
      <c r="AO118" s="278" t="s">
        <v>626</v>
      </c>
      <c r="AP118" s="204" t="s">
        <v>627</v>
      </c>
      <c r="AQ118" s="209">
        <v>1</v>
      </c>
      <c r="AR118" s="279" t="s">
        <v>628</v>
      </c>
      <c r="AS118" s="204" t="s">
        <v>629</v>
      </c>
      <c r="AT118" s="209">
        <v>1</v>
      </c>
      <c r="AU118" s="206"/>
      <c r="AV118" s="207" t="s">
        <v>582</v>
      </c>
      <c r="AW118" s="236" t="s">
        <v>583</v>
      </c>
      <c r="AX118" s="236" t="s">
        <v>583</v>
      </c>
      <c r="AY118" s="236" t="s">
        <v>583</v>
      </c>
      <c r="AZ118" s="230" t="s">
        <v>593</v>
      </c>
    </row>
    <row r="119" spans="1:52" s="115" customFormat="1" ht="151.5" customHeight="1" x14ac:dyDescent="0.25">
      <c r="A119" s="425"/>
      <c r="B119" s="417"/>
      <c r="C119" s="430"/>
      <c r="D119" s="427"/>
      <c r="E119" s="423"/>
      <c r="F119" s="451"/>
      <c r="G119" s="423"/>
      <c r="H119" s="420"/>
      <c r="I119" s="423"/>
      <c r="J119" s="402"/>
      <c r="K119" s="405"/>
      <c r="L119" s="408"/>
      <c r="M119" s="411"/>
      <c r="N119" s="186"/>
      <c r="O119" s="405"/>
      <c r="P119" s="408"/>
      <c r="Q119" s="414"/>
      <c r="R119" s="124">
        <v>2</v>
      </c>
      <c r="S119" s="122"/>
      <c r="T119" s="123" t="str">
        <f t="shared" si="113"/>
        <v/>
      </c>
      <c r="U119" s="125"/>
      <c r="V119" s="125"/>
      <c r="W119" s="126" t="str">
        <f t="shared" si="114"/>
        <v/>
      </c>
      <c r="X119" s="125"/>
      <c r="Y119" s="125"/>
      <c r="Z119" s="125"/>
      <c r="AA119" s="108" t="str">
        <f>IFERROR(IF(T119="Probabilidad",(AA118-(+AA118*W119)),IF(T119="Impacto",L119,"")),"")</f>
        <v/>
      </c>
      <c r="AB119" s="118" t="str">
        <f t="shared" si="115"/>
        <v/>
      </c>
      <c r="AC119" s="119" t="str">
        <f t="shared" si="116"/>
        <v/>
      </c>
      <c r="AD119" s="118" t="str">
        <f t="shared" si="117"/>
        <v/>
      </c>
      <c r="AE119" s="119" t="str">
        <f t="shared" si="118"/>
        <v/>
      </c>
      <c r="AF119" s="120" t="str">
        <f t="shared" si="119"/>
        <v/>
      </c>
      <c r="AG119" s="121"/>
      <c r="AH119" s="130" t="s">
        <v>447</v>
      </c>
      <c r="AI119" s="92" t="s">
        <v>195</v>
      </c>
      <c r="AJ119" s="103" t="s">
        <v>205</v>
      </c>
      <c r="AK119" s="103" t="s">
        <v>206</v>
      </c>
      <c r="AL119" s="122"/>
      <c r="AM119" s="116"/>
      <c r="AO119" s="206"/>
      <c r="AP119" s="206"/>
      <c r="AQ119" s="206"/>
      <c r="AR119" s="279" t="s">
        <v>630</v>
      </c>
      <c r="AS119" s="206" t="s">
        <v>631</v>
      </c>
      <c r="AT119" s="209">
        <v>1</v>
      </c>
      <c r="AU119" s="206"/>
      <c r="AV119" s="207" t="s">
        <v>582</v>
      </c>
      <c r="AW119" s="236" t="s">
        <v>583</v>
      </c>
      <c r="AX119" s="236" t="s">
        <v>583</v>
      </c>
      <c r="AY119" s="236" t="s">
        <v>583</v>
      </c>
      <c r="AZ119" s="230" t="s">
        <v>593</v>
      </c>
    </row>
    <row r="120" spans="1:52" s="115" customFormat="1" ht="151.5" customHeight="1" x14ac:dyDescent="0.25">
      <c r="A120" s="425"/>
      <c r="B120" s="418"/>
      <c r="C120" s="430"/>
      <c r="D120" s="427"/>
      <c r="E120" s="423"/>
      <c r="F120" s="451"/>
      <c r="G120" s="423"/>
      <c r="H120" s="420"/>
      <c r="I120" s="423"/>
      <c r="J120" s="402"/>
      <c r="K120" s="406"/>
      <c r="L120" s="409"/>
      <c r="M120" s="411"/>
      <c r="N120" s="186"/>
      <c r="O120" s="406"/>
      <c r="P120" s="409"/>
      <c r="Q120" s="415"/>
      <c r="R120" s="124">
        <v>3</v>
      </c>
      <c r="S120" s="122"/>
      <c r="T120" s="123" t="str">
        <f t="shared" si="113"/>
        <v/>
      </c>
      <c r="U120" s="125"/>
      <c r="V120" s="125"/>
      <c r="W120" s="126"/>
      <c r="X120" s="125"/>
      <c r="Y120" s="125"/>
      <c r="Z120" s="125"/>
      <c r="AA120" s="108" t="str">
        <f>IFERROR(IF(T120="Probabilidad",(AA119-(+AA119*W120)),IF(T120="Impacto",L120,"")),"")</f>
        <v/>
      </c>
      <c r="AB120" s="118" t="str">
        <f t="shared" si="115"/>
        <v/>
      </c>
      <c r="AC120" s="119" t="str">
        <f t="shared" si="116"/>
        <v/>
      </c>
      <c r="AD120" s="118" t="str">
        <f t="shared" si="117"/>
        <v/>
      </c>
      <c r="AE120" s="119" t="str">
        <f t="shared" si="118"/>
        <v/>
      </c>
      <c r="AF120" s="120" t="str">
        <f t="shared" si="119"/>
        <v/>
      </c>
      <c r="AG120" s="121"/>
      <c r="AH120" s="122"/>
      <c r="AI120" s="116"/>
      <c r="AJ120" s="117"/>
      <c r="AK120" s="117"/>
      <c r="AL120" s="122"/>
      <c r="AM120" s="116"/>
      <c r="AO120" s="206"/>
      <c r="AP120" s="206"/>
      <c r="AQ120" s="206"/>
      <c r="AR120" s="206"/>
      <c r="AS120" s="206"/>
      <c r="AT120" s="206"/>
      <c r="AU120" s="206"/>
      <c r="AV120" s="206"/>
      <c r="AW120" s="206"/>
      <c r="AX120" s="206"/>
      <c r="AY120" s="206"/>
      <c r="AZ120" s="206"/>
    </row>
    <row r="121" spans="1:52" s="115" customFormat="1" ht="151.5" customHeight="1" x14ac:dyDescent="0.25">
      <c r="A121" s="425">
        <f>1+A118</f>
        <v>38</v>
      </c>
      <c r="B121" s="416" t="s">
        <v>216</v>
      </c>
      <c r="C121" s="429" t="s">
        <v>408</v>
      </c>
      <c r="D121" s="429" t="s">
        <v>217</v>
      </c>
      <c r="E121" s="422" t="s">
        <v>120</v>
      </c>
      <c r="F121" s="432" t="s">
        <v>450</v>
      </c>
      <c r="G121" s="432" t="s">
        <v>451</v>
      </c>
      <c r="H121" s="419" t="s">
        <v>419</v>
      </c>
      <c r="I121" s="422" t="s">
        <v>218</v>
      </c>
      <c r="J121" s="401">
        <v>150</v>
      </c>
      <c r="K121" s="404" t="str">
        <f>IF(J121&lt;=0,"",IF(J121&lt;=2,"Muy Baja",IF(J121&lt;=24,"Baja",IF(J121&lt;=500,"Media",IF(J121&lt;=5000,"Alta","Muy Alta")))))</f>
        <v>Media</v>
      </c>
      <c r="L121" s="407">
        <f>IF(K121="","",IF(K121="Muy Baja",0.2,IF(K121="Baja",0.4,IF(K121="Media",0.6,IF(K121="Alta",0.8,IF(K121="Muy Alta",1,))))))</f>
        <v>0.6</v>
      </c>
      <c r="M121" s="410" t="s">
        <v>257</v>
      </c>
      <c r="N121" s="185" t="str">
        <f ca="1">IF(NOT(ISERROR(MATCH(M121,'Tabla Impacto'!$B$221:$B$223,0))),'Tabla Impacto'!$F$223&amp;"Por favor no seleccionar los criterios de impacto(Afectación Económica o presupuestal y Pérdida Reputacional)",M121)</f>
        <v xml:space="preserve"> El riesgo afecta la imagen de la entidad con efecto publicitario sostenido a nivel de sector administrativo, nivel departamental o municipal</v>
      </c>
      <c r="O121" s="404" t="str">
        <f ca="1">IF(OR(N121='Tabla Impacto'!$C$11,N121='Tabla Impacto'!$D$11),"Leve",IF(OR(N121='Tabla Impacto'!$C$12,N121='Tabla Impacto'!$D$12),"Menor",IF(OR(N121='Tabla Impacto'!$C$13,N121='Tabla Impacto'!$D$13),"Moderado",IF(OR(N121='Tabla Impacto'!$C$14,N121='Tabla Impacto'!$D$14),"Mayor",IF(OR(N121='Tabla Impacto'!$C$15,N121='Tabla Impacto'!$D$15),"Catastrófico","")))))</f>
        <v>Mayor</v>
      </c>
      <c r="P121" s="407">
        <f ca="1">IF(O121="","",IF(O121="Leve",0.2,IF(O121="Menor",0.4,IF(O121="Moderado",0.6,IF(O121="Mayor",0.8,IF(O121="Catastrófico",1,))))))</f>
        <v>0.8</v>
      </c>
      <c r="Q121" s="413" t="str">
        <f ca="1">IF(OR(AND(K121="Muy Baja",O121="Leve"),AND(K121="Muy Baja",O121="Menor"),AND(K121="Baja",O121="Leve")),"Bajo",IF(OR(AND(K121="Muy baja",O121="Moderado"),AND(K121="Baja",O121="Menor"),AND(K121="Baja",O121="Moderado"),AND(K121="Media",O121="Leve"),AND(K121="Media",O121="Menor"),AND(K121="Media",O121="Moderado"),AND(K121="Alta",O121="Leve"),AND(K121="Alta",O121="Menor")),"Moderado",IF(OR(AND(K121="Muy Baja",O121="Mayor"),AND(K121="Baja",O121="Mayor"),AND(K121="Media",O121="Mayor"),AND(K121="Alta",O121="Moderado"),AND(K121="Alta",O121="Mayor"),AND(K121="Muy Alta",O121="Leve"),AND(K121="Muy Alta",O121="Menor"),AND(K121="Muy Alta",O121="Moderado"),AND(K121="Muy Alta",O121="Mayor")),"Alto",IF(OR(AND(K121="Muy Baja",O121="Catastrófico"),AND(K121="Baja",O121="Catastrófico"),AND(K121="Media",O121="Catastrófico"),AND(K121="Alta",O121="Catastrófico"),AND(K121="Muy Alta",O121="Catastrófico")),"Extremo",""))))</f>
        <v>Alto</v>
      </c>
      <c r="R121" s="124">
        <v>1</v>
      </c>
      <c r="S121" s="79" t="s">
        <v>452</v>
      </c>
      <c r="T121" s="123" t="str">
        <f t="shared" si="113"/>
        <v>Probabilidad</v>
      </c>
      <c r="U121" s="125" t="s">
        <v>14</v>
      </c>
      <c r="V121" s="125" t="s">
        <v>9</v>
      </c>
      <c r="W121" s="126" t="str">
        <f t="shared" si="114"/>
        <v>40%</v>
      </c>
      <c r="X121" s="125" t="s">
        <v>19</v>
      </c>
      <c r="Y121" s="125" t="s">
        <v>22</v>
      </c>
      <c r="Z121" s="125" t="s">
        <v>110</v>
      </c>
      <c r="AA121" s="108">
        <f>IFERROR(IF(T121="Probabilidad",(L121-(+L121*W121)),IF(T121="Impacto",L121,"")),"")</f>
        <v>0.36</v>
      </c>
      <c r="AB121" s="118" t="str">
        <f t="shared" si="115"/>
        <v>Baja</v>
      </c>
      <c r="AC121" s="119">
        <f t="shared" si="116"/>
        <v>0.36</v>
      </c>
      <c r="AD121" s="118" t="str">
        <f t="shared" ca="1" si="117"/>
        <v>Mayor</v>
      </c>
      <c r="AE121" s="119">
        <f t="shared" ca="1" si="118"/>
        <v>0.8</v>
      </c>
      <c r="AF121" s="120" t="str">
        <f t="shared" ca="1" si="119"/>
        <v>Alto</v>
      </c>
      <c r="AG121" s="121" t="s">
        <v>122</v>
      </c>
      <c r="AH121" s="91" t="s">
        <v>453</v>
      </c>
      <c r="AI121" s="116" t="s">
        <v>365</v>
      </c>
      <c r="AJ121" s="117" t="s">
        <v>205</v>
      </c>
      <c r="AK121" s="117" t="s">
        <v>206</v>
      </c>
      <c r="AL121" s="122" t="s">
        <v>420</v>
      </c>
      <c r="AM121" s="116"/>
      <c r="AO121" s="238" t="s">
        <v>633</v>
      </c>
      <c r="AP121" s="204" t="s">
        <v>632</v>
      </c>
      <c r="AQ121" s="209">
        <v>1</v>
      </c>
      <c r="AR121" s="251" t="s">
        <v>636</v>
      </c>
      <c r="AS121" s="206" t="s">
        <v>634</v>
      </c>
      <c r="AT121" s="209">
        <v>1</v>
      </c>
      <c r="AU121" s="206"/>
      <c r="AV121" s="207" t="s">
        <v>582</v>
      </c>
      <c r="AW121" s="236" t="s">
        <v>583</v>
      </c>
      <c r="AX121" s="236" t="s">
        <v>583</v>
      </c>
      <c r="AY121" s="236" t="s">
        <v>583</v>
      </c>
      <c r="AZ121" s="230" t="s">
        <v>593</v>
      </c>
    </row>
    <row r="122" spans="1:52" s="115" customFormat="1" ht="151.5" customHeight="1" x14ac:dyDescent="0.25">
      <c r="A122" s="425"/>
      <c r="B122" s="417"/>
      <c r="C122" s="430"/>
      <c r="D122" s="427"/>
      <c r="E122" s="423"/>
      <c r="F122" s="433"/>
      <c r="G122" s="433"/>
      <c r="H122" s="420"/>
      <c r="I122" s="423"/>
      <c r="J122" s="402"/>
      <c r="K122" s="405"/>
      <c r="L122" s="408"/>
      <c r="M122" s="411"/>
      <c r="N122" s="186"/>
      <c r="O122" s="405"/>
      <c r="P122" s="408"/>
      <c r="Q122" s="414"/>
      <c r="R122" s="124">
        <v>2</v>
      </c>
      <c r="T122" s="123" t="str">
        <f t="shared" si="113"/>
        <v/>
      </c>
      <c r="U122" s="125"/>
      <c r="V122" s="125"/>
      <c r="W122" s="126" t="str">
        <f t="shared" si="114"/>
        <v/>
      </c>
      <c r="X122" s="125"/>
      <c r="Y122" s="125"/>
      <c r="Z122" s="125"/>
      <c r="AA122" s="108" t="str">
        <f>IFERROR(IF(T122="Probabilidad",(AA121-(+AA121*W122)),IF(T122="Impacto",L122,"")),"")</f>
        <v/>
      </c>
      <c r="AB122" s="118" t="str">
        <f t="shared" si="115"/>
        <v/>
      </c>
      <c r="AC122" s="119" t="str">
        <f t="shared" si="116"/>
        <v/>
      </c>
      <c r="AD122" s="118" t="str">
        <f t="shared" si="117"/>
        <v/>
      </c>
      <c r="AE122" s="119" t="str">
        <f t="shared" si="118"/>
        <v/>
      </c>
      <c r="AF122" s="120" t="str">
        <f t="shared" si="119"/>
        <v/>
      </c>
      <c r="AG122" s="121" t="s">
        <v>122</v>
      </c>
      <c r="AH122" s="79" t="s">
        <v>454</v>
      </c>
      <c r="AI122" s="92" t="s">
        <v>204</v>
      </c>
      <c r="AJ122" s="103" t="s">
        <v>205</v>
      </c>
      <c r="AK122" s="103" t="s">
        <v>206</v>
      </c>
      <c r="AL122" s="122"/>
      <c r="AM122" s="116"/>
      <c r="AO122" s="206"/>
      <c r="AP122" s="206"/>
      <c r="AQ122" s="206"/>
      <c r="AR122" s="238" t="s">
        <v>637</v>
      </c>
      <c r="AS122" s="206" t="s">
        <v>635</v>
      </c>
      <c r="AT122" s="209">
        <v>1</v>
      </c>
      <c r="AU122" s="206"/>
      <c r="AV122" s="207" t="s">
        <v>582</v>
      </c>
      <c r="AW122" s="236" t="s">
        <v>583</v>
      </c>
      <c r="AX122" s="236" t="s">
        <v>583</v>
      </c>
      <c r="AY122" s="236" t="s">
        <v>583</v>
      </c>
      <c r="AZ122" s="230" t="s">
        <v>593</v>
      </c>
    </row>
    <row r="123" spans="1:52" s="115" customFormat="1" ht="151.5" customHeight="1" x14ac:dyDescent="0.25">
      <c r="A123" s="425"/>
      <c r="B123" s="418"/>
      <c r="C123" s="430"/>
      <c r="D123" s="427"/>
      <c r="E123" s="423"/>
      <c r="F123" s="433"/>
      <c r="G123" s="433"/>
      <c r="H123" s="420"/>
      <c r="I123" s="423"/>
      <c r="J123" s="402"/>
      <c r="K123" s="406"/>
      <c r="L123" s="409"/>
      <c r="M123" s="411"/>
      <c r="N123" s="186"/>
      <c r="O123" s="406"/>
      <c r="P123" s="409"/>
      <c r="Q123" s="415"/>
      <c r="R123" s="124">
        <v>3</v>
      </c>
      <c r="S123" s="122"/>
      <c r="T123" s="123" t="str">
        <f t="shared" si="113"/>
        <v/>
      </c>
      <c r="U123" s="125"/>
      <c r="V123" s="125"/>
      <c r="W123" s="126"/>
      <c r="X123" s="125"/>
      <c r="Y123" s="125"/>
      <c r="Z123" s="125"/>
      <c r="AA123" s="108" t="str">
        <f>IFERROR(IF(T123="Probabilidad",(AA122-(+AA122*W123)),IF(T123="Impacto",L123,"")),"")</f>
        <v/>
      </c>
      <c r="AB123" s="118" t="str">
        <f t="shared" si="115"/>
        <v/>
      </c>
      <c r="AC123" s="119" t="str">
        <f t="shared" si="116"/>
        <v/>
      </c>
      <c r="AD123" s="118" t="str">
        <f t="shared" si="117"/>
        <v/>
      </c>
      <c r="AE123" s="119" t="str">
        <f t="shared" si="118"/>
        <v/>
      </c>
      <c r="AF123" s="120" t="str">
        <f t="shared" si="119"/>
        <v/>
      </c>
      <c r="AG123" s="121"/>
      <c r="AH123" s="122"/>
      <c r="AI123" s="116"/>
      <c r="AJ123" s="117"/>
      <c r="AK123" s="117"/>
      <c r="AL123" s="122"/>
      <c r="AM123" s="116"/>
      <c r="AO123" s="206"/>
      <c r="AP123" s="206"/>
      <c r="AQ123" s="206"/>
      <c r="AR123" s="206"/>
      <c r="AS123" s="206"/>
      <c r="AT123" s="206"/>
      <c r="AU123" s="206"/>
      <c r="AV123" s="206"/>
      <c r="AW123" s="206"/>
      <c r="AX123" s="206"/>
      <c r="AY123" s="206"/>
      <c r="AZ123" s="206"/>
    </row>
    <row r="124" spans="1:52" s="115" customFormat="1" ht="151.5" customHeight="1" x14ac:dyDescent="0.25">
      <c r="A124" s="425">
        <f>1+A121</f>
        <v>39</v>
      </c>
      <c r="B124" s="416" t="s">
        <v>216</v>
      </c>
      <c r="C124" s="429" t="s">
        <v>408</v>
      </c>
      <c r="D124" s="429" t="s">
        <v>217</v>
      </c>
      <c r="E124" s="422" t="s">
        <v>120</v>
      </c>
      <c r="F124" s="450" t="s">
        <v>467</v>
      </c>
      <c r="G124" s="450" t="s">
        <v>468</v>
      </c>
      <c r="H124" s="432" t="s">
        <v>466</v>
      </c>
      <c r="I124" s="422" t="s">
        <v>218</v>
      </c>
      <c r="J124" s="401">
        <v>150</v>
      </c>
      <c r="K124" s="404" t="str">
        <f>IF(J124&lt;=0,"",IF(J124&lt;=2,"Muy Baja",IF(J124&lt;=24,"Baja",IF(J124&lt;=500,"Media",IF(J124&lt;=5000,"Alta","Muy Alta")))))</f>
        <v>Media</v>
      </c>
      <c r="L124" s="407">
        <f>IF(K124="","",IF(K124="Muy Baja",0.2,IF(K124="Baja",0.4,IF(K124="Media",0.6,IF(K124="Alta",0.8,IF(K124="Muy Alta",1,))))))</f>
        <v>0.6</v>
      </c>
      <c r="M124" s="410" t="s">
        <v>257</v>
      </c>
      <c r="N124" s="185" t="str">
        <f ca="1">IF(NOT(ISERROR(MATCH(M124,'Tabla Impacto'!$B$221:$B$223,0))),'Tabla Impacto'!$F$223&amp;"Por favor no seleccionar los criterios de impacto(Afectación Económica o presupuestal y Pérdida Reputacional)",M124)</f>
        <v xml:space="preserve"> El riesgo afecta la imagen de la entidad con efecto publicitario sostenido a nivel de sector administrativo, nivel departamental o municipal</v>
      </c>
      <c r="O124" s="404" t="str">
        <f ca="1">IF(OR(N124='Tabla Impacto'!$C$11,N124='Tabla Impacto'!$D$11),"Leve",IF(OR(N124='Tabla Impacto'!$C$12,N124='Tabla Impacto'!$D$12),"Menor",IF(OR(N124='Tabla Impacto'!$C$13,N124='Tabla Impacto'!$D$13),"Moderado",IF(OR(N124='Tabla Impacto'!$C$14,N124='Tabla Impacto'!$D$14),"Mayor",IF(OR(N124='Tabla Impacto'!$C$15,N124='Tabla Impacto'!$D$15),"Catastrófico","")))))</f>
        <v>Mayor</v>
      </c>
      <c r="P124" s="407">
        <f ca="1">IF(O124="","",IF(O124="Leve",0.2,IF(O124="Menor",0.4,IF(O124="Moderado",0.6,IF(O124="Mayor",0.8,IF(O124="Catastrófico",1,))))))</f>
        <v>0.8</v>
      </c>
      <c r="Q124" s="413" t="str">
        <f ca="1">IF(OR(AND(K124="Muy Baja",O124="Leve"),AND(K124="Muy Baja",O124="Menor"),AND(K124="Baja",O124="Leve")),"Bajo",IF(OR(AND(K124="Muy baja",O124="Moderado"),AND(K124="Baja",O124="Menor"),AND(K124="Baja",O124="Moderado"),AND(K124="Media",O124="Leve"),AND(K124="Media",O124="Menor"),AND(K124="Media",O124="Moderado"),AND(K124="Alta",O124="Leve"),AND(K124="Alta",O124="Menor")),"Moderado",IF(OR(AND(K124="Muy Baja",O124="Mayor"),AND(K124="Baja",O124="Mayor"),AND(K124="Media",O124="Mayor"),AND(K124="Alta",O124="Moderado"),AND(K124="Alta",O124="Mayor"),AND(K124="Muy Alta",O124="Leve"),AND(K124="Muy Alta",O124="Menor"),AND(K124="Muy Alta",O124="Moderado"),AND(K124="Muy Alta",O124="Mayor")),"Alto",IF(OR(AND(K124="Muy Baja",O124="Catastrófico"),AND(K124="Baja",O124="Catastrófico"),AND(K124="Media",O124="Catastrófico"),AND(K124="Alta",O124="Catastrófico"),AND(K124="Muy Alta",O124="Catastrófico")),"Extremo",""))))</f>
        <v>Alto</v>
      </c>
      <c r="R124" s="124">
        <v>1</v>
      </c>
      <c r="S124" s="79" t="s">
        <v>469</v>
      </c>
      <c r="T124" s="123" t="str">
        <f t="shared" si="113"/>
        <v>Probabilidad</v>
      </c>
      <c r="U124" s="125" t="s">
        <v>14</v>
      </c>
      <c r="V124" s="125" t="s">
        <v>9</v>
      </c>
      <c r="W124" s="126" t="str">
        <f t="shared" si="114"/>
        <v>40%</v>
      </c>
      <c r="X124" s="125" t="s">
        <v>19</v>
      </c>
      <c r="Y124" s="125" t="s">
        <v>22</v>
      </c>
      <c r="Z124" s="125" t="s">
        <v>110</v>
      </c>
      <c r="AA124" s="108">
        <f>IFERROR(IF(T124="Probabilidad",(L124-(+L124*W124)),IF(T124="Impacto",L124,"")),"")</f>
        <v>0.36</v>
      </c>
      <c r="AB124" s="118" t="str">
        <f t="shared" si="115"/>
        <v>Baja</v>
      </c>
      <c r="AC124" s="119">
        <f t="shared" si="116"/>
        <v>0.36</v>
      </c>
      <c r="AD124" s="118" t="str">
        <f t="shared" ca="1" si="117"/>
        <v>Mayor</v>
      </c>
      <c r="AE124" s="119">
        <f t="shared" ca="1" si="118"/>
        <v>0.8</v>
      </c>
      <c r="AF124" s="120" t="str">
        <f t="shared" ca="1" si="119"/>
        <v>Alto</v>
      </c>
      <c r="AG124" s="121" t="s">
        <v>122</v>
      </c>
      <c r="AH124" s="79" t="s">
        <v>471</v>
      </c>
      <c r="AI124" s="92" t="s">
        <v>448</v>
      </c>
      <c r="AJ124" s="103" t="s">
        <v>205</v>
      </c>
      <c r="AK124" s="103" t="s">
        <v>206</v>
      </c>
      <c r="AL124" s="79" t="s">
        <v>473</v>
      </c>
      <c r="AM124" s="116"/>
      <c r="AO124" s="238" t="s">
        <v>638</v>
      </c>
      <c r="AP124" s="204" t="s">
        <v>642</v>
      </c>
      <c r="AQ124" s="209">
        <v>1</v>
      </c>
      <c r="AR124" s="238" t="s">
        <v>640</v>
      </c>
      <c r="AS124" s="204" t="s">
        <v>646</v>
      </c>
      <c r="AT124" s="209">
        <v>1</v>
      </c>
      <c r="AU124" s="206"/>
      <c r="AV124" s="207" t="s">
        <v>582</v>
      </c>
      <c r="AW124" s="236" t="s">
        <v>583</v>
      </c>
      <c r="AX124" s="236" t="s">
        <v>583</v>
      </c>
      <c r="AY124" s="236" t="s">
        <v>583</v>
      </c>
      <c r="AZ124" s="230" t="s">
        <v>593</v>
      </c>
    </row>
    <row r="125" spans="1:52" s="115" customFormat="1" ht="151.5" customHeight="1" x14ac:dyDescent="0.25">
      <c r="A125" s="425"/>
      <c r="B125" s="417"/>
      <c r="C125" s="430"/>
      <c r="D125" s="427"/>
      <c r="E125" s="423"/>
      <c r="F125" s="451"/>
      <c r="G125" s="451"/>
      <c r="H125" s="433"/>
      <c r="I125" s="423"/>
      <c r="J125" s="402"/>
      <c r="K125" s="405"/>
      <c r="L125" s="408"/>
      <c r="M125" s="411"/>
      <c r="N125" s="186"/>
      <c r="O125" s="405"/>
      <c r="P125" s="408"/>
      <c r="Q125" s="414"/>
      <c r="R125" s="124">
        <v>2</v>
      </c>
      <c r="S125" s="79" t="s">
        <v>470</v>
      </c>
      <c r="T125" s="123" t="str">
        <f t="shared" si="113"/>
        <v>Probabilidad</v>
      </c>
      <c r="U125" s="125" t="s">
        <v>14</v>
      </c>
      <c r="V125" s="125" t="s">
        <v>9</v>
      </c>
      <c r="W125" s="126" t="str">
        <f t="shared" si="114"/>
        <v>40%</v>
      </c>
      <c r="X125" s="125" t="s">
        <v>19</v>
      </c>
      <c r="Y125" s="125" t="s">
        <v>22</v>
      </c>
      <c r="Z125" s="125" t="s">
        <v>110</v>
      </c>
      <c r="AA125" s="108">
        <f>IFERROR(IF(T125="Probabilidad",(AA124-(+AA124*W125)),IF(T125="Impacto",L125,"")),"")</f>
        <v>0.216</v>
      </c>
      <c r="AB125" s="118" t="str">
        <f t="shared" si="115"/>
        <v>Baja</v>
      </c>
      <c r="AC125" s="119">
        <f t="shared" si="116"/>
        <v>0.216</v>
      </c>
      <c r="AD125" s="118" t="str">
        <f t="shared" si="117"/>
        <v>Leve</v>
      </c>
      <c r="AE125" s="119">
        <f t="shared" si="118"/>
        <v>0</v>
      </c>
      <c r="AF125" s="120" t="str">
        <f t="shared" si="119"/>
        <v>Bajo</v>
      </c>
      <c r="AG125" s="121" t="s">
        <v>122</v>
      </c>
      <c r="AH125" s="79" t="s">
        <v>472</v>
      </c>
      <c r="AI125" s="116" t="s">
        <v>195</v>
      </c>
      <c r="AJ125" s="117" t="s">
        <v>205</v>
      </c>
      <c r="AK125" s="117" t="s">
        <v>206</v>
      </c>
      <c r="AL125" s="79" t="s">
        <v>474</v>
      </c>
      <c r="AM125" s="116"/>
      <c r="AO125" s="238" t="s">
        <v>639</v>
      </c>
      <c r="AP125" s="204" t="s">
        <v>642</v>
      </c>
      <c r="AQ125" s="209">
        <v>1</v>
      </c>
      <c r="AR125" s="238" t="s">
        <v>641</v>
      </c>
      <c r="AS125" s="204" t="s">
        <v>643</v>
      </c>
      <c r="AT125" s="209">
        <v>1</v>
      </c>
      <c r="AU125" s="206"/>
      <c r="AV125" s="207" t="s">
        <v>582</v>
      </c>
      <c r="AW125" s="236" t="s">
        <v>583</v>
      </c>
      <c r="AX125" s="236" t="s">
        <v>583</v>
      </c>
      <c r="AY125" s="236" t="s">
        <v>583</v>
      </c>
      <c r="AZ125" s="230" t="s">
        <v>593</v>
      </c>
    </row>
    <row r="126" spans="1:52" s="115" customFormat="1" ht="151.5" customHeight="1" x14ac:dyDescent="0.25">
      <c r="A126" s="425"/>
      <c r="B126" s="418"/>
      <c r="C126" s="430"/>
      <c r="D126" s="427"/>
      <c r="E126" s="423"/>
      <c r="F126" s="451"/>
      <c r="G126" s="451"/>
      <c r="H126" s="433"/>
      <c r="I126" s="423"/>
      <c r="J126" s="402"/>
      <c r="K126" s="406"/>
      <c r="L126" s="409"/>
      <c r="M126" s="411"/>
      <c r="N126" s="186"/>
      <c r="O126" s="406"/>
      <c r="P126" s="409"/>
      <c r="Q126" s="415"/>
      <c r="R126" s="124">
        <v>3</v>
      </c>
      <c r="S126" s="79"/>
      <c r="T126" s="123" t="str">
        <f t="shared" si="113"/>
        <v/>
      </c>
      <c r="U126" s="125"/>
      <c r="V126" s="125"/>
      <c r="W126" s="126" t="str">
        <f t="shared" si="114"/>
        <v/>
      </c>
      <c r="X126" s="125"/>
      <c r="Y126" s="125"/>
      <c r="Z126" s="125"/>
      <c r="AA126" s="108" t="str">
        <f>IFERROR(IF(T126="Probabilidad",(AA125-(+A125*W126)),IF(T126="Impacto",L126,"")),"")</f>
        <v/>
      </c>
      <c r="AB126" s="118" t="str">
        <f t="shared" si="115"/>
        <v/>
      </c>
      <c r="AC126" s="119" t="str">
        <f t="shared" si="116"/>
        <v/>
      </c>
      <c r="AD126" s="118" t="str">
        <f t="shared" si="117"/>
        <v/>
      </c>
      <c r="AE126" s="119" t="str">
        <f t="shared" si="118"/>
        <v/>
      </c>
      <c r="AF126" s="120" t="str">
        <f t="shared" si="119"/>
        <v/>
      </c>
      <c r="AG126" s="121"/>
      <c r="AH126" s="79"/>
      <c r="AI126" s="116"/>
      <c r="AJ126" s="117"/>
      <c r="AK126" s="117"/>
      <c r="AL126" s="79"/>
      <c r="AM126" s="116"/>
      <c r="AO126" s="206"/>
      <c r="AP126" s="206"/>
      <c r="AQ126" s="206"/>
      <c r="AR126" s="206"/>
      <c r="AS126" s="206"/>
      <c r="AT126" s="206"/>
      <c r="AU126" s="206"/>
      <c r="AV126" s="206"/>
      <c r="AW126" s="206"/>
      <c r="AX126" s="206"/>
      <c r="AY126" s="206"/>
      <c r="AZ126" s="206"/>
    </row>
    <row r="127" spans="1:52" s="115" customFormat="1" ht="207.95" customHeight="1" x14ac:dyDescent="0.25">
      <c r="A127" s="425">
        <f>1+A124</f>
        <v>40</v>
      </c>
      <c r="B127" s="416" t="s">
        <v>216</v>
      </c>
      <c r="C127" s="429" t="s">
        <v>408</v>
      </c>
      <c r="D127" s="429" t="s">
        <v>217</v>
      </c>
      <c r="E127" s="422" t="s">
        <v>118</v>
      </c>
      <c r="F127" s="450" t="s">
        <v>539</v>
      </c>
      <c r="G127" s="450" t="s">
        <v>540</v>
      </c>
      <c r="H127" s="432" t="s">
        <v>538</v>
      </c>
      <c r="I127" s="422" t="s">
        <v>218</v>
      </c>
      <c r="J127" s="401">
        <v>1</v>
      </c>
      <c r="K127" s="404" t="str">
        <f>IF(J127&lt;=0,"",IF(J127&lt;=2,"Muy Baja",IF(J127&lt;=24,"Baja",IF(J127&lt;=500,"Media",IF(J127&lt;=5000,"Alta","Muy Alta")))))</f>
        <v>Muy Baja</v>
      </c>
      <c r="L127" s="407">
        <f>IF(K127="","",IF(K127="Muy Baja",0.2,IF(K127="Baja",0.4,IF(K127="Media",0.6,IF(K127="Alta",0.8,IF(K127="Muy Alta",1,))))))</f>
        <v>0.2</v>
      </c>
      <c r="M127" s="410" t="s">
        <v>250</v>
      </c>
      <c r="N127" s="185" t="str">
        <f ca="1">IF(NOT(ISERROR(MATCH(M127,'Tabla Impacto'!$B$221:$B$223,0))),'Tabla Impacto'!$F$223&amp;"Por favor no seleccionar los criterios de impacto(Afectación Económica o presupuestal y Pérdida Reputacional)",M127)</f>
        <v xml:space="preserve"> El riesgo afecta la imagen de la entidad con algunos usuarios de relevancia frente al logro de los objetivos</v>
      </c>
      <c r="O127" s="404" t="str">
        <f ca="1">IF(OR(N127='Tabla Impacto'!$C$11,N127='Tabla Impacto'!$D$11),"Leve",IF(OR(N127='Tabla Impacto'!$C$12,N127='Tabla Impacto'!$D$12),"Menor",IF(OR(N127='Tabla Impacto'!$C$13,N127='Tabla Impacto'!$D$13),"Moderado",IF(OR(N127='Tabla Impacto'!$C$14,N127='Tabla Impacto'!$D$14),"Mayor",IF(OR(N127='Tabla Impacto'!$C$15,N127='Tabla Impacto'!$D$15),"Catastrófico","")))))</f>
        <v>Moderado</v>
      </c>
      <c r="P127" s="407">
        <f ca="1">IF(O127="","",IF(O127="Leve",0.2,IF(O127="Menor",0.4,IF(O127="Moderado",0.6,IF(O127="Mayor",0.8,IF(O127="Catastrófico",1,))))))</f>
        <v>0.6</v>
      </c>
      <c r="Q127" s="413" t="str">
        <f ca="1">IF(OR(AND(K127="Muy Baja",O127="Leve"),AND(K127="Muy Baja",O127="Menor"),AND(K127="Baja",O127="Leve")),"Bajo",IF(OR(AND(K127="Muy baja",O127="Moderado"),AND(K127="Baja",O127="Menor"),AND(K127="Baja",O127="Moderado"),AND(K127="Media",O127="Leve"),AND(K127="Media",O127="Menor"),AND(K127="Media",O127="Moderado"),AND(K127="Alta",O127="Leve"),AND(K127="Alta",O127="Menor")),"Moderado",IF(OR(AND(K127="Muy Baja",O127="Mayor"),AND(K127="Baja",O127="Mayor"),AND(K127="Media",O127="Mayor"),AND(K127="Alta",O127="Moderado"),AND(K127="Alta",O127="Mayor"),AND(K127="Muy Alta",O127="Leve"),AND(K127="Muy Alta",O127="Menor"),AND(K127="Muy Alta",O127="Moderado"),AND(K127="Muy Alta",O127="Mayor")),"Alto",IF(OR(AND(K127="Muy Baja",O127="Catastrófico"),AND(K127="Baja",O127="Catastrófico"),AND(K127="Media",O127="Catastrófico"),AND(K127="Alta",O127="Catastrófico"),AND(K127="Muy Alta",O127="Catastrófico")),"Extremo",""))))</f>
        <v>Moderado</v>
      </c>
      <c r="R127" s="124">
        <v>1</v>
      </c>
      <c r="S127" s="192" t="s">
        <v>541</v>
      </c>
      <c r="T127" s="123" t="str">
        <f t="shared" ref="T127:T129" si="120">IF(OR(U127="Preventivo",U127="Detectivo"),"Probabilidad",IF(U127="Correctivo","Impacto",""))</f>
        <v>Probabilidad</v>
      </c>
      <c r="U127" s="125" t="s">
        <v>15</v>
      </c>
      <c r="V127" s="125" t="s">
        <v>9</v>
      </c>
      <c r="W127" s="126" t="str">
        <f t="shared" ref="W127:W129" si="121">IF(AND(U127="Preventivo",V127="Automático"),"50%",IF(AND(U127="Preventivo",V127="Manual"),"40%",IF(AND(U127="Detectivo",V127="Automático"),"40%",IF(AND(U127="Detectivo",V127="Manual"),"30%",IF(AND(U127="Correctivo",V127="Automático"),"35%",IF(AND(U127="Correctivo",V127="Manual"),"25%",""))))))</f>
        <v>30%</v>
      </c>
      <c r="X127" s="125" t="s">
        <v>20</v>
      </c>
      <c r="Y127" s="125" t="s">
        <v>22</v>
      </c>
      <c r="Z127" s="125" t="s">
        <v>110</v>
      </c>
      <c r="AA127" s="108">
        <f>IFERROR(IF(T127="Probabilidad",(L127-(+L127*W127)),IF(T127="Impacto",L127,"")),"")</f>
        <v>0.14000000000000001</v>
      </c>
      <c r="AB127" s="118" t="str">
        <f t="shared" ref="AB127:AB129" si="122">IFERROR(IF(AA127="","",IF(AA127&lt;=0.2,"Muy Baja",IF(AA127&lt;=0.4,"Baja",IF(AA127&lt;=0.6,"Media",IF(AA127&lt;=0.8,"Alta","Muy Alta"))))),"")</f>
        <v>Muy Baja</v>
      </c>
      <c r="AC127" s="119">
        <f t="shared" ref="AC127:AC129" si="123">+AA127</f>
        <v>0.14000000000000001</v>
      </c>
      <c r="AD127" s="118" t="str">
        <f t="shared" ref="AD127:AD129" ca="1" si="124">IFERROR(IF(AE127="","",IF(AE127&lt;=0.2,"Leve",IF(AE127&lt;=0.4,"Menor",IF(AE127&lt;=0.6,"Moderado",IF(AE127&lt;=0.8,"Mayor","Catastrófico"))))),"")</f>
        <v>Moderado</v>
      </c>
      <c r="AE127" s="119">
        <f t="shared" ref="AE127:AE129" ca="1" si="125">IFERROR(IF(T127="Impacto",(P127-(+P127*W127)),IF(T127="Probabilidad",P127,"")),"")</f>
        <v>0.6</v>
      </c>
      <c r="AF127" s="120" t="str">
        <f t="shared" ref="AF127:AF129" ca="1" si="126">IFERROR(IF(OR(AND(AB127="Muy Baja",AD127="Leve"),AND(AB127="Muy Baja",AD127="Menor"),AND(AB127="Baja",AD127="Leve")),"Bajo",IF(OR(AND(AB127="Muy baja",AD127="Moderado"),AND(AB127="Baja",AD127="Menor"),AND(AB127="Baja",AD127="Moderado"),AND(AB127="Media",AD127="Leve"),AND(AB127="Media",AD127="Menor"),AND(AB127="Media",AD127="Moderado"),AND(AB127="Alta",AD127="Leve"),AND(AB127="Alta",AD127="Menor")),"Moderado",IF(OR(AND(AB127="Muy Baja",AD127="Mayor"),AND(AB127="Baja",AD127="Mayor"),AND(AB127="Media",AD127="Mayor"),AND(AB127="Alta",AD127="Moderado"),AND(AB127="Alta",AD127="Mayor"),AND(AB127="Muy Alta",AD127="Leve"),AND(AB127="Muy Alta",AD127="Menor"),AND(AB127="Muy Alta",AD127="Moderado"),AND(AB127="Muy Alta",AD127="Mayor")),"Alto",IF(OR(AND(AB127="Muy Baja",AD127="Catastrófico"),AND(AB127="Baja",AD127="Catastrófico"),AND(AB127="Media",AD127="Catastrófico"),AND(AB127="Alta",AD127="Catastrófico"),AND(AB127="Muy Alta",AD127="Catastrófico")),"Extremo","")))),"")</f>
        <v>Moderado</v>
      </c>
      <c r="AG127" s="121" t="s">
        <v>122</v>
      </c>
      <c r="AH127" s="79" t="s">
        <v>471</v>
      </c>
      <c r="AI127" s="92" t="s">
        <v>448</v>
      </c>
      <c r="AJ127" s="103" t="s">
        <v>205</v>
      </c>
      <c r="AK127" s="103" t="s">
        <v>206</v>
      </c>
      <c r="AL127" s="79" t="s">
        <v>473</v>
      </c>
      <c r="AM127" s="116"/>
      <c r="AO127" s="280" t="s">
        <v>644</v>
      </c>
      <c r="AP127" s="204" t="s">
        <v>645</v>
      </c>
      <c r="AQ127" s="209">
        <v>1</v>
      </c>
      <c r="AR127" s="238" t="s">
        <v>640</v>
      </c>
      <c r="AS127" s="204" t="s">
        <v>646</v>
      </c>
      <c r="AT127" s="209">
        <v>1</v>
      </c>
      <c r="AU127" s="206"/>
      <c r="AV127" s="207" t="s">
        <v>582</v>
      </c>
      <c r="AW127" s="236" t="s">
        <v>583</v>
      </c>
      <c r="AX127" s="236" t="s">
        <v>583</v>
      </c>
      <c r="AY127" s="236" t="s">
        <v>583</v>
      </c>
      <c r="AZ127" s="230" t="s">
        <v>593</v>
      </c>
    </row>
    <row r="128" spans="1:52" s="115" customFormat="1" ht="151.5" customHeight="1" x14ac:dyDescent="0.25">
      <c r="A128" s="425"/>
      <c r="B128" s="417"/>
      <c r="C128" s="430"/>
      <c r="D128" s="427"/>
      <c r="E128" s="423"/>
      <c r="F128" s="451"/>
      <c r="G128" s="451"/>
      <c r="H128" s="433"/>
      <c r="I128" s="423"/>
      <c r="J128" s="402"/>
      <c r="K128" s="405"/>
      <c r="L128" s="408"/>
      <c r="M128" s="411"/>
      <c r="N128" s="186"/>
      <c r="O128" s="405"/>
      <c r="P128" s="408"/>
      <c r="Q128" s="414"/>
      <c r="R128" s="124"/>
      <c r="S128" s="79"/>
      <c r="T128" s="123" t="str">
        <f t="shared" si="120"/>
        <v/>
      </c>
      <c r="U128" s="125"/>
      <c r="V128" s="125"/>
      <c r="W128" s="126" t="str">
        <f t="shared" si="121"/>
        <v/>
      </c>
      <c r="X128" s="125"/>
      <c r="Y128" s="125"/>
      <c r="Z128" s="125"/>
      <c r="AA128" s="108" t="str">
        <f>IFERROR(IF(T128="Probabilidad",(AA127-(+AA127*W128)),IF(T128="Impacto",L128,"")),"")</f>
        <v/>
      </c>
      <c r="AB128" s="118" t="str">
        <f t="shared" si="122"/>
        <v/>
      </c>
      <c r="AC128" s="119" t="str">
        <f t="shared" si="123"/>
        <v/>
      </c>
      <c r="AD128" s="118" t="str">
        <f t="shared" si="124"/>
        <v/>
      </c>
      <c r="AE128" s="119" t="str">
        <f t="shared" si="125"/>
        <v/>
      </c>
      <c r="AF128" s="120" t="str">
        <f t="shared" si="126"/>
        <v/>
      </c>
      <c r="AG128" s="121"/>
      <c r="AH128" s="79"/>
      <c r="AI128" s="116"/>
      <c r="AJ128" s="117"/>
      <c r="AK128" s="117"/>
      <c r="AL128" s="79"/>
      <c r="AM128" s="116"/>
      <c r="AO128" s="206"/>
      <c r="AP128" s="206"/>
      <c r="AQ128" s="206"/>
      <c r="AR128" s="206"/>
      <c r="AS128" s="206"/>
      <c r="AT128" s="206"/>
      <c r="AU128" s="206"/>
      <c r="AV128" s="206"/>
      <c r="AW128" s="206"/>
      <c r="AX128" s="206"/>
      <c r="AY128" s="206"/>
      <c r="AZ128" s="206"/>
    </row>
    <row r="129" spans="1:52" s="115" customFormat="1" ht="151.5" customHeight="1" x14ac:dyDescent="0.25">
      <c r="A129" s="425"/>
      <c r="B129" s="418"/>
      <c r="C129" s="430"/>
      <c r="D129" s="427"/>
      <c r="E129" s="423"/>
      <c r="F129" s="451"/>
      <c r="G129" s="451"/>
      <c r="H129" s="433"/>
      <c r="I129" s="423"/>
      <c r="J129" s="402"/>
      <c r="K129" s="406"/>
      <c r="L129" s="409"/>
      <c r="M129" s="411"/>
      <c r="N129" s="186"/>
      <c r="O129" s="406"/>
      <c r="P129" s="409"/>
      <c r="Q129" s="415"/>
      <c r="R129" s="124">
        <v>3</v>
      </c>
      <c r="S129" s="79"/>
      <c r="T129" s="123" t="str">
        <f t="shared" si="120"/>
        <v/>
      </c>
      <c r="U129" s="125"/>
      <c r="V129" s="125"/>
      <c r="W129" s="126" t="str">
        <f t="shared" si="121"/>
        <v/>
      </c>
      <c r="X129" s="125"/>
      <c r="Y129" s="125"/>
      <c r="Z129" s="125"/>
      <c r="AA129" s="108" t="str">
        <f>IFERROR(IF(T129="Probabilidad",(AA128-(+A128*W129)),IF(T129="Impacto",L129,"")),"")</f>
        <v/>
      </c>
      <c r="AB129" s="118" t="str">
        <f t="shared" si="122"/>
        <v/>
      </c>
      <c r="AC129" s="119" t="str">
        <f t="shared" si="123"/>
        <v/>
      </c>
      <c r="AD129" s="118" t="str">
        <f t="shared" si="124"/>
        <v/>
      </c>
      <c r="AE129" s="119" t="str">
        <f t="shared" si="125"/>
        <v/>
      </c>
      <c r="AF129" s="120" t="str">
        <f t="shared" si="126"/>
        <v/>
      </c>
      <c r="AG129" s="121"/>
      <c r="AH129" s="79"/>
      <c r="AI129" s="116"/>
      <c r="AJ129" s="117"/>
      <c r="AK129" s="117"/>
      <c r="AL129" s="79"/>
      <c r="AM129" s="116"/>
      <c r="AO129" s="206"/>
      <c r="AP129" s="206"/>
      <c r="AQ129" s="206"/>
      <c r="AR129" s="206"/>
      <c r="AS129" s="206"/>
      <c r="AT129" s="206"/>
      <c r="AU129" s="206"/>
      <c r="AV129" s="206"/>
      <c r="AW129" s="206"/>
      <c r="AX129" s="206"/>
      <c r="AY129" s="206"/>
      <c r="AZ129" s="206"/>
    </row>
    <row r="130" spans="1:52" s="115" customFormat="1" ht="344.25" x14ac:dyDescent="0.2">
      <c r="A130" s="425">
        <f>1+A127</f>
        <v>41</v>
      </c>
      <c r="B130" s="416" t="s">
        <v>411</v>
      </c>
      <c r="C130" s="429" t="s">
        <v>409</v>
      </c>
      <c r="D130" s="429" t="s">
        <v>410</v>
      </c>
      <c r="E130" s="422" t="s">
        <v>118</v>
      </c>
      <c r="F130" s="422" t="s">
        <v>271</v>
      </c>
      <c r="G130" s="422" t="s">
        <v>270</v>
      </c>
      <c r="H130" s="419" t="s">
        <v>265</v>
      </c>
      <c r="I130" s="422" t="s">
        <v>115</v>
      </c>
      <c r="J130" s="401">
        <v>10</v>
      </c>
      <c r="K130" s="404" t="str">
        <f>IF(J130&lt;=0,"",IF(J130&lt;=2,"Muy Baja",IF(J130&lt;=24,"Baja",IF(J130&lt;=500,"Media",IF(J130&lt;=5000,"Alta","Muy Alta")))))</f>
        <v>Baja</v>
      </c>
      <c r="L130" s="407">
        <f>IF(K130="","",IF(K130="Muy Baja",0.2,IF(K130="Baja",0.4,IF(K130="Media",0.6,IF(K130="Alta",0.8,IF(K130="Muy Alta",1,))))))</f>
        <v>0.4</v>
      </c>
      <c r="M130" s="410" t="s">
        <v>257</v>
      </c>
      <c r="N130" s="185" t="str">
        <f ca="1">IF(NOT(ISERROR(MATCH(M130,'Tabla Impacto'!$B$221:$B$223,0))),'Tabla Impacto'!$F$223&amp;"Por favor no seleccionar los criterios de impacto(Afectación Económica o presupuestal y Pérdida Reputacional)",M130)</f>
        <v xml:space="preserve"> El riesgo afecta la imagen de la entidad con efecto publicitario sostenido a nivel de sector administrativo, nivel departamental o municipal</v>
      </c>
      <c r="O130" s="404" t="str">
        <f ca="1">IF(OR(N130='Tabla Impacto'!$C$11,N130='Tabla Impacto'!$D$11),"Leve",IF(OR(N130='Tabla Impacto'!$C$12,N130='Tabla Impacto'!$D$12),"Menor",IF(OR(N130='Tabla Impacto'!$C$13,N130='Tabla Impacto'!$D$13),"Moderado",IF(OR(N130='Tabla Impacto'!$C$14,N130='Tabla Impacto'!$D$14),"Mayor",IF(OR(N130='Tabla Impacto'!$C$15,N130='Tabla Impacto'!$D$15),"Catastrófico","")))))</f>
        <v>Mayor</v>
      </c>
      <c r="P130" s="407">
        <f ca="1">IF(O130="","",IF(O130="Leve",0.2,IF(O130="Menor",0.4,IF(O130="Moderado",0.6,IF(O130="Mayor",0.8,IF(O130="Catastrófico",1,))))))</f>
        <v>0.8</v>
      </c>
      <c r="Q130" s="413" t="str">
        <f ca="1">IF(OR(AND(K130="Muy Baja",O130="Leve"),AND(K130="Muy Baja",O130="Menor"),AND(K130="Baja",O130="Leve")),"Bajo",IF(OR(AND(K130="Muy baja",O130="Moderado"),AND(K130="Baja",O130="Menor"),AND(K130="Baja",O130="Moderado"),AND(K130="Media",O130="Leve"),AND(K130="Media",O130="Menor"),AND(K130="Media",O130="Moderado"),AND(K130="Alta",O130="Leve"),AND(K130="Alta",O130="Menor")),"Moderado",IF(OR(AND(K130="Muy Baja",O130="Mayor"),AND(K130="Baja",O130="Mayor"),AND(K130="Media",O130="Mayor"),AND(K130="Alta",O130="Moderado"),AND(K130="Alta",O130="Mayor"),AND(K130="Muy Alta",O130="Leve"),AND(K130="Muy Alta",O130="Menor"),AND(K130="Muy Alta",O130="Moderado"),AND(K130="Muy Alta",O130="Mayor")),"Alto",IF(OR(AND(K130="Muy Baja",O130="Catastrófico"),AND(K130="Baja",O130="Catastrófico"),AND(K130="Media",O130="Catastrófico"),AND(K130="Alta",O130="Catastrófico"),AND(K130="Muy Alta",O130="Catastrófico")),"Extremo",""))))</f>
        <v>Alto</v>
      </c>
      <c r="R130" s="124">
        <v>1</v>
      </c>
      <c r="S130" s="122" t="s">
        <v>478</v>
      </c>
      <c r="T130" s="123" t="str">
        <f t="shared" ref="T130:T138" si="127">IF(OR(U130="Preventivo",U130="Detectivo"),"Probabilidad",IF(U130="Correctivo","Impacto",""))</f>
        <v>Probabilidad</v>
      </c>
      <c r="U130" s="125" t="s">
        <v>14</v>
      </c>
      <c r="V130" s="125" t="s">
        <v>9</v>
      </c>
      <c r="W130" s="126" t="str">
        <f t="shared" ref="W130:W138" si="128">IF(AND(U130="Preventivo",V130="Automático"),"50%",IF(AND(U130="Preventivo",V130="Manual"),"40%",IF(AND(U130="Detectivo",V130="Automático"),"40%",IF(AND(U130="Detectivo",V130="Manual"),"30%",IF(AND(U130="Correctivo",V130="Automático"),"35%",IF(AND(U130="Correctivo",V130="Manual"),"25%",""))))))</f>
        <v>40%</v>
      </c>
      <c r="X130" s="125" t="s">
        <v>19</v>
      </c>
      <c r="Y130" s="125" t="s">
        <v>22</v>
      </c>
      <c r="Z130" s="125" t="s">
        <v>110</v>
      </c>
      <c r="AA130" s="108">
        <f t="shared" ref="AA130:AA138" si="129">IFERROR(IF(T130="Probabilidad",(L130-(+L130*W130)),IF(T130="Impacto",L130,"")),"")</f>
        <v>0.24</v>
      </c>
      <c r="AB130" s="118" t="str">
        <f t="shared" ref="AB130:AB138" si="130">IFERROR(IF(AA130="","",IF(AA130&lt;=0.2,"Muy Baja",IF(AA130&lt;=0.4,"Baja",IF(AA130&lt;=0.6,"Media",IF(AA130&lt;=0.8,"Alta","Muy Alta"))))),"")</f>
        <v>Baja</v>
      </c>
      <c r="AC130" s="119">
        <f t="shared" ref="AC130:AC138" si="131">+AA130</f>
        <v>0.24</v>
      </c>
      <c r="AD130" s="118" t="str">
        <f t="shared" ref="AD130:AD138" ca="1" si="132">IFERROR(IF(AE130="","",IF(AE130&lt;=0.2,"Leve",IF(AE130&lt;=0.4,"Menor",IF(AE130&lt;=0.6,"Moderado",IF(AE130&lt;=0.8,"Mayor","Catastrófico"))))),"")</f>
        <v>Mayor</v>
      </c>
      <c r="AE130" s="119">
        <f t="shared" ref="AE130:AE138" ca="1" si="133">IFERROR(IF(T130="Impacto",(P130-(+P130*W130)),IF(T130="Probabilidad",P130,"")),"")</f>
        <v>0.8</v>
      </c>
      <c r="AF130" s="120" t="str">
        <f t="shared" ref="AF130:AF138" ca="1" si="134">IFERROR(IF(OR(AND(AB130="Muy Baja",AD130="Leve"),AND(AB130="Muy Baja",AD130="Menor"),AND(AB130="Baja",AD130="Leve")),"Bajo",IF(OR(AND(AB130="Muy baja",AD130="Moderado"),AND(AB130="Baja",AD130="Menor"),AND(AB130="Baja",AD130="Moderado"),AND(AB130="Media",AD130="Leve"),AND(AB130="Media",AD130="Menor"),AND(AB130="Media",AD130="Moderado"),AND(AB130="Alta",AD130="Leve"),AND(AB130="Alta",AD130="Menor")),"Moderado",IF(OR(AND(AB130="Muy Baja",AD130="Mayor"),AND(AB130="Baja",AD130="Mayor"),AND(AB130="Media",AD130="Mayor"),AND(AB130="Alta",AD130="Moderado"),AND(AB130="Alta",AD130="Mayor"),AND(AB130="Muy Alta",AD130="Leve"),AND(AB130="Muy Alta",AD130="Menor"),AND(AB130="Muy Alta",AD130="Moderado"),AND(AB130="Muy Alta",AD130="Mayor")),"Alto",IF(OR(AND(AB130="Muy Baja",AD130="Catastrófico"),AND(AB130="Baja",AD130="Catastrófico"),AND(AB130="Media",AD130="Catastrófico"),AND(AB130="Alta",AD130="Catastrófico"),AND(AB130="Muy Alta",AD130="Catastrófico")),"Extremo","")))),"")</f>
        <v>Alto</v>
      </c>
      <c r="AG130" s="121" t="s">
        <v>122</v>
      </c>
      <c r="AH130" s="79" t="s">
        <v>479</v>
      </c>
      <c r="AI130" s="116" t="s">
        <v>448</v>
      </c>
      <c r="AJ130" s="117" t="s">
        <v>205</v>
      </c>
      <c r="AK130" s="117" t="s">
        <v>206</v>
      </c>
      <c r="AL130" s="91" t="s">
        <v>480</v>
      </c>
      <c r="AM130" s="116"/>
      <c r="AO130" s="281" t="s">
        <v>647</v>
      </c>
      <c r="AP130" s="248" t="s">
        <v>648</v>
      </c>
      <c r="AQ130" s="247">
        <v>1</v>
      </c>
      <c r="AR130" s="248" t="s">
        <v>649</v>
      </c>
      <c r="AS130" s="245" t="s">
        <v>650</v>
      </c>
      <c r="AT130" s="249">
        <v>1</v>
      </c>
      <c r="AU130" s="245"/>
      <c r="AV130" s="250" t="s">
        <v>582</v>
      </c>
      <c r="AW130" s="248" t="s">
        <v>583</v>
      </c>
      <c r="AX130" s="248" t="s">
        <v>583</v>
      </c>
      <c r="AY130" s="245" t="s">
        <v>583</v>
      </c>
      <c r="AZ130" s="230" t="s">
        <v>593</v>
      </c>
    </row>
    <row r="131" spans="1:52" s="115" customFormat="1" ht="151.5" customHeight="1" x14ac:dyDescent="0.25">
      <c r="A131" s="425"/>
      <c r="B131" s="417"/>
      <c r="C131" s="430"/>
      <c r="D131" s="430"/>
      <c r="E131" s="423"/>
      <c r="F131" s="423"/>
      <c r="G131" s="423"/>
      <c r="H131" s="420"/>
      <c r="I131" s="423"/>
      <c r="J131" s="402"/>
      <c r="K131" s="405"/>
      <c r="L131" s="408"/>
      <c r="M131" s="411"/>
      <c r="N131" s="186"/>
      <c r="O131" s="405"/>
      <c r="P131" s="408"/>
      <c r="Q131" s="414"/>
      <c r="R131" s="124">
        <v>2</v>
      </c>
      <c r="S131" s="212"/>
      <c r="T131" s="213"/>
      <c r="U131" s="214"/>
      <c r="V131" s="214"/>
      <c r="W131" s="215"/>
      <c r="X131" s="214"/>
      <c r="Y131" s="214"/>
      <c r="Z131" s="214"/>
      <c r="AA131" s="216"/>
      <c r="AB131" s="217"/>
      <c r="AC131" s="218"/>
      <c r="AD131" s="217"/>
      <c r="AE131" s="218"/>
      <c r="AF131" s="219"/>
      <c r="AG131" s="220"/>
      <c r="AH131" s="210"/>
      <c r="AI131" s="213"/>
      <c r="AJ131" s="221"/>
      <c r="AK131" s="221"/>
      <c r="AL131" s="210"/>
      <c r="AM131" s="213"/>
      <c r="AO131" s="248"/>
      <c r="AP131" s="248"/>
      <c r="AQ131" s="247"/>
      <c r="AR131" s="248"/>
      <c r="AS131" s="245"/>
      <c r="AT131" s="249"/>
      <c r="AU131" s="245"/>
      <c r="AV131" s="250"/>
      <c r="AW131" s="248"/>
      <c r="AX131" s="248"/>
      <c r="AY131" s="245"/>
      <c r="AZ131" s="245"/>
    </row>
    <row r="132" spans="1:52" s="115" customFormat="1" ht="151.5" customHeight="1" x14ac:dyDescent="0.25">
      <c r="A132" s="425"/>
      <c r="B132" s="418"/>
      <c r="C132" s="431"/>
      <c r="D132" s="431"/>
      <c r="E132" s="424"/>
      <c r="F132" s="424"/>
      <c r="G132" s="424"/>
      <c r="H132" s="421"/>
      <c r="I132" s="424"/>
      <c r="J132" s="403"/>
      <c r="K132" s="406"/>
      <c r="L132" s="409"/>
      <c r="M132" s="412"/>
      <c r="N132" s="186"/>
      <c r="O132" s="406"/>
      <c r="P132" s="409"/>
      <c r="Q132" s="415"/>
      <c r="R132" s="124">
        <v>3</v>
      </c>
      <c r="S132" s="122"/>
      <c r="T132" s="123" t="str">
        <f t="shared" si="127"/>
        <v/>
      </c>
      <c r="U132" s="125"/>
      <c r="V132" s="125"/>
      <c r="W132" s="126" t="str">
        <f t="shared" si="128"/>
        <v/>
      </c>
      <c r="X132" s="125"/>
      <c r="Y132" s="125"/>
      <c r="Z132" s="125"/>
      <c r="AA132" s="108" t="str">
        <f t="shared" si="129"/>
        <v/>
      </c>
      <c r="AB132" s="118" t="str">
        <f t="shared" si="130"/>
        <v/>
      </c>
      <c r="AC132" s="119" t="str">
        <f t="shared" si="131"/>
        <v/>
      </c>
      <c r="AD132" s="118" t="str">
        <f t="shared" si="132"/>
        <v/>
      </c>
      <c r="AE132" s="119" t="str">
        <f t="shared" si="133"/>
        <v/>
      </c>
      <c r="AF132" s="120" t="str">
        <f t="shared" si="134"/>
        <v/>
      </c>
      <c r="AG132" s="121"/>
      <c r="AH132" s="122"/>
      <c r="AI132" s="116"/>
      <c r="AJ132" s="117"/>
      <c r="AK132" s="117"/>
      <c r="AL132" s="122"/>
      <c r="AM132" s="116"/>
      <c r="AO132" s="206"/>
      <c r="AP132" s="206"/>
      <c r="AQ132" s="206"/>
      <c r="AR132" s="206"/>
      <c r="AS132" s="206"/>
      <c r="AT132" s="206"/>
      <c r="AU132" s="206"/>
      <c r="AV132" s="206"/>
      <c r="AW132" s="206"/>
      <c r="AX132" s="206"/>
      <c r="AY132" s="206"/>
      <c r="AZ132" s="206"/>
    </row>
    <row r="133" spans="1:52" s="115" customFormat="1" ht="191.25" x14ac:dyDescent="0.25">
      <c r="A133" s="425">
        <f>1+A130</f>
        <v>42</v>
      </c>
      <c r="B133" s="416" t="s">
        <v>411</v>
      </c>
      <c r="C133" s="429" t="s">
        <v>267</v>
      </c>
      <c r="D133" s="429" t="s">
        <v>268</v>
      </c>
      <c r="E133" s="422" t="s">
        <v>118</v>
      </c>
      <c r="F133" s="422" t="s">
        <v>269</v>
      </c>
      <c r="G133" s="422" t="s">
        <v>412</v>
      </c>
      <c r="H133" s="419" t="s">
        <v>481</v>
      </c>
      <c r="I133" s="422" t="s">
        <v>218</v>
      </c>
      <c r="J133" s="401">
        <v>20</v>
      </c>
      <c r="K133" s="404" t="str">
        <f>IF(J133&lt;=0,"",IF(J133&lt;=2,"Muy Baja",IF(J133&lt;=24,"Baja",IF(J133&lt;=500,"Media",IF(J133&lt;=5000,"Alta","Muy Alta")))))</f>
        <v>Baja</v>
      </c>
      <c r="L133" s="407">
        <f>IF(K133="","",IF(K133="Muy Baja",0.2,IF(K133="Baja",0.4,IF(K133="Media",0.6,IF(K133="Alta",0.8,IF(K133="Muy Alta",1,))))))</f>
        <v>0.4</v>
      </c>
      <c r="M133" s="410" t="s">
        <v>250</v>
      </c>
      <c r="N133" s="185" t="str">
        <f ca="1">IF(NOT(ISERROR(MATCH(M133,'Tabla Impacto'!$B$221:$B$223,0))),'Tabla Impacto'!$F$223&amp;"Por favor no seleccionar los criterios de impacto(Afectación Económica o presupuestal y Pérdida Reputacional)",M133)</f>
        <v xml:space="preserve"> El riesgo afecta la imagen de la entidad con algunos usuarios de relevancia frente al logro de los objetivos</v>
      </c>
      <c r="O133" s="404" t="str">
        <f ca="1">IF(OR(N133='Tabla Impacto'!$C$11,N133='Tabla Impacto'!$D$11),"Leve",IF(OR(N133='Tabla Impacto'!$C$12,N133='Tabla Impacto'!$D$12),"Menor",IF(OR(N133='Tabla Impacto'!$C$13,N133='Tabla Impacto'!$D$13),"Moderado",IF(OR(N133='Tabla Impacto'!$C$14,N133='Tabla Impacto'!$D$14),"Mayor",IF(OR(N133='Tabla Impacto'!$C$15,N133='Tabla Impacto'!$D$15),"Catastrófico","")))))</f>
        <v>Moderado</v>
      </c>
      <c r="P133" s="407">
        <f ca="1">IF(O133="","",IF(O133="Leve",0.2,IF(O133="Menor",0.4,IF(O133="Moderado",0.6,IF(O133="Mayor",0.8,IF(O133="Catastrófico",1,))))))</f>
        <v>0.6</v>
      </c>
      <c r="Q133" s="413" t="str">
        <f ca="1">IF(OR(AND(K133="Muy Baja",O133="Leve"),AND(K133="Muy Baja",O133="Menor"),AND(K133="Baja",O133="Leve")),"Bajo",IF(OR(AND(K133="Muy baja",O133="Moderado"),AND(K133="Baja",O133="Menor"),AND(K133="Baja",O133="Moderado"),AND(K133="Media",O133="Leve"),AND(K133="Media",O133="Menor"),AND(K133="Media",O133="Moderado"),AND(K133="Alta",O133="Leve"),AND(K133="Alta",O133="Menor")),"Moderado",IF(OR(AND(K133="Muy Baja",O133="Mayor"),AND(K133="Baja",O133="Mayor"),AND(K133="Media",O133="Mayor"),AND(K133="Alta",O133="Moderado"),AND(K133="Alta",O133="Mayor"),AND(K133="Muy Alta",O133="Leve"),AND(K133="Muy Alta",O133="Menor"),AND(K133="Muy Alta",O133="Moderado"),AND(K133="Muy Alta",O133="Mayor")),"Alto",IF(OR(AND(K133="Muy Baja",O133="Catastrófico"),AND(K133="Baja",O133="Catastrófico"),AND(K133="Media",O133="Catastrófico"),AND(K133="Alta",O133="Catastrófico"),AND(K133="Muy Alta",O133="Catastrófico")),"Extremo",""))))</f>
        <v>Moderado</v>
      </c>
      <c r="R133" s="124">
        <v>1</v>
      </c>
      <c r="S133" s="122" t="s">
        <v>536</v>
      </c>
      <c r="T133" s="123" t="str">
        <f t="shared" si="127"/>
        <v>Probabilidad</v>
      </c>
      <c r="U133" s="125" t="s">
        <v>15</v>
      </c>
      <c r="V133" s="125" t="s">
        <v>9</v>
      </c>
      <c r="W133" s="126" t="str">
        <f t="shared" si="128"/>
        <v>30%</v>
      </c>
      <c r="X133" s="125" t="s">
        <v>19</v>
      </c>
      <c r="Y133" s="125" t="s">
        <v>22</v>
      </c>
      <c r="Z133" s="125" t="s">
        <v>110</v>
      </c>
      <c r="AA133" s="108">
        <f t="shared" si="129"/>
        <v>0.28000000000000003</v>
      </c>
      <c r="AB133" s="118" t="str">
        <f t="shared" si="130"/>
        <v>Baja</v>
      </c>
      <c r="AC133" s="119">
        <f t="shared" si="131"/>
        <v>0.28000000000000003</v>
      </c>
      <c r="AD133" s="118" t="str">
        <f t="shared" ca="1" si="132"/>
        <v>Moderado</v>
      </c>
      <c r="AE133" s="119">
        <f t="shared" ca="1" si="133"/>
        <v>0.6</v>
      </c>
      <c r="AF133" s="120" t="str">
        <f t="shared" ca="1" si="134"/>
        <v>Moderado</v>
      </c>
      <c r="AG133" s="121" t="s">
        <v>122</v>
      </c>
      <c r="AH133" s="122" t="s">
        <v>266</v>
      </c>
      <c r="AI133" s="116" t="s">
        <v>203</v>
      </c>
      <c r="AJ133" s="117" t="s">
        <v>205</v>
      </c>
      <c r="AK133" s="117" t="s">
        <v>206</v>
      </c>
      <c r="AL133" s="122" t="s">
        <v>537</v>
      </c>
      <c r="AM133" s="116"/>
      <c r="AO133" s="282" t="s">
        <v>763</v>
      </c>
      <c r="AP133" s="283" t="s">
        <v>651</v>
      </c>
      <c r="AQ133" s="247">
        <v>1</v>
      </c>
      <c r="AR133" s="248" t="s">
        <v>652</v>
      </c>
      <c r="AS133" s="245" t="s">
        <v>653</v>
      </c>
      <c r="AT133" s="249">
        <v>1</v>
      </c>
      <c r="AU133" s="245"/>
      <c r="AV133" s="250" t="s">
        <v>582</v>
      </c>
      <c r="AW133" s="248" t="s">
        <v>583</v>
      </c>
      <c r="AX133" s="248" t="s">
        <v>583</v>
      </c>
      <c r="AY133" s="245" t="s">
        <v>583</v>
      </c>
      <c r="AZ133" s="230" t="s">
        <v>593</v>
      </c>
    </row>
    <row r="134" spans="1:52" s="115" customFormat="1" ht="151.5" customHeight="1" x14ac:dyDescent="0.25">
      <c r="A134" s="425"/>
      <c r="B134" s="417"/>
      <c r="C134" s="430"/>
      <c r="D134" s="430"/>
      <c r="E134" s="423"/>
      <c r="F134" s="423"/>
      <c r="G134" s="423"/>
      <c r="H134" s="420"/>
      <c r="I134" s="423"/>
      <c r="J134" s="402"/>
      <c r="K134" s="405"/>
      <c r="L134" s="408"/>
      <c r="M134" s="411"/>
      <c r="N134" s="186"/>
      <c r="O134" s="405"/>
      <c r="P134" s="408"/>
      <c r="Q134" s="414"/>
      <c r="R134" s="124">
        <v>2</v>
      </c>
      <c r="S134" s="212"/>
      <c r="T134" s="213"/>
      <c r="U134" s="214"/>
      <c r="V134" s="214"/>
      <c r="W134" s="215"/>
      <c r="X134" s="214"/>
      <c r="Y134" s="214"/>
      <c r="Z134" s="214"/>
      <c r="AA134" s="216"/>
      <c r="AB134" s="217"/>
      <c r="AC134" s="218"/>
      <c r="AD134" s="217"/>
      <c r="AE134" s="218"/>
      <c r="AF134" s="219"/>
      <c r="AG134" s="220"/>
      <c r="AH134" s="212"/>
      <c r="AI134" s="213"/>
      <c r="AJ134" s="221"/>
      <c r="AK134" s="221"/>
      <c r="AL134" s="212"/>
      <c r="AM134" s="213"/>
      <c r="AO134" s="206"/>
      <c r="AP134" s="206"/>
      <c r="AQ134" s="206"/>
      <c r="AR134" s="206"/>
      <c r="AS134" s="206"/>
      <c r="AT134" s="206"/>
      <c r="AU134" s="206"/>
      <c r="AV134" s="206"/>
      <c r="AW134" s="206"/>
      <c r="AX134" s="206"/>
      <c r="AY134" s="206"/>
      <c r="AZ134" s="206"/>
    </row>
    <row r="135" spans="1:52" s="115" customFormat="1" ht="151.5" customHeight="1" x14ac:dyDescent="0.25">
      <c r="A135" s="425"/>
      <c r="B135" s="418"/>
      <c r="C135" s="431"/>
      <c r="D135" s="431"/>
      <c r="E135" s="424"/>
      <c r="F135" s="424"/>
      <c r="G135" s="424"/>
      <c r="H135" s="421"/>
      <c r="I135" s="424"/>
      <c r="J135" s="403"/>
      <c r="K135" s="406"/>
      <c r="L135" s="409"/>
      <c r="M135" s="412"/>
      <c r="N135" s="186"/>
      <c r="O135" s="406"/>
      <c r="P135" s="409"/>
      <c r="Q135" s="415"/>
      <c r="R135" s="124">
        <v>3</v>
      </c>
      <c r="S135" s="122"/>
      <c r="T135" s="123" t="str">
        <f t="shared" si="127"/>
        <v/>
      </c>
      <c r="U135" s="125"/>
      <c r="V135" s="125"/>
      <c r="W135" s="126" t="str">
        <f t="shared" si="128"/>
        <v/>
      </c>
      <c r="X135" s="125"/>
      <c r="Y135" s="125"/>
      <c r="Z135" s="125"/>
      <c r="AA135" s="108" t="str">
        <f t="shared" si="129"/>
        <v/>
      </c>
      <c r="AB135" s="118" t="str">
        <f t="shared" si="130"/>
        <v/>
      </c>
      <c r="AC135" s="119" t="str">
        <f t="shared" si="131"/>
        <v/>
      </c>
      <c r="AD135" s="118" t="str">
        <f t="shared" si="132"/>
        <v/>
      </c>
      <c r="AE135" s="119" t="str">
        <f t="shared" si="133"/>
        <v/>
      </c>
      <c r="AF135" s="120" t="str">
        <f t="shared" si="134"/>
        <v/>
      </c>
      <c r="AG135" s="121"/>
      <c r="AH135" s="122"/>
      <c r="AI135" s="116"/>
      <c r="AJ135" s="117"/>
      <c r="AK135" s="117"/>
      <c r="AL135" s="122"/>
      <c r="AM135" s="116"/>
      <c r="AO135" s="206"/>
      <c r="AP135" s="206"/>
      <c r="AQ135" s="206"/>
      <c r="AR135" s="206"/>
      <c r="AS135" s="206"/>
      <c r="AT135" s="206"/>
      <c r="AU135" s="206"/>
      <c r="AV135" s="206"/>
      <c r="AW135" s="206"/>
      <c r="AX135" s="206"/>
      <c r="AY135" s="206"/>
      <c r="AZ135" s="206"/>
    </row>
    <row r="136" spans="1:52" s="115" customFormat="1" ht="151.5" customHeight="1" x14ac:dyDescent="0.25">
      <c r="A136" s="425">
        <f>1+A133</f>
        <v>43</v>
      </c>
      <c r="B136" s="416"/>
      <c r="C136" s="426"/>
      <c r="D136" s="426"/>
      <c r="E136" s="422"/>
      <c r="F136" s="422"/>
      <c r="G136" s="422"/>
      <c r="H136" s="419"/>
      <c r="I136" s="422"/>
      <c r="J136" s="401"/>
      <c r="K136" s="404" t="str">
        <f>IF(J136&lt;=0,"",IF(J136&lt;=2,"Muy Baja",IF(J136&lt;=24,"Baja",IF(J136&lt;=500,"Media",IF(J136&lt;=5000,"Alta","Muy Alta")))))</f>
        <v/>
      </c>
      <c r="L136" s="407" t="str">
        <f>IF(K136="","",IF(K136="Muy Baja",0.2,IF(K136="Baja",0.4,IF(K136="Media",0.6,IF(K136="Alta",0.8,IF(K136="Muy Alta",1,))))))</f>
        <v/>
      </c>
      <c r="M136" s="410"/>
      <c r="N136" s="185">
        <f ca="1">IF(NOT(ISERROR(MATCH(M136,'Tabla Impacto'!$B$221:$B$223,0))),'Tabla Impacto'!$F$223&amp;"Por favor no seleccionar los criterios de impacto(Afectación Económica o presupuestal y Pérdida Reputacional)",M136)</f>
        <v>0</v>
      </c>
      <c r="O136" s="404" t="str">
        <f ca="1">IF(OR(N136='Tabla Impacto'!$C$11,N136='Tabla Impacto'!$D$11),"Leve",IF(OR(N136='Tabla Impacto'!$C$12,N136='Tabla Impacto'!$D$12),"Menor",IF(OR(N136='Tabla Impacto'!$C$13,N136='Tabla Impacto'!$D$13),"Moderado",IF(OR(N136='Tabla Impacto'!$C$14,N136='Tabla Impacto'!$D$14),"Mayor",IF(OR(N136='Tabla Impacto'!$C$15,N136='Tabla Impacto'!$D$15),"Catastrófico","")))))</f>
        <v/>
      </c>
      <c r="P136" s="407" t="str">
        <f ca="1">IF(O136="","",IF(O136="Leve",0.2,IF(O136="Menor",0.4,IF(O136="Moderado",0.6,IF(O136="Mayor",0.8,IF(O136="Catastrófico",1,))))))</f>
        <v/>
      </c>
      <c r="Q136" s="413" t="str">
        <f ca="1">IF(OR(AND(K136="Muy Baja",O136="Leve"),AND(K136="Muy Baja",O136="Menor"),AND(K136="Baja",O136="Leve")),"Bajo",IF(OR(AND(K136="Muy baja",O136="Moderado"),AND(K136="Baja",O136="Menor"),AND(K136="Baja",O136="Moderado"),AND(K136="Media",O136="Leve"),AND(K136="Media",O136="Menor"),AND(K136="Media",O136="Moderado"),AND(K136="Alta",O136="Leve"),AND(K136="Alta",O136="Menor")),"Moderado",IF(OR(AND(K136="Muy Baja",O136="Mayor"),AND(K136="Baja",O136="Mayor"),AND(K136="Media",O136="Mayor"),AND(K136="Alta",O136="Moderado"),AND(K136="Alta",O136="Mayor"),AND(K136="Muy Alta",O136="Leve"),AND(K136="Muy Alta",O136="Menor"),AND(K136="Muy Alta",O136="Moderado"),AND(K136="Muy Alta",O136="Mayor")),"Alto",IF(OR(AND(K136="Muy Baja",O136="Catastrófico"),AND(K136="Baja",O136="Catastrófico"),AND(K136="Media",O136="Catastrófico"),AND(K136="Alta",O136="Catastrófico"),AND(K136="Muy Alta",O136="Catastrófico")),"Extremo",""))))</f>
        <v/>
      </c>
      <c r="R136" s="124">
        <v>1</v>
      </c>
      <c r="S136" s="122"/>
      <c r="T136" s="123" t="str">
        <f t="shared" si="127"/>
        <v/>
      </c>
      <c r="U136" s="125"/>
      <c r="V136" s="125"/>
      <c r="W136" s="126" t="str">
        <f t="shared" si="128"/>
        <v/>
      </c>
      <c r="X136" s="125"/>
      <c r="Y136" s="125"/>
      <c r="Z136" s="125"/>
      <c r="AA136" s="108" t="str">
        <f t="shared" si="129"/>
        <v/>
      </c>
      <c r="AB136" s="118" t="str">
        <f t="shared" si="130"/>
        <v/>
      </c>
      <c r="AC136" s="119" t="str">
        <f t="shared" si="131"/>
        <v/>
      </c>
      <c r="AD136" s="118" t="str">
        <f t="shared" si="132"/>
        <v/>
      </c>
      <c r="AE136" s="119" t="str">
        <f t="shared" si="133"/>
        <v/>
      </c>
      <c r="AF136" s="120" t="str">
        <f t="shared" si="134"/>
        <v/>
      </c>
      <c r="AG136" s="121"/>
      <c r="AH136" s="122"/>
      <c r="AI136" s="116"/>
      <c r="AJ136" s="117"/>
      <c r="AK136" s="117"/>
      <c r="AL136" s="122"/>
      <c r="AM136" s="116"/>
      <c r="AO136" s="206"/>
      <c r="AP136" s="206"/>
      <c r="AQ136" s="206"/>
      <c r="AR136" s="206"/>
      <c r="AS136" s="206"/>
      <c r="AT136" s="206"/>
      <c r="AU136" s="206"/>
      <c r="AV136" s="206"/>
      <c r="AW136" s="206"/>
      <c r="AX136" s="206"/>
      <c r="AY136" s="206"/>
      <c r="AZ136" s="206"/>
    </row>
    <row r="137" spans="1:52" s="115" customFormat="1" ht="151.5" customHeight="1" x14ac:dyDescent="0.25">
      <c r="A137" s="425"/>
      <c r="B137" s="417"/>
      <c r="C137" s="427"/>
      <c r="D137" s="427"/>
      <c r="E137" s="423"/>
      <c r="F137" s="423"/>
      <c r="G137" s="423"/>
      <c r="H137" s="420"/>
      <c r="I137" s="423"/>
      <c r="J137" s="402"/>
      <c r="K137" s="405"/>
      <c r="L137" s="408"/>
      <c r="M137" s="411"/>
      <c r="N137" s="186"/>
      <c r="O137" s="405"/>
      <c r="P137" s="408"/>
      <c r="Q137" s="414"/>
      <c r="R137" s="124">
        <v>2</v>
      </c>
      <c r="S137" s="122"/>
      <c r="T137" s="123" t="str">
        <f t="shared" si="127"/>
        <v/>
      </c>
      <c r="U137" s="125"/>
      <c r="V137" s="125"/>
      <c r="W137" s="126" t="str">
        <f t="shared" si="128"/>
        <v/>
      </c>
      <c r="X137" s="125"/>
      <c r="Y137" s="125"/>
      <c r="Z137" s="125"/>
      <c r="AA137" s="108" t="str">
        <f t="shared" si="129"/>
        <v/>
      </c>
      <c r="AB137" s="118" t="str">
        <f t="shared" si="130"/>
        <v/>
      </c>
      <c r="AC137" s="119" t="str">
        <f t="shared" si="131"/>
        <v/>
      </c>
      <c r="AD137" s="118" t="str">
        <f t="shared" si="132"/>
        <v/>
      </c>
      <c r="AE137" s="119" t="str">
        <f t="shared" si="133"/>
        <v/>
      </c>
      <c r="AF137" s="120" t="str">
        <f t="shared" si="134"/>
        <v/>
      </c>
      <c r="AG137" s="121"/>
      <c r="AH137" s="122"/>
      <c r="AI137" s="116"/>
      <c r="AJ137" s="117"/>
      <c r="AK137" s="117"/>
      <c r="AL137" s="122"/>
      <c r="AM137" s="116"/>
      <c r="AO137" s="206"/>
      <c r="AP137" s="206"/>
      <c r="AQ137" s="206"/>
      <c r="AR137" s="206"/>
      <c r="AS137" s="206"/>
      <c r="AT137" s="206"/>
      <c r="AU137" s="206"/>
      <c r="AV137" s="206"/>
      <c r="AW137" s="206"/>
      <c r="AX137" s="206"/>
      <c r="AY137" s="206"/>
      <c r="AZ137" s="206"/>
    </row>
    <row r="138" spans="1:52" s="115" customFormat="1" ht="151.5" customHeight="1" x14ac:dyDescent="0.25">
      <c r="A138" s="425"/>
      <c r="B138" s="418"/>
      <c r="C138" s="428"/>
      <c r="D138" s="428"/>
      <c r="E138" s="424"/>
      <c r="F138" s="424"/>
      <c r="G138" s="424"/>
      <c r="H138" s="421"/>
      <c r="I138" s="424"/>
      <c r="J138" s="403"/>
      <c r="K138" s="406"/>
      <c r="L138" s="409"/>
      <c r="M138" s="412"/>
      <c r="N138" s="186"/>
      <c r="O138" s="406"/>
      <c r="P138" s="409"/>
      <c r="Q138" s="415"/>
      <c r="R138" s="124">
        <v>3</v>
      </c>
      <c r="S138" s="122"/>
      <c r="T138" s="123" t="str">
        <f t="shared" si="127"/>
        <v/>
      </c>
      <c r="U138" s="125"/>
      <c r="V138" s="125"/>
      <c r="W138" s="126" t="str">
        <f t="shared" si="128"/>
        <v/>
      </c>
      <c r="X138" s="125"/>
      <c r="Y138" s="125"/>
      <c r="Z138" s="125"/>
      <c r="AA138" s="108" t="str">
        <f t="shared" si="129"/>
        <v/>
      </c>
      <c r="AB138" s="118" t="str">
        <f t="shared" si="130"/>
        <v/>
      </c>
      <c r="AC138" s="119" t="str">
        <f t="shared" si="131"/>
        <v/>
      </c>
      <c r="AD138" s="118" t="str">
        <f t="shared" si="132"/>
        <v/>
      </c>
      <c r="AE138" s="119" t="str">
        <f t="shared" si="133"/>
        <v/>
      </c>
      <c r="AF138" s="120" t="str">
        <f t="shared" si="134"/>
        <v/>
      </c>
      <c r="AG138" s="121"/>
      <c r="AH138" s="122"/>
      <c r="AI138" s="116"/>
      <c r="AJ138" s="117"/>
      <c r="AK138" s="117"/>
      <c r="AL138" s="122"/>
      <c r="AM138" s="116"/>
      <c r="AO138" s="206"/>
      <c r="AP138" s="206"/>
      <c r="AQ138" s="206"/>
      <c r="AR138" s="206"/>
      <c r="AS138" s="206"/>
      <c r="AT138" s="206"/>
      <c r="AU138" s="206"/>
      <c r="AV138" s="206"/>
      <c r="AW138" s="206"/>
      <c r="AX138" s="206"/>
      <c r="AY138" s="206"/>
      <c r="AZ138" s="206"/>
    </row>
    <row r="139" spans="1:52" ht="49.5" customHeight="1" x14ac:dyDescent="0.25">
      <c r="A139" s="3"/>
      <c r="B139" s="78"/>
      <c r="C139" s="78"/>
      <c r="D139" s="78"/>
      <c r="E139" s="474" t="s">
        <v>259</v>
      </c>
      <c r="F139" s="475"/>
      <c r="G139" s="475"/>
      <c r="H139" s="475"/>
      <c r="I139" s="475"/>
      <c r="J139" s="475"/>
      <c r="K139" s="475"/>
      <c r="L139" s="475"/>
      <c r="M139" s="475"/>
      <c r="N139" s="475"/>
      <c r="O139" s="475"/>
      <c r="P139" s="475"/>
      <c r="Q139" s="475"/>
      <c r="R139" s="475"/>
      <c r="S139" s="475"/>
      <c r="T139" s="475"/>
      <c r="U139" s="475"/>
      <c r="V139" s="475"/>
      <c r="W139" s="475"/>
      <c r="X139" s="475"/>
      <c r="Y139" s="475"/>
      <c r="Z139" s="475"/>
      <c r="AA139" s="475"/>
      <c r="AB139" s="475"/>
      <c r="AC139" s="475"/>
      <c r="AD139" s="475"/>
      <c r="AE139" s="475"/>
      <c r="AF139" s="475"/>
      <c r="AG139" s="475"/>
      <c r="AH139" s="475"/>
      <c r="AI139" s="475"/>
      <c r="AJ139" s="475"/>
      <c r="AK139" s="475"/>
      <c r="AL139" s="475"/>
      <c r="AM139" s="476"/>
    </row>
    <row r="141" spans="1:52" x14ac:dyDescent="0.25">
      <c r="C141" s="2"/>
      <c r="D141" s="2"/>
      <c r="E141" s="151" t="s">
        <v>222</v>
      </c>
    </row>
    <row r="143" spans="1:52" ht="18" customHeight="1" x14ac:dyDescent="0.25">
      <c r="B143" s="190" t="s">
        <v>529</v>
      </c>
      <c r="C143" s="191" t="s">
        <v>528</v>
      </c>
      <c r="D143" s="507" t="s">
        <v>530</v>
      </c>
      <c r="E143" s="507"/>
      <c r="F143" s="507"/>
      <c r="G143" s="507"/>
      <c r="H143" s="507"/>
      <c r="I143" s="507"/>
      <c r="J143" s="507"/>
    </row>
    <row r="144" spans="1:52" ht="18" customHeight="1" x14ac:dyDescent="0.25">
      <c r="B144" s="21">
        <v>1</v>
      </c>
      <c r="C144" s="21" t="s">
        <v>565</v>
      </c>
      <c r="D144" s="400" t="s">
        <v>534</v>
      </c>
      <c r="E144" s="400"/>
      <c r="F144" s="400"/>
      <c r="G144" s="400"/>
      <c r="H144" s="400"/>
      <c r="I144" s="400"/>
      <c r="J144" s="400"/>
    </row>
    <row r="145" spans="2:10" ht="18" customHeight="1" x14ac:dyDescent="0.25">
      <c r="B145" s="21"/>
      <c r="C145" s="21"/>
      <c r="D145" s="400"/>
      <c r="E145" s="400"/>
      <c r="F145" s="400"/>
      <c r="G145" s="400"/>
      <c r="H145" s="400"/>
      <c r="I145" s="400"/>
      <c r="J145" s="400"/>
    </row>
    <row r="146" spans="2:10" ht="14.1" customHeight="1" x14ac:dyDescent="0.25">
      <c r="B146" s="21"/>
      <c r="C146" s="21"/>
      <c r="D146" s="400"/>
      <c r="E146" s="400"/>
      <c r="F146" s="400"/>
      <c r="G146" s="400"/>
      <c r="H146" s="400"/>
      <c r="I146" s="400"/>
      <c r="J146" s="400"/>
    </row>
    <row r="147" spans="2:10" x14ac:dyDescent="0.25">
      <c r="B147" s="21"/>
      <c r="C147" s="21"/>
      <c r="D147" s="400"/>
      <c r="E147" s="400"/>
      <c r="F147" s="400"/>
      <c r="G147" s="400"/>
      <c r="H147" s="400"/>
      <c r="I147" s="400"/>
      <c r="J147" s="400"/>
    </row>
    <row r="148" spans="2:10" x14ac:dyDescent="0.25">
      <c r="B148" s="21"/>
      <c r="C148" s="21"/>
      <c r="D148" s="400"/>
      <c r="E148" s="400"/>
      <c r="F148" s="400"/>
      <c r="G148" s="400"/>
      <c r="H148" s="400"/>
      <c r="I148" s="400"/>
      <c r="J148" s="400"/>
    </row>
    <row r="149" spans="2:10" x14ac:dyDescent="0.25">
      <c r="B149" s="21"/>
      <c r="C149" s="21"/>
      <c r="D149" s="400"/>
      <c r="E149" s="400"/>
      <c r="F149" s="400"/>
      <c r="G149" s="400"/>
      <c r="H149" s="400"/>
      <c r="I149" s="400"/>
      <c r="J149" s="400"/>
    </row>
    <row r="150" spans="2:10" x14ac:dyDescent="0.25">
      <c r="B150" s="21"/>
      <c r="C150" s="21"/>
      <c r="D150" s="21"/>
      <c r="E150" s="21"/>
      <c r="F150" s="21"/>
      <c r="G150" s="21"/>
      <c r="H150" s="21"/>
      <c r="I150" s="21"/>
      <c r="J150" s="21"/>
    </row>
    <row r="151" spans="2:10" x14ac:dyDescent="0.25">
      <c r="B151" s="21"/>
      <c r="C151" s="21"/>
      <c r="D151" s="21"/>
      <c r="E151" s="21"/>
      <c r="F151" s="21"/>
      <c r="G151" s="21"/>
      <c r="H151" s="21"/>
      <c r="I151" s="21"/>
      <c r="J151" s="21"/>
    </row>
  </sheetData>
  <autoFilter ref="A6:CP139">
    <filterColumn colId="1">
      <filters>
        <filter val="Evaluación y Seguimiento"/>
      </filters>
    </filterColumn>
  </autoFilter>
  <dataConsolidate/>
  <mergeCells count="800">
    <mergeCell ref="AW115:AY115"/>
    <mergeCell ref="AP109:AP110"/>
    <mergeCell ref="AR73:AR74"/>
    <mergeCell ref="AS73:AS74"/>
    <mergeCell ref="AT73:AT74"/>
    <mergeCell ref="AU73:AU74"/>
    <mergeCell ref="AV73:AV74"/>
    <mergeCell ref="AW73:AW74"/>
    <mergeCell ref="AX73:AX74"/>
    <mergeCell ref="AY73:AY74"/>
    <mergeCell ref="AZ73:AZ74"/>
    <mergeCell ref="AX67:AX69"/>
    <mergeCell ref="AY67:AY69"/>
    <mergeCell ref="AZ67:AZ69"/>
    <mergeCell ref="AR70:AR71"/>
    <mergeCell ref="AS70:AS71"/>
    <mergeCell ref="AT70:AT71"/>
    <mergeCell ref="AU70:AU71"/>
    <mergeCell ref="AV70:AV71"/>
    <mergeCell ref="AW70:AW71"/>
    <mergeCell ref="AX70:AX71"/>
    <mergeCell ref="AY70:AY71"/>
    <mergeCell ref="AZ70:AZ71"/>
    <mergeCell ref="AO67:AO69"/>
    <mergeCell ref="AP67:AP69"/>
    <mergeCell ref="AQ67:AQ69"/>
    <mergeCell ref="AR67:AR69"/>
    <mergeCell ref="AS67:AS69"/>
    <mergeCell ref="AT67:AT69"/>
    <mergeCell ref="AU67:AU69"/>
    <mergeCell ref="AV67:AV69"/>
    <mergeCell ref="AW67:AW69"/>
    <mergeCell ref="AX64:AX65"/>
    <mergeCell ref="AY64:AY65"/>
    <mergeCell ref="AZ64:AZ65"/>
    <mergeCell ref="AO64:AO65"/>
    <mergeCell ref="AP64:AP65"/>
    <mergeCell ref="AQ64:AQ65"/>
    <mergeCell ref="AR64:AR65"/>
    <mergeCell ref="AS64:AS65"/>
    <mergeCell ref="AT64:AT65"/>
    <mergeCell ref="AU64:AU65"/>
    <mergeCell ref="AV64:AV65"/>
    <mergeCell ref="AW64:AW65"/>
    <mergeCell ref="J127:J129"/>
    <mergeCell ref="K127:K129"/>
    <mergeCell ref="L127:L129"/>
    <mergeCell ref="M127:M129"/>
    <mergeCell ref="O127:O129"/>
    <mergeCell ref="P127:P129"/>
    <mergeCell ref="Q127:Q129"/>
    <mergeCell ref="A127:A129"/>
    <mergeCell ref="B127:B129"/>
    <mergeCell ref="C127:C129"/>
    <mergeCell ref="D127:D129"/>
    <mergeCell ref="E127:E129"/>
    <mergeCell ref="F127:F129"/>
    <mergeCell ref="G127:G129"/>
    <mergeCell ref="H127:H129"/>
    <mergeCell ref="I127:I129"/>
    <mergeCell ref="D144:J144"/>
    <mergeCell ref="D147:J147"/>
    <mergeCell ref="D148:J148"/>
    <mergeCell ref="D149:J149"/>
    <mergeCell ref="D143:J143"/>
    <mergeCell ref="D146:J146"/>
    <mergeCell ref="Q91:Q93"/>
    <mergeCell ref="K34:K36"/>
    <mergeCell ref="L34:L36"/>
    <mergeCell ref="Q37:Q40"/>
    <mergeCell ref="P37:P40"/>
    <mergeCell ref="M34:M36"/>
    <mergeCell ref="O34:O36"/>
    <mergeCell ref="P34:P36"/>
    <mergeCell ref="Q34:Q36"/>
    <mergeCell ref="J44:J48"/>
    <mergeCell ref="K44:K48"/>
    <mergeCell ref="L44:L48"/>
    <mergeCell ref="M44:M48"/>
    <mergeCell ref="O44:O48"/>
    <mergeCell ref="P44:P48"/>
    <mergeCell ref="Q44:Q48"/>
    <mergeCell ref="O76:O78"/>
    <mergeCell ref="P76:P78"/>
    <mergeCell ref="G34:G36"/>
    <mergeCell ref="H34:H36"/>
    <mergeCell ref="I34:I36"/>
    <mergeCell ref="A103:A105"/>
    <mergeCell ref="B103:B105"/>
    <mergeCell ref="C103:C105"/>
    <mergeCell ref="D103:D105"/>
    <mergeCell ref="E103:E105"/>
    <mergeCell ref="F103:F105"/>
    <mergeCell ref="G103:G105"/>
    <mergeCell ref="H103:H105"/>
    <mergeCell ref="I103:I105"/>
    <mergeCell ref="A44:A48"/>
    <mergeCell ref="B44:B48"/>
    <mergeCell ref="C44:C48"/>
    <mergeCell ref="D44:D48"/>
    <mergeCell ref="E44:E48"/>
    <mergeCell ref="F44:F48"/>
    <mergeCell ref="G44:G48"/>
    <mergeCell ref="H44:H48"/>
    <mergeCell ref="I44:I48"/>
    <mergeCell ref="A49:A51"/>
    <mergeCell ref="B49:B51"/>
    <mergeCell ref="C49:C51"/>
    <mergeCell ref="J34:J36"/>
    <mergeCell ref="A25:A27"/>
    <mergeCell ref="B16:B18"/>
    <mergeCell ref="C16:C18"/>
    <mergeCell ref="D16:D18"/>
    <mergeCell ref="E16:E18"/>
    <mergeCell ref="F16:F18"/>
    <mergeCell ref="G16:G18"/>
    <mergeCell ref="H16:H18"/>
    <mergeCell ref="B31:B33"/>
    <mergeCell ref="A31:A33"/>
    <mergeCell ref="J28:J30"/>
    <mergeCell ref="A34:A36"/>
    <mergeCell ref="B34:B36"/>
    <mergeCell ref="C34:C36"/>
    <mergeCell ref="D34:D36"/>
    <mergeCell ref="E34:E36"/>
    <mergeCell ref="F34:F36"/>
    <mergeCell ref="E19:E21"/>
    <mergeCell ref="F19:F21"/>
    <mergeCell ref="G19:G21"/>
    <mergeCell ref="H28:H30"/>
    <mergeCell ref="I28:I30"/>
    <mergeCell ref="I19:I21"/>
    <mergeCell ref="M16:M18"/>
    <mergeCell ref="O16:O18"/>
    <mergeCell ref="I16:I18"/>
    <mergeCell ref="A22:A24"/>
    <mergeCell ref="B22:B24"/>
    <mergeCell ref="C22:C24"/>
    <mergeCell ref="D22:D24"/>
    <mergeCell ref="E22:E24"/>
    <mergeCell ref="F22:F24"/>
    <mergeCell ref="G22:G24"/>
    <mergeCell ref="H22:H24"/>
    <mergeCell ref="I22:I24"/>
    <mergeCell ref="J22:J24"/>
    <mergeCell ref="K22:K24"/>
    <mergeCell ref="L22:L24"/>
    <mergeCell ref="M22:M24"/>
    <mergeCell ref="O22:O24"/>
    <mergeCell ref="A19:A21"/>
    <mergeCell ref="B19:B21"/>
    <mergeCell ref="C19:C21"/>
    <mergeCell ref="D19:D21"/>
    <mergeCell ref="K19:K21"/>
    <mergeCell ref="L19:L21"/>
    <mergeCell ref="J19:J21"/>
    <mergeCell ref="O91:O93"/>
    <mergeCell ref="P91:P93"/>
    <mergeCell ref="H91:H93"/>
    <mergeCell ref="I91:I93"/>
    <mergeCell ref="P22:P24"/>
    <mergeCell ref="Q22:Q24"/>
    <mergeCell ref="M19:M21"/>
    <mergeCell ref="O19:O21"/>
    <mergeCell ref="P19:P21"/>
    <mergeCell ref="P28:P30"/>
    <mergeCell ref="Q28:Q30"/>
    <mergeCell ref="P31:P33"/>
    <mergeCell ref="O31:O33"/>
    <mergeCell ref="Q31:Q33"/>
    <mergeCell ref="Q19:Q21"/>
    <mergeCell ref="M25:M27"/>
    <mergeCell ref="O25:O27"/>
    <mergeCell ref="P25:P27"/>
    <mergeCell ref="Q25:Q27"/>
    <mergeCell ref="M28:M30"/>
    <mergeCell ref="O28:O30"/>
    <mergeCell ref="M31:M33"/>
    <mergeCell ref="H19:H21"/>
    <mergeCell ref="J37:J40"/>
    <mergeCell ref="B5:B6"/>
    <mergeCell ref="C5:C6"/>
    <mergeCell ref="D5:D6"/>
    <mergeCell ref="AD5:AD6"/>
    <mergeCell ref="AB5:AB6"/>
    <mergeCell ref="AC5:AC6"/>
    <mergeCell ref="J5:J6"/>
    <mergeCell ref="K5:K6"/>
    <mergeCell ref="L5:L6"/>
    <mergeCell ref="O5:O6"/>
    <mergeCell ref="P5:P6"/>
    <mergeCell ref="E5:E6"/>
    <mergeCell ref="Q5:Q6"/>
    <mergeCell ref="M5:M6"/>
    <mergeCell ref="N5:N6"/>
    <mergeCell ref="T5:T6"/>
    <mergeCell ref="A1:AM2"/>
    <mergeCell ref="A4:J4"/>
    <mergeCell ref="K4:Q4"/>
    <mergeCell ref="R4:Z4"/>
    <mergeCell ref="AA4:AG4"/>
    <mergeCell ref="AH4:AM4"/>
    <mergeCell ref="R5:R6"/>
    <mergeCell ref="AF5:AF6"/>
    <mergeCell ref="AE5:AE6"/>
    <mergeCell ref="AA5:AA6"/>
    <mergeCell ref="S5:S6"/>
    <mergeCell ref="A5:A6"/>
    <mergeCell ref="I5:I6"/>
    <mergeCell ref="H5:H6"/>
    <mergeCell ref="G5:G6"/>
    <mergeCell ref="F5:F6"/>
    <mergeCell ref="U5:Z5"/>
    <mergeCell ref="AH5:AH6"/>
    <mergeCell ref="AM5:AM6"/>
    <mergeCell ref="AL5:AL6"/>
    <mergeCell ref="AK5:AK6"/>
    <mergeCell ref="AJ5:AJ6"/>
    <mergeCell ref="AI5:AI6"/>
    <mergeCell ref="AG5:AG6"/>
    <mergeCell ref="G7:G9"/>
    <mergeCell ref="H7:H9"/>
    <mergeCell ref="I7:I9"/>
    <mergeCell ref="J7:J9"/>
    <mergeCell ref="A7:A9"/>
    <mergeCell ref="B7:B9"/>
    <mergeCell ref="C7:C9"/>
    <mergeCell ref="D7:D9"/>
    <mergeCell ref="E139:AM139"/>
    <mergeCell ref="D76:D78"/>
    <mergeCell ref="E76:E78"/>
    <mergeCell ref="F76:F78"/>
    <mergeCell ref="G76:G78"/>
    <mergeCell ref="H76:H78"/>
    <mergeCell ref="I76:I78"/>
    <mergeCell ref="K76:K78"/>
    <mergeCell ref="L76:L78"/>
    <mergeCell ref="M76:M78"/>
    <mergeCell ref="O85:O87"/>
    <mergeCell ref="P85:P87"/>
    <mergeCell ref="F88:F90"/>
    <mergeCell ref="E88:E90"/>
    <mergeCell ref="D88:D90"/>
    <mergeCell ref="C88:C90"/>
    <mergeCell ref="K16:K18"/>
    <mergeCell ref="L16:L18"/>
    <mergeCell ref="Q7:Q9"/>
    <mergeCell ref="E7:E9"/>
    <mergeCell ref="A13:A15"/>
    <mergeCell ref="B13:B15"/>
    <mergeCell ref="C13:C15"/>
    <mergeCell ref="D13:D15"/>
    <mergeCell ref="E13:E15"/>
    <mergeCell ref="F13:F15"/>
    <mergeCell ref="G13:G15"/>
    <mergeCell ref="H13:H15"/>
    <mergeCell ref="I13:I15"/>
    <mergeCell ref="J13:J15"/>
    <mergeCell ref="K13:K15"/>
    <mergeCell ref="L13:L15"/>
    <mergeCell ref="M13:M15"/>
    <mergeCell ref="O13:O15"/>
    <mergeCell ref="K7:K9"/>
    <mergeCell ref="L7:L9"/>
    <mergeCell ref="M7:M9"/>
    <mergeCell ref="O7:O9"/>
    <mergeCell ref="P7:P9"/>
    <mergeCell ref="F7:F9"/>
    <mergeCell ref="K25:K27"/>
    <mergeCell ref="L25:L27"/>
    <mergeCell ref="P16:P18"/>
    <mergeCell ref="Q16:Q18"/>
    <mergeCell ref="J16:J18"/>
    <mergeCell ref="A16:A18"/>
    <mergeCell ref="Q13:Q15"/>
    <mergeCell ref="G10:G12"/>
    <mergeCell ref="H10:H12"/>
    <mergeCell ref="I10:I12"/>
    <mergeCell ref="J10:J12"/>
    <mergeCell ref="K10:K12"/>
    <mergeCell ref="L10:L12"/>
    <mergeCell ref="M10:M12"/>
    <mergeCell ref="O10:O12"/>
    <mergeCell ref="P13:P15"/>
    <mergeCell ref="P10:P12"/>
    <mergeCell ref="Q10:Q12"/>
    <mergeCell ref="A10:A12"/>
    <mergeCell ref="B10:B12"/>
    <mergeCell ref="C10:C12"/>
    <mergeCell ref="D10:D12"/>
    <mergeCell ref="E10:E12"/>
    <mergeCell ref="F10:F12"/>
    <mergeCell ref="B25:B27"/>
    <mergeCell ref="C25:C27"/>
    <mergeCell ref="D25:D27"/>
    <mergeCell ref="E25:E27"/>
    <mergeCell ref="F25:F27"/>
    <mergeCell ref="G25:G27"/>
    <mergeCell ref="H25:H27"/>
    <mergeCell ref="I25:I27"/>
    <mergeCell ref="J25:J27"/>
    <mergeCell ref="L31:L33"/>
    <mergeCell ref="K31:K33"/>
    <mergeCell ref="J31:J33"/>
    <mergeCell ref="A28:A30"/>
    <mergeCell ref="B28:B30"/>
    <mergeCell ref="C28:C30"/>
    <mergeCell ref="D28:D30"/>
    <mergeCell ref="E28:E30"/>
    <mergeCell ref="F28:F30"/>
    <mergeCell ref="G28:G30"/>
    <mergeCell ref="H31:H33"/>
    <mergeCell ref="G31:G33"/>
    <mergeCell ref="F31:F33"/>
    <mergeCell ref="E31:E33"/>
    <mergeCell ref="D31:D33"/>
    <mergeCell ref="I31:I33"/>
    <mergeCell ref="K28:K30"/>
    <mergeCell ref="L28:L30"/>
    <mergeCell ref="C31:C33"/>
    <mergeCell ref="O37:O40"/>
    <mergeCell ref="M37:M40"/>
    <mergeCell ref="A41:A43"/>
    <mergeCell ref="B41:B43"/>
    <mergeCell ref="C41:C43"/>
    <mergeCell ref="D41:D43"/>
    <mergeCell ref="E41:E43"/>
    <mergeCell ref="G37:G40"/>
    <mergeCell ref="F37:F40"/>
    <mergeCell ref="E37:E40"/>
    <mergeCell ref="D37:D40"/>
    <mergeCell ref="C37:C40"/>
    <mergeCell ref="A37:A40"/>
    <mergeCell ref="B37:B40"/>
    <mergeCell ref="L37:L40"/>
    <mergeCell ref="K37:K40"/>
    <mergeCell ref="I37:I40"/>
    <mergeCell ref="H37:H40"/>
    <mergeCell ref="Q41:Q43"/>
    <mergeCell ref="K41:K43"/>
    <mergeCell ref="L41:L43"/>
    <mergeCell ref="M41:M43"/>
    <mergeCell ref="O41:O43"/>
    <mergeCell ref="P41:P43"/>
    <mergeCell ref="F41:F43"/>
    <mergeCell ref="G41:G43"/>
    <mergeCell ref="H41:H43"/>
    <mergeCell ref="I41:I43"/>
    <mergeCell ref="J41:J43"/>
    <mergeCell ref="D49:D51"/>
    <mergeCell ref="E49:E51"/>
    <mergeCell ref="F49:F51"/>
    <mergeCell ref="G49:G51"/>
    <mergeCell ref="H49:H51"/>
    <mergeCell ref="I49:I51"/>
    <mergeCell ref="I52:I54"/>
    <mergeCell ref="J49:J51"/>
    <mergeCell ref="K49:K51"/>
    <mergeCell ref="L49:L51"/>
    <mergeCell ref="M49:M51"/>
    <mergeCell ref="O49:O51"/>
    <mergeCell ref="P49:P51"/>
    <mergeCell ref="Q49:Q51"/>
    <mergeCell ref="J52:J54"/>
    <mergeCell ref="K52:K54"/>
    <mergeCell ref="L52:L54"/>
    <mergeCell ref="M52:M54"/>
    <mergeCell ref="O52:O54"/>
    <mergeCell ref="P52:P54"/>
    <mergeCell ref="Q52:Q54"/>
    <mergeCell ref="A52:A54"/>
    <mergeCell ref="A58:A60"/>
    <mergeCell ref="B58:B60"/>
    <mergeCell ref="C58:C60"/>
    <mergeCell ref="D58:D60"/>
    <mergeCell ref="E58:E60"/>
    <mergeCell ref="F58:F60"/>
    <mergeCell ref="G58:G60"/>
    <mergeCell ref="H58:H60"/>
    <mergeCell ref="B55:B57"/>
    <mergeCell ref="A55:A57"/>
    <mergeCell ref="C55:C57"/>
    <mergeCell ref="D55:D57"/>
    <mergeCell ref="E55:E57"/>
    <mergeCell ref="F55:F57"/>
    <mergeCell ref="G55:G57"/>
    <mergeCell ref="H55:H57"/>
    <mergeCell ref="B52:B54"/>
    <mergeCell ref="C52:C54"/>
    <mergeCell ref="D52:D54"/>
    <mergeCell ref="E52:E54"/>
    <mergeCell ref="F52:F54"/>
    <mergeCell ref="G52:G54"/>
    <mergeCell ref="H52:H54"/>
    <mergeCell ref="Q64:Q66"/>
    <mergeCell ref="I61:I63"/>
    <mergeCell ref="J55:J57"/>
    <mergeCell ref="K55:K57"/>
    <mergeCell ref="L55:L57"/>
    <mergeCell ref="M55:M57"/>
    <mergeCell ref="O55:O57"/>
    <mergeCell ref="P55:P57"/>
    <mergeCell ref="Q55:Q57"/>
    <mergeCell ref="I58:I60"/>
    <mergeCell ref="I55:I57"/>
    <mergeCell ref="I64:I66"/>
    <mergeCell ref="J64:J66"/>
    <mergeCell ref="K64:K66"/>
    <mergeCell ref="L64:L66"/>
    <mergeCell ref="K61:K63"/>
    <mergeCell ref="J61:J63"/>
    <mergeCell ref="O64:O66"/>
    <mergeCell ref="M64:M66"/>
    <mergeCell ref="A70:A72"/>
    <mergeCell ref="A67:A69"/>
    <mergeCell ref="B67:B69"/>
    <mergeCell ref="C67:C69"/>
    <mergeCell ref="B70:B72"/>
    <mergeCell ref="C70:C72"/>
    <mergeCell ref="P58:P60"/>
    <mergeCell ref="Q58:Q60"/>
    <mergeCell ref="Q61:Q63"/>
    <mergeCell ref="P61:P63"/>
    <mergeCell ref="O61:O63"/>
    <mergeCell ref="D64:D66"/>
    <mergeCell ref="E64:E66"/>
    <mergeCell ref="F64:F66"/>
    <mergeCell ref="G64:G66"/>
    <mergeCell ref="H64:H66"/>
    <mergeCell ref="J58:J60"/>
    <mergeCell ref="K58:K60"/>
    <mergeCell ref="L58:L60"/>
    <mergeCell ref="M58:M60"/>
    <mergeCell ref="O58:O60"/>
    <mergeCell ref="M61:M63"/>
    <mergeCell ref="L61:L63"/>
    <mergeCell ref="P64:P66"/>
    <mergeCell ref="A61:A63"/>
    <mergeCell ref="A64:A66"/>
    <mergeCell ref="B64:B66"/>
    <mergeCell ref="C64:C66"/>
    <mergeCell ref="H61:H63"/>
    <mergeCell ref="G61:G63"/>
    <mergeCell ref="F61:F63"/>
    <mergeCell ref="E61:E63"/>
    <mergeCell ref="D61:D63"/>
    <mergeCell ref="C61:C63"/>
    <mergeCell ref="B61:B63"/>
    <mergeCell ref="L73:L75"/>
    <mergeCell ref="M73:M75"/>
    <mergeCell ref="M85:M87"/>
    <mergeCell ref="L94:L96"/>
    <mergeCell ref="M94:M96"/>
    <mergeCell ref="J70:J72"/>
    <mergeCell ref="L91:L93"/>
    <mergeCell ref="K70:K72"/>
    <mergeCell ref="L85:L87"/>
    <mergeCell ref="J91:J93"/>
    <mergeCell ref="K91:K93"/>
    <mergeCell ref="M91:M93"/>
    <mergeCell ref="Q67:Q69"/>
    <mergeCell ref="O70:O72"/>
    <mergeCell ref="P70:P72"/>
    <mergeCell ref="Q70:Q72"/>
    <mergeCell ref="A121:A123"/>
    <mergeCell ref="A118:A120"/>
    <mergeCell ref="B118:B120"/>
    <mergeCell ref="C118:C120"/>
    <mergeCell ref="H121:H123"/>
    <mergeCell ref="G121:G123"/>
    <mergeCell ref="F121:F123"/>
    <mergeCell ref="E121:E123"/>
    <mergeCell ref="D121:D123"/>
    <mergeCell ref="D118:D120"/>
    <mergeCell ref="E118:E120"/>
    <mergeCell ref="F118:F120"/>
    <mergeCell ref="G118:G120"/>
    <mergeCell ref="H118:H120"/>
    <mergeCell ref="H109:H111"/>
    <mergeCell ref="I109:I111"/>
    <mergeCell ref="J109:J111"/>
    <mergeCell ref="K109:K111"/>
    <mergeCell ref="L109:L111"/>
    <mergeCell ref="O103:O105"/>
    <mergeCell ref="A133:A135"/>
    <mergeCell ref="A124:A126"/>
    <mergeCell ref="B124:B126"/>
    <mergeCell ref="B82:B84"/>
    <mergeCell ref="B88:B90"/>
    <mergeCell ref="B106:B108"/>
    <mergeCell ref="C124:C126"/>
    <mergeCell ref="D124:D126"/>
    <mergeCell ref="E124:E126"/>
    <mergeCell ref="A109:A111"/>
    <mergeCell ref="B109:B111"/>
    <mergeCell ref="C109:C111"/>
    <mergeCell ref="D109:D111"/>
    <mergeCell ref="E109:E111"/>
    <mergeCell ref="C115:C117"/>
    <mergeCell ref="D115:D117"/>
    <mergeCell ref="E115:E117"/>
    <mergeCell ref="D112:D114"/>
    <mergeCell ref="E112:E114"/>
    <mergeCell ref="C121:C123"/>
    <mergeCell ref="B112:B114"/>
    <mergeCell ref="A94:A96"/>
    <mergeCell ref="A88:A90"/>
    <mergeCell ref="A85:A87"/>
    <mergeCell ref="A82:A84"/>
    <mergeCell ref="A79:A81"/>
    <mergeCell ref="A106:A108"/>
    <mergeCell ref="A115:A117"/>
    <mergeCell ref="A100:A102"/>
    <mergeCell ref="A97:A99"/>
    <mergeCell ref="A91:A93"/>
    <mergeCell ref="A112:A114"/>
    <mergeCell ref="C73:C75"/>
    <mergeCell ref="C97:C99"/>
    <mergeCell ref="C112:C114"/>
    <mergeCell ref="C106:C108"/>
    <mergeCell ref="A73:A75"/>
    <mergeCell ref="A76:A78"/>
    <mergeCell ref="B76:B78"/>
    <mergeCell ref="C76:C78"/>
    <mergeCell ref="B94:B96"/>
    <mergeCell ref="C94:C96"/>
    <mergeCell ref="B85:B87"/>
    <mergeCell ref="B97:B99"/>
    <mergeCell ref="B115:B117"/>
    <mergeCell ref="B100:B102"/>
    <mergeCell ref="B91:B93"/>
    <mergeCell ref="C91:C93"/>
    <mergeCell ref="B121:B123"/>
    <mergeCell ref="F124:F126"/>
    <mergeCell ref="G124:G126"/>
    <mergeCell ref="F109:F111"/>
    <mergeCell ref="G109:G111"/>
    <mergeCell ref="F112:F114"/>
    <mergeCell ref="F115:F117"/>
    <mergeCell ref="G115:G117"/>
    <mergeCell ref="C85:C87"/>
    <mergeCell ref="D85:D87"/>
    <mergeCell ref="E85:E87"/>
    <mergeCell ref="F85:F87"/>
    <mergeCell ref="E91:E93"/>
    <mergeCell ref="F91:F93"/>
    <mergeCell ref="G94:G96"/>
    <mergeCell ref="G91:G93"/>
    <mergeCell ref="C100:C102"/>
    <mergeCell ref="D106:D108"/>
    <mergeCell ref="E106:E108"/>
    <mergeCell ref="D94:D96"/>
    <mergeCell ref="E94:E96"/>
    <mergeCell ref="F94:F96"/>
    <mergeCell ref="F106:F108"/>
    <mergeCell ref="D91:D93"/>
    <mergeCell ref="I67:I69"/>
    <mergeCell ref="J67:J69"/>
    <mergeCell ref="D70:D72"/>
    <mergeCell ref="E70:E72"/>
    <mergeCell ref="F70:F72"/>
    <mergeCell ref="G70:G72"/>
    <mergeCell ref="H70:H72"/>
    <mergeCell ref="P73:P75"/>
    <mergeCell ref="O73:O75"/>
    <mergeCell ref="E67:E69"/>
    <mergeCell ref="F67:F69"/>
    <mergeCell ref="G67:G69"/>
    <mergeCell ref="H67:H69"/>
    <mergeCell ref="G73:G75"/>
    <mergeCell ref="H73:H75"/>
    <mergeCell ref="I70:I72"/>
    <mergeCell ref="D67:D69"/>
    <mergeCell ref="P67:P69"/>
    <mergeCell ref="O67:O69"/>
    <mergeCell ref="K67:K69"/>
    <mergeCell ref="L67:L69"/>
    <mergeCell ref="M67:M69"/>
    <mergeCell ref="L70:L72"/>
    <mergeCell ref="M70:M72"/>
    <mergeCell ref="Q73:Q75"/>
    <mergeCell ref="B79:B81"/>
    <mergeCell ref="C79:C81"/>
    <mergeCell ref="D79:D81"/>
    <mergeCell ref="E79:E81"/>
    <mergeCell ref="F79:F81"/>
    <mergeCell ref="G79:G81"/>
    <mergeCell ref="H79:H81"/>
    <mergeCell ref="I79:I81"/>
    <mergeCell ref="J79:J81"/>
    <mergeCell ref="K79:K81"/>
    <mergeCell ref="L79:L81"/>
    <mergeCell ref="M79:M81"/>
    <mergeCell ref="O79:O81"/>
    <mergeCell ref="P79:P81"/>
    <mergeCell ref="I73:I75"/>
    <mergeCell ref="J73:J75"/>
    <mergeCell ref="D73:D75"/>
    <mergeCell ref="E73:E75"/>
    <mergeCell ref="F73:F75"/>
    <mergeCell ref="Q76:Q78"/>
    <mergeCell ref="B73:B75"/>
    <mergeCell ref="K73:K75"/>
    <mergeCell ref="J76:J78"/>
    <mergeCell ref="Q79:Q81"/>
    <mergeCell ref="C82:C84"/>
    <mergeCell ref="D82:D84"/>
    <mergeCell ref="E82:E84"/>
    <mergeCell ref="F82:F84"/>
    <mergeCell ref="G82:G84"/>
    <mergeCell ref="H82:H84"/>
    <mergeCell ref="I82:I84"/>
    <mergeCell ref="J82:J84"/>
    <mergeCell ref="K82:K84"/>
    <mergeCell ref="L82:L84"/>
    <mergeCell ref="M82:M84"/>
    <mergeCell ref="O82:O84"/>
    <mergeCell ref="P82:P84"/>
    <mergeCell ref="Q82:Q84"/>
    <mergeCell ref="Q85:Q87"/>
    <mergeCell ref="G85:G87"/>
    <mergeCell ref="H85:H87"/>
    <mergeCell ref="I85:I87"/>
    <mergeCell ref="J85:J87"/>
    <mergeCell ref="K85:K87"/>
    <mergeCell ref="K88:K90"/>
    <mergeCell ref="J88:J90"/>
    <mergeCell ref="I88:I90"/>
    <mergeCell ref="H88:H90"/>
    <mergeCell ref="G88:G90"/>
    <mergeCell ref="Q88:Q90"/>
    <mergeCell ref="P88:P90"/>
    <mergeCell ref="O88:O90"/>
    <mergeCell ref="M88:M90"/>
    <mergeCell ref="L88:L90"/>
    <mergeCell ref="P94:P96"/>
    <mergeCell ref="L97:L99"/>
    <mergeCell ref="M97:M99"/>
    <mergeCell ref="O97:O99"/>
    <mergeCell ref="P97:P99"/>
    <mergeCell ref="H94:H96"/>
    <mergeCell ref="I94:I96"/>
    <mergeCell ref="J94:J96"/>
    <mergeCell ref="K94:K96"/>
    <mergeCell ref="Q94:Q96"/>
    <mergeCell ref="Q97:Q99"/>
    <mergeCell ref="G97:G99"/>
    <mergeCell ref="H97:H99"/>
    <mergeCell ref="I97:I99"/>
    <mergeCell ref="J97:J99"/>
    <mergeCell ref="K97:K99"/>
    <mergeCell ref="E100:E102"/>
    <mergeCell ref="D100:D102"/>
    <mergeCell ref="Q100:Q102"/>
    <mergeCell ref="P100:P102"/>
    <mergeCell ref="O100:O102"/>
    <mergeCell ref="M100:M102"/>
    <mergeCell ref="L100:L102"/>
    <mergeCell ref="K100:K102"/>
    <mergeCell ref="J100:J102"/>
    <mergeCell ref="I100:I102"/>
    <mergeCell ref="H100:H102"/>
    <mergeCell ref="G100:G102"/>
    <mergeCell ref="F100:F102"/>
    <mergeCell ref="D97:D99"/>
    <mergeCell ref="E97:E99"/>
    <mergeCell ref="F97:F99"/>
    <mergeCell ref="O94:O96"/>
    <mergeCell ref="P103:P105"/>
    <mergeCell ref="Q103:Q105"/>
    <mergeCell ref="K106:K108"/>
    <mergeCell ref="M109:M111"/>
    <mergeCell ref="G112:G114"/>
    <mergeCell ref="H112:H114"/>
    <mergeCell ref="I112:I114"/>
    <mergeCell ref="J112:J114"/>
    <mergeCell ref="P109:P111"/>
    <mergeCell ref="Q109:Q111"/>
    <mergeCell ref="L106:L108"/>
    <mergeCell ref="M106:M108"/>
    <mergeCell ref="O106:O108"/>
    <mergeCell ref="P106:P108"/>
    <mergeCell ref="Q106:Q108"/>
    <mergeCell ref="Q112:Q114"/>
    <mergeCell ref="P112:P114"/>
    <mergeCell ref="O109:O111"/>
    <mergeCell ref="K112:K114"/>
    <mergeCell ref="J103:J105"/>
    <mergeCell ref="K103:K105"/>
    <mergeCell ref="L103:L105"/>
    <mergeCell ref="M103:M105"/>
    <mergeCell ref="G106:G108"/>
    <mergeCell ref="H106:H108"/>
    <mergeCell ref="I106:I108"/>
    <mergeCell ref="J106:J108"/>
    <mergeCell ref="P124:P126"/>
    <mergeCell ref="O112:O114"/>
    <mergeCell ref="K121:K123"/>
    <mergeCell ref="I124:I126"/>
    <mergeCell ref="L112:L114"/>
    <mergeCell ref="M112:M114"/>
    <mergeCell ref="H115:H117"/>
    <mergeCell ref="I115:I117"/>
    <mergeCell ref="J115:J117"/>
    <mergeCell ref="K115:K117"/>
    <mergeCell ref="J121:J123"/>
    <mergeCell ref="I121:I123"/>
    <mergeCell ref="H124:H126"/>
    <mergeCell ref="I118:I120"/>
    <mergeCell ref="J118:J120"/>
    <mergeCell ref="K118:K120"/>
    <mergeCell ref="J124:J126"/>
    <mergeCell ref="K124:K126"/>
    <mergeCell ref="P121:P123"/>
    <mergeCell ref="Q121:Q123"/>
    <mergeCell ref="L118:L120"/>
    <mergeCell ref="M118:M120"/>
    <mergeCell ref="M121:M123"/>
    <mergeCell ref="L121:L123"/>
    <mergeCell ref="O118:O120"/>
    <mergeCell ref="O121:O123"/>
    <mergeCell ref="O124:O126"/>
    <mergeCell ref="M124:M126"/>
    <mergeCell ref="L124:L126"/>
    <mergeCell ref="A130:A132"/>
    <mergeCell ref="J130:J132"/>
    <mergeCell ref="I130:I132"/>
    <mergeCell ref="H130:H132"/>
    <mergeCell ref="G130:G132"/>
    <mergeCell ref="F130:F132"/>
    <mergeCell ref="E130:E132"/>
    <mergeCell ref="A136:A138"/>
    <mergeCell ref="B136:B138"/>
    <mergeCell ref="C136:C138"/>
    <mergeCell ref="D136:D138"/>
    <mergeCell ref="E136:E138"/>
    <mergeCell ref="F136:F138"/>
    <mergeCell ref="G136:G138"/>
    <mergeCell ref="H136:H138"/>
    <mergeCell ref="I136:I138"/>
    <mergeCell ref="D130:D132"/>
    <mergeCell ref="C130:C132"/>
    <mergeCell ref="J133:J135"/>
    <mergeCell ref="C133:C135"/>
    <mergeCell ref="D133:D135"/>
    <mergeCell ref="E133:E135"/>
    <mergeCell ref="F133:F135"/>
    <mergeCell ref="G133:G135"/>
    <mergeCell ref="B130:B132"/>
    <mergeCell ref="O130:O132"/>
    <mergeCell ref="P130:P132"/>
    <mergeCell ref="Q130:Q132"/>
    <mergeCell ref="K133:K135"/>
    <mergeCell ref="L133:L135"/>
    <mergeCell ref="M133:M135"/>
    <mergeCell ref="O133:O135"/>
    <mergeCell ref="P133:P135"/>
    <mergeCell ref="Q133:Q135"/>
    <mergeCell ref="K130:K132"/>
    <mergeCell ref="L130:L132"/>
    <mergeCell ref="H133:H135"/>
    <mergeCell ref="I133:I135"/>
    <mergeCell ref="M130:M132"/>
    <mergeCell ref="B133:B135"/>
    <mergeCell ref="AO4:AZ4"/>
    <mergeCell ref="AO5:AQ5"/>
    <mergeCell ref="AR5:AT5"/>
    <mergeCell ref="AU5:AW5"/>
    <mergeCell ref="AX5:AY5"/>
    <mergeCell ref="AZ5:AZ6"/>
    <mergeCell ref="AR7:AR8"/>
    <mergeCell ref="AS7:AS8"/>
    <mergeCell ref="D145:J145"/>
    <mergeCell ref="J136:J138"/>
    <mergeCell ref="K136:K138"/>
    <mergeCell ref="L136:L138"/>
    <mergeCell ref="M136:M138"/>
    <mergeCell ref="O136:O138"/>
    <mergeCell ref="P136:P138"/>
    <mergeCell ref="Q136:Q138"/>
    <mergeCell ref="Q124:Q126"/>
    <mergeCell ref="L115:L117"/>
    <mergeCell ref="M115:M117"/>
    <mergeCell ref="O115:O117"/>
    <mergeCell ref="P115:P117"/>
    <mergeCell ref="Q115:Q117"/>
    <mergeCell ref="P118:P120"/>
    <mergeCell ref="Q118:Q120"/>
    <mergeCell ref="AX61:AX62"/>
    <mergeCell ref="AY61:AY62"/>
    <mergeCell ref="AZ61:AZ62"/>
    <mergeCell ref="AO61:AO62"/>
    <mergeCell ref="AP61:AP62"/>
    <mergeCell ref="AQ61:AQ62"/>
    <mergeCell ref="AR61:AR62"/>
    <mergeCell ref="AS61:AS62"/>
    <mergeCell ref="AT61:AT62"/>
    <mergeCell ref="AV61:AV62"/>
    <mergeCell ref="AU61:AU62"/>
    <mergeCell ref="AW61:AW62"/>
  </mergeCells>
  <conditionalFormatting sqref="K7">
    <cfRule type="cellIs" dxfId="704" priority="3907" operator="equal">
      <formula>"Muy Alta"</formula>
    </cfRule>
    <cfRule type="cellIs" dxfId="703" priority="3908" operator="equal">
      <formula>"Alta"</formula>
    </cfRule>
    <cfRule type="cellIs" dxfId="702" priority="3909" operator="equal">
      <formula>"Media"</formula>
    </cfRule>
    <cfRule type="cellIs" dxfId="701" priority="3910" operator="equal">
      <formula>"Baja"</formula>
    </cfRule>
    <cfRule type="cellIs" dxfId="700" priority="3911" operator="equal">
      <formula>"Muy Baja"</formula>
    </cfRule>
  </conditionalFormatting>
  <conditionalFormatting sqref="K10">
    <cfRule type="cellIs" dxfId="699" priority="2456" operator="equal">
      <formula>"Muy Alta"</formula>
    </cfRule>
    <cfRule type="cellIs" dxfId="698" priority="2457" operator="equal">
      <formula>"Alta"</formula>
    </cfRule>
    <cfRule type="cellIs" dxfId="697" priority="2458" operator="equal">
      <formula>"Media"</formula>
    </cfRule>
    <cfRule type="cellIs" dxfId="696" priority="2459" operator="equal">
      <formula>"Baja"</formula>
    </cfRule>
    <cfRule type="cellIs" dxfId="695" priority="2460" operator="equal">
      <formula>"Muy Baja"</formula>
    </cfRule>
  </conditionalFormatting>
  <conditionalFormatting sqref="K13">
    <cfRule type="cellIs" dxfId="694" priority="2441" operator="equal">
      <formula>"Muy Alta"</formula>
    </cfRule>
    <cfRule type="cellIs" dxfId="693" priority="2442" operator="equal">
      <formula>"Alta"</formula>
    </cfRule>
    <cfRule type="cellIs" dxfId="692" priority="2443" operator="equal">
      <formula>"Media"</formula>
    </cfRule>
    <cfRule type="cellIs" dxfId="691" priority="2444" operator="equal">
      <formula>"Baja"</formula>
    </cfRule>
    <cfRule type="cellIs" dxfId="690" priority="2445" operator="equal">
      <formula>"Muy Baja"</formula>
    </cfRule>
  </conditionalFormatting>
  <conditionalFormatting sqref="K16">
    <cfRule type="cellIs" dxfId="689" priority="2396" operator="equal">
      <formula>"Muy Alta"</formula>
    </cfRule>
    <cfRule type="cellIs" dxfId="688" priority="2397" operator="equal">
      <formula>"Alta"</formula>
    </cfRule>
    <cfRule type="cellIs" dxfId="687" priority="2398" operator="equal">
      <formula>"Media"</formula>
    </cfRule>
    <cfRule type="cellIs" dxfId="686" priority="2399" operator="equal">
      <formula>"Baja"</formula>
    </cfRule>
    <cfRule type="cellIs" dxfId="685" priority="2400" operator="equal">
      <formula>"Muy Baja"</formula>
    </cfRule>
  </conditionalFormatting>
  <conditionalFormatting sqref="K19">
    <cfRule type="cellIs" dxfId="684" priority="2381" operator="equal">
      <formula>"Muy Alta"</formula>
    </cfRule>
    <cfRule type="cellIs" dxfId="683" priority="2382" operator="equal">
      <formula>"Alta"</formula>
    </cfRule>
    <cfRule type="cellIs" dxfId="682" priority="2383" operator="equal">
      <formula>"Media"</formula>
    </cfRule>
    <cfRule type="cellIs" dxfId="681" priority="2384" operator="equal">
      <formula>"Baja"</formula>
    </cfRule>
    <cfRule type="cellIs" dxfId="680" priority="2385" operator="equal">
      <formula>"Muy Baja"</formula>
    </cfRule>
  </conditionalFormatting>
  <conditionalFormatting sqref="K22">
    <cfRule type="cellIs" dxfId="679" priority="523" operator="equal">
      <formula>"Muy Alta"</formula>
    </cfRule>
    <cfRule type="cellIs" dxfId="678" priority="524" operator="equal">
      <formula>"Alta"</formula>
    </cfRule>
    <cfRule type="cellIs" dxfId="677" priority="525" operator="equal">
      <formula>"Media"</formula>
    </cfRule>
    <cfRule type="cellIs" dxfId="676" priority="526" operator="equal">
      <formula>"Baja"</formula>
    </cfRule>
    <cfRule type="cellIs" dxfId="675" priority="527" operator="equal">
      <formula>"Muy Baja"</formula>
    </cfRule>
  </conditionalFormatting>
  <conditionalFormatting sqref="K25">
    <cfRule type="cellIs" dxfId="674" priority="2366" operator="equal">
      <formula>"Muy Alta"</formula>
    </cfRule>
    <cfRule type="cellIs" dxfId="673" priority="2367" operator="equal">
      <formula>"Alta"</formula>
    </cfRule>
    <cfRule type="cellIs" dxfId="672" priority="2368" operator="equal">
      <formula>"Media"</formula>
    </cfRule>
    <cfRule type="cellIs" dxfId="671" priority="2369" operator="equal">
      <formula>"Baja"</formula>
    </cfRule>
    <cfRule type="cellIs" dxfId="670" priority="2370" operator="equal">
      <formula>"Muy Baja"</formula>
    </cfRule>
  </conditionalFormatting>
  <conditionalFormatting sqref="K28">
    <cfRule type="cellIs" dxfId="669" priority="2351" operator="equal">
      <formula>"Muy Alta"</formula>
    </cfRule>
    <cfRule type="cellIs" dxfId="668" priority="2352" operator="equal">
      <formula>"Alta"</formula>
    </cfRule>
    <cfRule type="cellIs" dxfId="667" priority="2353" operator="equal">
      <formula>"Media"</formula>
    </cfRule>
    <cfRule type="cellIs" dxfId="666" priority="2354" operator="equal">
      <formula>"Baja"</formula>
    </cfRule>
    <cfRule type="cellIs" dxfId="665" priority="2355" operator="equal">
      <formula>"Muy Baja"</formula>
    </cfRule>
  </conditionalFormatting>
  <conditionalFormatting sqref="K31">
    <cfRule type="cellIs" dxfId="664" priority="2336" operator="equal">
      <formula>"Muy Alta"</formula>
    </cfRule>
    <cfRule type="cellIs" dxfId="663" priority="2337" operator="equal">
      <formula>"Alta"</formula>
    </cfRule>
    <cfRule type="cellIs" dxfId="662" priority="2338" operator="equal">
      <formula>"Media"</formula>
    </cfRule>
    <cfRule type="cellIs" dxfId="661" priority="2339" operator="equal">
      <formula>"Baja"</formula>
    </cfRule>
    <cfRule type="cellIs" dxfId="660" priority="2340" operator="equal">
      <formula>"Muy Baja"</formula>
    </cfRule>
  </conditionalFormatting>
  <conditionalFormatting sqref="K34">
    <cfRule type="cellIs" dxfId="659" priority="471" operator="equal">
      <formula>"Muy Alta"</formula>
    </cfRule>
    <cfRule type="cellIs" dxfId="658" priority="472" operator="equal">
      <formula>"Alta"</formula>
    </cfRule>
    <cfRule type="cellIs" dxfId="657" priority="473" operator="equal">
      <formula>"Media"</formula>
    </cfRule>
    <cfRule type="cellIs" dxfId="656" priority="474" operator="equal">
      <formula>"Baja"</formula>
    </cfRule>
    <cfRule type="cellIs" dxfId="655" priority="475" operator="equal">
      <formula>"Muy Baja"</formula>
    </cfRule>
  </conditionalFormatting>
  <conditionalFormatting sqref="K37">
    <cfRule type="cellIs" dxfId="654" priority="2306" operator="equal">
      <formula>"Muy Alta"</formula>
    </cfRule>
    <cfRule type="cellIs" dxfId="653" priority="2307" operator="equal">
      <formula>"Alta"</formula>
    </cfRule>
    <cfRule type="cellIs" dxfId="652" priority="2308" operator="equal">
      <formula>"Media"</formula>
    </cfRule>
    <cfRule type="cellIs" dxfId="651" priority="2309" operator="equal">
      <formula>"Baja"</formula>
    </cfRule>
    <cfRule type="cellIs" dxfId="650" priority="2310" operator="equal">
      <formula>"Muy Baja"</formula>
    </cfRule>
  </conditionalFormatting>
  <conditionalFormatting sqref="K41">
    <cfRule type="cellIs" dxfId="649" priority="2291" operator="equal">
      <formula>"Muy Alta"</formula>
    </cfRule>
    <cfRule type="cellIs" dxfId="648" priority="2292" operator="equal">
      <formula>"Alta"</formula>
    </cfRule>
    <cfRule type="cellIs" dxfId="647" priority="2293" operator="equal">
      <formula>"Media"</formula>
    </cfRule>
    <cfRule type="cellIs" dxfId="646" priority="2294" operator="equal">
      <formula>"Baja"</formula>
    </cfRule>
    <cfRule type="cellIs" dxfId="645" priority="2295" operator="equal">
      <formula>"Muy Baja"</formula>
    </cfRule>
  </conditionalFormatting>
  <conditionalFormatting sqref="K44">
    <cfRule type="cellIs" dxfId="644" priority="394" operator="equal">
      <formula>"Muy Alta"</formula>
    </cfRule>
    <cfRule type="cellIs" dxfId="643" priority="395" operator="equal">
      <formula>"Alta"</formula>
    </cfRule>
    <cfRule type="cellIs" dxfId="642" priority="396" operator="equal">
      <formula>"Media"</formula>
    </cfRule>
    <cfRule type="cellIs" dxfId="641" priority="397" operator="equal">
      <formula>"Baja"</formula>
    </cfRule>
    <cfRule type="cellIs" dxfId="640" priority="398" operator="equal">
      <formula>"Muy Baja"</formula>
    </cfRule>
  </conditionalFormatting>
  <conditionalFormatting sqref="K49">
    <cfRule type="cellIs" dxfId="639" priority="2261" operator="equal">
      <formula>"Muy Alta"</formula>
    </cfRule>
    <cfRule type="cellIs" dxfId="638" priority="2262" operator="equal">
      <formula>"Alta"</formula>
    </cfRule>
    <cfRule type="cellIs" dxfId="637" priority="2263" operator="equal">
      <formula>"Media"</formula>
    </cfRule>
    <cfRule type="cellIs" dxfId="636" priority="2264" operator="equal">
      <formula>"Baja"</formula>
    </cfRule>
    <cfRule type="cellIs" dxfId="635" priority="2265" operator="equal">
      <formula>"Muy Baja"</formula>
    </cfRule>
  </conditionalFormatting>
  <conditionalFormatting sqref="K52">
    <cfRule type="cellIs" dxfId="634" priority="2246" operator="equal">
      <formula>"Muy Alta"</formula>
    </cfRule>
    <cfRule type="cellIs" dxfId="633" priority="2247" operator="equal">
      <formula>"Alta"</formula>
    </cfRule>
    <cfRule type="cellIs" dxfId="632" priority="2248" operator="equal">
      <formula>"Media"</formula>
    </cfRule>
    <cfRule type="cellIs" dxfId="631" priority="2249" operator="equal">
      <formula>"Baja"</formula>
    </cfRule>
    <cfRule type="cellIs" dxfId="630" priority="2250" operator="equal">
      <formula>"Muy Baja"</formula>
    </cfRule>
  </conditionalFormatting>
  <conditionalFormatting sqref="K55">
    <cfRule type="cellIs" dxfId="629" priority="2231" operator="equal">
      <formula>"Muy Alta"</formula>
    </cfRule>
    <cfRule type="cellIs" dxfId="628" priority="2232" operator="equal">
      <formula>"Alta"</formula>
    </cfRule>
    <cfRule type="cellIs" dxfId="627" priority="2233" operator="equal">
      <formula>"Media"</formula>
    </cfRule>
    <cfRule type="cellIs" dxfId="626" priority="2234" operator="equal">
      <formula>"Baja"</formula>
    </cfRule>
    <cfRule type="cellIs" dxfId="625" priority="2235" operator="equal">
      <formula>"Muy Baja"</formula>
    </cfRule>
  </conditionalFormatting>
  <conditionalFormatting sqref="K58">
    <cfRule type="cellIs" dxfId="624" priority="2216" operator="equal">
      <formula>"Muy Alta"</formula>
    </cfRule>
    <cfRule type="cellIs" dxfId="623" priority="2217" operator="equal">
      <formula>"Alta"</formula>
    </cfRule>
    <cfRule type="cellIs" dxfId="622" priority="2218" operator="equal">
      <formula>"Media"</formula>
    </cfRule>
    <cfRule type="cellIs" dxfId="621" priority="2219" operator="equal">
      <formula>"Baja"</formula>
    </cfRule>
    <cfRule type="cellIs" dxfId="620" priority="2220" operator="equal">
      <formula>"Muy Baja"</formula>
    </cfRule>
  </conditionalFormatting>
  <conditionalFormatting sqref="K61">
    <cfRule type="cellIs" dxfId="619" priority="2201" operator="equal">
      <formula>"Muy Alta"</formula>
    </cfRule>
    <cfRule type="cellIs" dxfId="618" priority="2202" operator="equal">
      <formula>"Alta"</formula>
    </cfRule>
    <cfRule type="cellIs" dxfId="617" priority="2203" operator="equal">
      <formula>"Media"</formula>
    </cfRule>
    <cfRule type="cellIs" dxfId="616" priority="2204" operator="equal">
      <formula>"Baja"</formula>
    </cfRule>
    <cfRule type="cellIs" dxfId="615" priority="2205" operator="equal">
      <formula>"Muy Baja"</formula>
    </cfRule>
  </conditionalFormatting>
  <conditionalFormatting sqref="K64">
    <cfRule type="cellIs" dxfId="614" priority="2186" operator="equal">
      <formula>"Muy Alta"</formula>
    </cfRule>
    <cfRule type="cellIs" dxfId="613" priority="2187" operator="equal">
      <formula>"Alta"</formula>
    </cfRule>
    <cfRule type="cellIs" dxfId="612" priority="2188" operator="equal">
      <formula>"Media"</formula>
    </cfRule>
    <cfRule type="cellIs" dxfId="611" priority="2189" operator="equal">
      <formula>"Baja"</formula>
    </cfRule>
    <cfRule type="cellIs" dxfId="610" priority="2190" operator="equal">
      <formula>"Muy Baja"</formula>
    </cfRule>
  </conditionalFormatting>
  <conditionalFormatting sqref="K67">
    <cfRule type="cellIs" dxfId="609" priority="307" operator="equal">
      <formula>"Muy Alta"</formula>
    </cfRule>
    <cfRule type="cellIs" dxfId="608" priority="308" operator="equal">
      <formula>"Alta"</formula>
    </cfRule>
    <cfRule type="cellIs" dxfId="607" priority="309" operator="equal">
      <formula>"Media"</formula>
    </cfRule>
    <cfRule type="cellIs" dxfId="606" priority="310" operator="equal">
      <formula>"Baja"</formula>
    </cfRule>
    <cfRule type="cellIs" dxfId="605" priority="311" operator="equal">
      <formula>"Muy Baja"</formula>
    </cfRule>
  </conditionalFormatting>
  <conditionalFormatting sqref="K70">
    <cfRule type="cellIs" dxfId="604" priority="2156" operator="equal">
      <formula>"Muy Alta"</formula>
    </cfRule>
    <cfRule type="cellIs" dxfId="603" priority="2157" operator="equal">
      <formula>"Alta"</formula>
    </cfRule>
    <cfRule type="cellIs" dxfId="602" priority="2158" operator="equal">
      <formula>"Media"</formula>
    </cfRule>
    <cfRule type="cellIs" dxfId="601" priority="2159" operator="equal">
      <formula>"Baja"</formula>
    </cfRule>
    <cfRule type="cellIs" dxfId="600" priority="2160" operator="equal">
      <formula>"Muy Baja"</formula>
    </cfRule>
  </conditionalFormatting>
  <conditionalFormatting sqref="K73">
    <cfRule type="cellIs" dxfId="599" priority="2141" operator="equal">
      <formula>"Muy Alta"</formula>
    </cfRule>
    <cfRule type="cellIs" dxfId="598" priority="2142" operator="equal">
      <formula>"Alta"</formula>
    </cfRule>
    <cfRule type="cellIs" dxfId="597" priority="2143" operator="equal">
      <formula>"Media"</formula>
    </cfRule>
    <cfRule type="cellIs" dxfId="596" priority="2144" operator="equal">
      <formula>"Baja"</formula>
    </cfRule>
    <cfRule type="cellIs" dxfId="595" priority="2145" operator="equal">
      <formula>"Muy Baja"</formula>
    </cfRule>
  </conditionalFormatting>
  <conditionalFormatting sqref="K76">
    <cfRule type="cellIs" dxfId="594" priority="609" operator="equal">
      <formula>"Muy Alta"</formula>
    </cfRule>
    <cfRule type="cellIs" dxfId="593" priority="610" operator="equal">
      <formula>"Alta"</formula>
    </cfRule>
    <cfRule type="cellIs" dxfId="592" priority="611" operator="equal">
      <formula>"Media"</formula>
    </cfRule>
    <cfRule type="cellIs" dxfId="591" priority="612" operator="equal">
      <formula>"Baja"</formula>
    </cfRule>
    <cfRule type="cellIs" dxfId="590" priority="613" operator="equal">
      <formula>"Muy Baja"</formula>
    </cfRule>
  </conditionalFormatting>
  <conditionalFormatting sqref="K79">
    <cfRule type="cellIs" dxfId="589" priority="2126" operator="equal">
      <formula>"Muy Alta"</formula>
    </cfRule>
    <cfRule type="cellIs" dxfId="588" priority="2127" operator="equal">
      <formula>"Alta"</formula>
    </cfRule>
    <cfRule type="cellIs" dxfId="587" priority="2128" operator="equal">
      <formula>"Media"</formula>
    </cfRule>
    <cfRule type="cellIs" dxfId="586" priority="2129" operator="equal">
      <formula>"Baja"</formula>
    </cfRule>
    <cfRule type="cellIs" dxfId="585" priority="2130" operator="equal">
      <formula>"Muy Baja"</formula>
    </cfRule>
  </conditionalFormatting>
  <conditionalFormatting sqref="K82">
    <cfRule type="cellIs" dxfId="584" priority="2111" operator="equal">
      <formula>"Muy Alta"</formula>
    </cfRule>
    <cfRule type="cellIs" dxfId="583" priority="2112" operator="equal">
      <formula>"Alta"</formula>
    </cfRule>
    <cfRule type="cellIs" dxfId="582" priority="2113" operator="equal">
      <formula>"Media"</formula>
    </cfRule>
    <cfRule type="cellIs" dxfId="581" priority="2114" operator="equal">
      <formula>"Baja"</formula>
    </cfRule>
    <cfRule type="cellIs" dxfId="580" priority="2115" operator="equal">
      <formula>"Muy Baja"</formula>
    </cfRule>
  </conditionalFormatting>
  <conditionalFormatting sqref="K85">
    <cfRule type="cellIs" dxfId="579" priority="2096" operator="equal">
      <formula>"Muy Alta"</formula>
    </cfRule>
    <cfRule type="cellIs" dxfId="578" priority="2097" operator="equal">
      <formula>"Alta"</formula>
    </cfRule>
    <cfRule type="cellIs" dxfId="577" priority="2098" operator="equal">
      <formula>"Media"</formula>
    </cfRule>
    <cfRule type="cellIs" dxfId="576" priority="2099" operator="equal">
      <formula>"Baja"</formula>
    </cfRule>
    <cfRule type="cellIs" dxfId="575" priority="2100" operator="equal">
      <formula>"Muy Baja"</formula>
    </cfRule>
  </conditionalFormatting>
  <conditionalFormatting sqref="K88">
    <cfRule type="cellIs" dxfId="574" priority="2081" operator="equal">
      <formula>"Muy Alta"</formula>
    </cfRule>
    <cfRule type="cellIs" dxfId="573" priority="2082" operator="equal">
      <formula>"Alta"</formula>
    </cfRule>
    <cfRule type="cellIs" dxfId="572" priority="2083" operator="equal">
      <formula>"Media"</formula>
    </cfRule>
    <cfRule type="cellIs" dxfId="571" priority="2084" operator="equal">
      <formula>"Baja"</formula>
    </cfRule>
    <cfRule type="cellIs" dxfId="570" priority="2085" operator="equal">
      <formula>"Muy Baja"</formula>
    </cfRule>
  </conditionalFormatting>
  <conditionalFormatting sqref="K91">
    <cfRule type="cellIs" dxfId="569" priority="766" operator="equal">
      <formula>"Muy Alta"</formula>
    </cfRule>
    <cfRule type="cellIs" dxfId="568" priority="767" operator="equal">
      <formula>"Alta"</formula>
    </cfRule>
    <cfRule type="cellIs" dxfId="567" priority="768" operator="equal">
      <formula>"Media"</formula>
    </cfRule>
    <cfRule type="cellIs" dxfId="566" priority="769" operator="equal">
      <formula>"Baja"</formula>
    </cfRule>
    <cfRule type="cellIs" dxfId="565" priority="770" operator="equal">
      <formula>"Muy Baja"</formula>
    </cfRule>
  </conditionalFormatting>
  <conditionalFormatting sqref="K94">
    <cfRule type="cellIs" dxfId="564" priority="2066" operator="equal">
      <formula>"Muy Alta"</formula>
    </cfRule>
    <cfRule type="cellIs" dxfId="563" priority="2067" operator="equal">
      <formula>"Alta"</formula>
    </cfRule>
    <cfRule type="cellIs" dxfId="562" priority="2068" operator="equal">
      <formula>"Media"</formula>
    </cfRule>
    <cfRule type="cellIs" dxfId="561" priority="2069" operator="equal">
      <formula>"Baja"</formula>
    </cfRule>
    <cfRule type="cellIs" dxfId="560" priority="2070" operator="equal">
      <formula>"Muy Baja"</formula>
    </cfRule>
  </conditionalFormatting>
  <conditionalFormatting sqref="K97">
    <cfRule type="cellIs" dxfId="559" priority="2051" operator="equal">
      <formula>"Muy Alta"</formula>
    </cfRule>
    <cfRule type="cellIs" dxfId="558" priority="2052" operator="equal">
      <formula>"Alta"</formula>
    </cfRule>
    <cfRule type="cellIs" dxfId="557" priority="2053" operator="equal">
      <formula>"Media"</formula>
    </cfRule>
    <cfRule type="cellIs" dxfId="556" priority="2054" operator="equal">
      <formula>"Baja"</formula>
    </cfRule>
    <cfRule type="cellIs" dxfId="555" priority="2055" operator="equal">
      <formula>"Muy Baja"</formula>
    </cfRule>
  </conditionalFormatting>
  <conditionalFormatting sqref="K100">
    <cfRule type="cellIs" dxfId="554" priority="2036" operator="equal">
      <formula>"Muy Alta"</formula>
    </cfRule>
    <cfRule type="cellIs" dxfId="553" priority="2037" operator="equal">
      <formula>"Alta"</formula>
    </cfRule>
    <cfRule type="cellIs" dxfId="552" priority="2038" operator="equal">
      <formula>"Media"</formula>
    </cfRule>
    <cfRule type="cellIs" dxfId="551" priority="2039" operator="equal">
      <formula>"Baja"</formula>
    </cfRule>
    <cfRule type="cellIs" dxfId="550" priority="2040" operator="equal">
      <formula>"Muy Baja"</formula>
    </cfRule>
  </conditionalFormatting>
  <conditionalFormatting sqref="K103">
    <cfRule type="cellIs" dxfId="549" priority="208" operator="equal">
      <formula>"Muy Alta"</formula>
    </cfRule>
    <cfRule type="cellIs" dxfId="548" priority="209" operator="equal">
      <formula>"Alta"</formula>
    </cfRule>
    <cfRule type="cellIs" dxfId="547" priority="210" operator="equal">
      <formula>"Media"</formula>
    </cfRule>
    <cfRule type="cellIs" dxfId="546" priority="211" operator="equal">
      <formula>"Baja"</formula>
    </cfRule>
    <cfRule type="cellIs" dxfId="545" priority="212" operator="equal">
      <formula>"Muy Baja"</formula>
    </cfRule>
  </conditionalFormatting>
  <conditionalFormatting sqref="K106">
    <cfRule type="cellIs" dxfId="544" priority="1991" operator="equal">
      <formula>"Muy Alta"</formula>
    </cfRule>
    <cfRule type="cellIs" dxfId="543" priority="1992" operator="equal">
      <formula>"Alta"</formula>
    </cfRule>
    <cfRule type="cellIs" dxfId="542" priority="1993" operator="equal">
      <formula>"Media"</formula>
    </cfRule>
    <cfRule type="cellIs" dxfId="541" priority="1994" operator="equal">
      <formula>"Baja"</formula>
    </cfRule>
    <cfRule type="cellIs" dxfId="540" priority="1995" operator="equal">
      <formula>"Muy Baja"</formula>
    </cfRule>
  </conditionalFormatting>
  <conditionalFormatting sqref="K109">
    <cfRule type="cellIs" dxfId="539" priority="1976" operator="equal">
      <formula>"Muy Alta"</formula>
    </cfRule>
    <cfRule type="cellIs" dxfId="538" priority="1977" operator="equal">
      <formula>"Alta"</formula>
    </cfRule>
    <cfRule type="cellIs" dxfId="537" priority="1978" operator="equal">
      <formula>"Media"</formula>
    </cfRule>
    <cfRule type="cellIs" dxfId="536" priority="1979" operator="equal">
      <formula>"Baja"</formula>
    </cfRule>
    <cfRule type="cellIs" dxfId="535" priority="1980" operator="equal">
      <formula>"Muy Baja"</formula>
    </cfRule>
  </conditionalFormatting>
  <conditionalFormatting sqref="K112">
    <cfRule type="cellIs" dxfId="534" priority="1904" operator="equal">
      <formula>"Muy Alta"</formula>
    </cfRule>
    <cfRule type="cellIs" dxfId="533" priority="1905" operator="equal">
      <formula>"Alta"</formula>
    </cfRule>
    <cfRule type="cellIs" dxfId="532" priority="1906" operator="equal">
      <formula>"Media"</formula>
    </cfRule>
    <cfRule type="cellIs" dxfId="531" priority="1907" operator="equal">
      <formula>"Baja"</formula>
    </cfRule>
    <cfRule type="cellIs" dxfId="530" priority="1908" operator="equal">
      <formula>"Muy Baja"</formula>
    </cfRule>
  </conditionalFormatting>
  <conditionalFormatting sqref="K115:K116">
    <cfRule type="cellIs" dxfId="529" priority="2021" operator="equal">
      <formula>"Muy Alta"</formula>
    </cfRule>
    <cfRule type="cellIs" dxfId="528" priority="2022" operator="equal">
      <formula>"Alta"</formula>
    </cfRule>
    <cfRule type="cellIs" dxfId="527" priority="2023" operator="equal">
      <formula>"Media"</formula>
    </cfRule>
    <cfRule type="cellIs" dxfId="526" priority="2024" operator="equal">
      <formula>"Baja"</formula>
    </cfRule>
    <cfRule type="cellIs" dxfId="525" priority="2025" operator="equal">
      <formula>"Muy Baja"</formula>
    </cfRule>
  </conditionalFormatting>
  <conditionalFormatting sqref="K118">
    <cfRule type="cellIs" dxfId="524" priority="1847" operator="equal">
      <formula>"Muy Alta"</formula>
    </cfRule>
    <cfRule type="cellIs" dxfId="523" priority="1848" operator="equal">
      <formula>"Alta"</formula>
    </cfRule>
    <cfRule type="cellIs" dxfId="522" priority="1849" operator="equal">
      <formula>"Media"</formula>
    </cfRule>
    <cfRule type="cellIs" dxfId="521" priority="1850" operator="equal">
      <formula>"Baja"</formula>
    </cfRule>
    <cfRule type="cellIs" dxfId="520" priority="1851" operator="equal">
      <formula>"Muy Baja"</formula>
    </cfRule>
  </conditionalFormatting>
  <conditionalFormatting sqref="K121">
    <cfRule type="cellIs" dxfId="519" priority="1790" operator="equal">
      <formula>"Muy Alta"</formula>
    </cfRule>
    <cfRule type="cellIs" dxfId="518" priority="1791" operator="equal">
      <formula>"Alta"</formula>
    </cfRule>
    <cfRule type="cellIs" dxfId="517" priority="1792" operator="equal">
      <formula>"Media"</formula>
    </cfRule>
    <cfRule type="cellIs" dxfId="516" priority="1793" operator="equal">
      <formula>"Baja"</formula>
    </cfRule>
    <cfRule type="cellIs" dxfId="515" priority="1794" operator="equal">
      <formula>"Muy Baja"</formula>
    </cfRule>
  </conditionalFormatting>
  <conditionalFormatting sqref="K124">
    <cfRule type="cellIs" dxfId="514" priority="1733" operator="equal">
      <formula>"Muy Alta"</formula>
    </cfRule>
    <cfRule type="cellIs" dxfId="513" priority="1734" operator="equal">
      <formula>"Alta"</formula>
    </cfRule>
    <cfRule type="cellIs" dxfId="512" priority="1735" operator="equal">
      <formula>"Media"</formula>
    </cfRule>
    <cfRule type="cellIs" dxfId="511" priority="1736" operator="equal">
      <formula>"Baja"</formula>
    </cfRule>
    <cfRule type="cellIs" dxfId="510" priority="1737" operator="equal">
      <formula>"Muy Baja"</formula>
    </cfRule>
  </conditionalFormatting>
  <conditionalFormatting sqref="K127">
    <cfRule type="cellIs" dxfId="509" priority="95" operator="equal">
      <formula>"Muy Alta"</formula>
    </cfRule>
    <cfRule type="cellIs" dxfId="508" priority="96" operator="equal">
      <formula>"Alta"</formula>
    </cfRule>
    <cfRule type="cellIs" dxfId="507" priority="97" operator="equal">
      <formula>"Media"</formula>
    </cfRule>
    <cfRule type="cellIs" dxfId="506" priority="98" operator="equal">
      <formula>"Baja"</formula>
    </cfRule>
    <cfRule type="cellIs" dxfId="505" priority="99" operator="equal">
      <formula>"Muy Baja"</formula>
    </cfRule>
  </conditionalFormatting>
  <conditionalFormatting sqref="K130">
    <cfRule type="cellIs" dxfId="504" priority="1259" operator="equal">
      <formula>"Muy Alta"</formula>
    </cfRule>
    <cfRule type="cellIs" dxfId="503" priority="1260" operator="equal">
      <formula>"Alta"</formula>
    </cfRule>
    <cfRule type="cellIs" dxfId="502" priority="1261" operator="equal">
      <formula>"Media"</formula>
    </cfRule>
    <cfRule type="cellIs" dxfId="501" priority="1262" operator="equal">
      <formula>"Baja"</formula>
    </cfRule>
    <cfRule type="cellIs" dxfId="500" priority="1263" operator="equal">
      <formula>"Muy Baja"</formula>
    </cfRule>
  </conditionalFormatting>
  <conditionalFormatting sqref="K133">
    <cfRule type="cellIs" dxfId="499" priority="1187" operator="equal">
      <formula>"Muy Alta"</formula>
    </cfRule>
    <cfRule type="cellIs" dxfId="498" priority="1188" operator="equal">
      <formula>"Alta"</formula>
    </cfRule>
    <cfRule type="cellIs" dxfId="497" priority="1189" operator="equal">
      <formula>"Media"</formula>
    </cfRule>
    <cfRule type="cellIs" dxfId="496" priority="1190" operator="equal">
      <formula>"Baja"</formula>
    </cfRule>
    <cfRule type="cellIs" dxfId="495" priority="1191" operator="equal">
      <formula>"Muy Baja"</formula>
    </cfRule>
  </conditionalFormatting>
  <conditionalFormatting sqref="K136">
    <cfRule type="cellIs" dxfId="494" priority="971" operator="equal">
      <formula>"Muy Alta"</formula>
    </cfRule>
    <cfRule type="cellIs" dxfId="493" priority="972" operator="equal">
      <formula>"Alta"</formula>
    </cfRule>
    <cfRule type="cellIs" dxfId="492" priority="973" operator="equal">
      <formula>"Media"</formula>
    </cfRule>
    <cfRule type="cellIs" dxfId="491" priority="974" operator="equal">
      <formula>"Baja"</formula>
    </cfRule>
    <cfRule type="cellIs" dxfId="490" priority="975" operator="equal">
      <formula>"Muy Baja"</formula>
    </cfRule>
  </conditionalFormatting>
  <conditionalFormatting sqref="N7:N138">
    <cfRule type="containsText" dxfId="489" priority="85" operator="containsText" text="❌">
      <formula>NOT(ISERROR(SEARCH("❌",N7)))</formula>
    </cfRule>
  </conditionalFormatting>
  <conditionalFormatting sqref="O7">
    <cfRule type="cellIs" dxfId="488" priority="885" operator="equal">
      <formula>"Catastrófico"</formula>
    </cfRule>
    <cfRule type="cellIs" dxfId="487" priority="886" operator="equal">
      <formula>"Mayor"</formula>
    </cfRule>
    <cfRule type="cellIs" dxfId="486" priority="887" operator="equal">
      <formula>"Moderado"</formula>
    </cfRule>
    <cfRule type="cellIs" dxfId="485" priority="888" operator="equal">
      <formula>"Menor"</formula>
    </cfRule>
    <cfRule type="cellIs" dxfId="484" priority="889" operator="equal">
      <formula>"Leve"</formula>
    </cfRule>
  </conditionalFormatting>
  <conditionalFormatting sqref="O10">
    <cfRule type="cellIs" dxfId="483" priority="2451" operator="equal">
      <formula>"Catastrófico"</formula>
    </cfRule>
    <cfRule type="cellIs" dxfId="482" priority="2452" operator="equal">
      <formula>"Mayor"</formula>
    </cfRule>
    <cfRule type="cellIs" dxfId="481" priority="2453" operator="equal">
      <formula>"Moderado"</formula>
    </cfRule>
    <cfRule type="cellIs" dxfId="480" priority="2454" operator="equal">
      <formula>"Menor"</formula>
    </cfRule>
    <cfRule type="cellIs" dxfId="479" priority="2455" operator="equal">
      <formula>"Leve"</formula>
    </cfRule>
  </conditionalFormatting>
  <conditionalFormatting sqref="O13">
    <cfRule type="cellIs" dxfId="478" priority="2436" operator="equal">
      <formula>"Catastrófico"</formula>
    </cfRule>
    <cfRule type="cellIs" dxfId="477" priority="2437" operator="equal">
      <formula>"Mayor"</formula>
    </cfRule>
    <cfRule type="cellIs" dxfId="476" priority="2438" operator="equal">
      <formula>"Moderado"</formula>
    </cfRule>
    <cfRule type="cellIs" dxfId="475" priority="2439" operator="equal">
      <formula>"Menor"</formula>
    </cfRule>
    <cfRule type="cellIs" dxfId="474" priority="2440" operator="equal">
      <formula>"Leve"</formula>
    </cfRule>
  </conditionalFormatting>
  <conditionalFormatting sqref="O16">
    <cfRule type="cellIs" dxfId="473" priority="2391" operator="equal">
      <formula>"Catastrófico"</formula>
    </cfRule>
    <cfRule type="cellIs" dxfId="472" priority="2392" operator="equal">
      <formula>"Mayor"</formula>
    </cfRule>
    <cfRule type="cellIs" dxfId="471" priority="2393" operator="equal">
      <formula>"Moderado"</formula>
    </cfRule>
    <cfRule type="cellIs" dxfId="470" priority="2394" operator="equal">
      <formula>"Menor"</formula>
    </cfRule>
    <cfRule type="cellIs" dxfId="469" priority="2395" operator="equal">
      <formula>"Leve"</formula>
    </cfRule>
  </conditionalFormatting>
  <conditionalFormatting sqref="O19">
    <cfRule type="cellIs" dxfId="468" priority="2376" operator="equal">
      <formula>"Catastrófico"</formula>
    </cfRule>
    <cfRule type="cellIs" dxfId="467" priority="2377" operator="equal">
      <formula>"Mayor"</formula>
    </cfRule>
    <cfRule type="cellIs" dxfId="466" priority="2378" operator="equal">
      <formula>"Moderado"</formula>
    </cfRule>
    <cfRule type="cellIs" dxfId="465" priority="2379" operator="equal">
      <formula>"Menor"</formula>
    </cfRule>
    <cfRule type="cellIs" dxfId="464" priority="2380" operator="equal">
      <formula>"Leve"</formula>
    </cfRule>
  </conditionalFormatting>
  <conditionalFormatting sqref="O22">
    <cfRule type="cellIs" dxfId="463" priority="518" operator="equal">
      <formula>"Catastrófico"</formula>
    </cfRule>
    <cfRule type="cellIs" dxfId="462" priority="519" operator="equal">
      <formula>"Mayor"</formula>
    </cfRule>
    <cfRule type="cellIs" dxfId="461" priority="520" operator="equal">
      <formula>"Moderado"</formula>
    </cfRule>
    <cfRule type="cellIs" dxfId="460" priority="521" operator="equal">
      <formula>"Menor"</formula>
    </cfRule>
    <cfRule type="cellIs" dxfId="459" priority="522" operator="equal">
      <formula>"Leve"</formula>
    </cfRule>
  </conditionalFormatting>
  <conditionalFormatting sqref="O25">
    <cfRule type="cellIs" dxfId="458" priority="2361" operator="equal">
      <formula>"Catastrófico"</formula>
    </cfRule>
    <cfRule type="cellIs" dxfId="457" priority="2362" operator="equal">
      <formula>"Mayor"</formula>
    </cfRule>
    <cfRule type="cellIs" dxfId="456" priority="2363" operator="equal">
      <formula>"Moderado"</formula>
    </cfRule>
    <cfRule type="cellIs" dxfId="455" priority="2364" operator="equal">
      <formula>"Menor"</formula>
    </cfRule>
    <cfRule type="cellIs" dxfId="454" priority="2365" operator="equal">
      <formula>"Leve"</formula>
    </cfRule>
  </conditionalFormatting>
  <conditionalFormatting sqref="O28">
    <cfRule type="cellIs" dxfId="453" priority="2346" operator="equal">
      <formula>"Catastrófico"</formula>
    </cfRule>
    <cfRule type="cellIs" dxfId="452" priority="2347" operator="equal">
      <formula>"Mayor"</formula>
    </cfRule>
    <cfRule type="cellIs" dxfId="451" priority="2348" operator="equal">
      <formula>"Moderado"</formula>
    </cfRule>
    <cfRule type="cellIs" dxfId="450" priority="2349" operator="equal">
      <formula>"Menor"</formula>
    </cfRule>
    <cfRule type="cellIs" dxfId="449" priority="2350" operator="equal">
      <formula>"Leve"</formula>
    </cfRule>
  </conditionalFormatting>
  <conditionalFormatting sqref="O31">
    <cfRule type="cellIs" dxfId="448" priority="2331" operator="equal">
      <formula>"Catastrófico"</formula>
    </cfRule>
    <cfRule type="cellIs" dxfId="447" priority="2332" operator="equal">
      <formula>"Mayor"</formula>
    </cfRule>
    <cfRule type="cellIs" dxfId="446" priority="2333" operator="equal">
      <formula>"Moderado"</formula>
    </cfRule>
    <cfRule type="cellIs" dxfId="445" priority="2334" operator="equal">
      <formula>"Menor"</formula>
    </cfRule>
    <cfRule type="cellIs" dxfId="444" priority="2335" operator="equal">
      <formula>"Leve"</formula>
    </cfRule>
  </conditionalFormatting>
  <conditionalFormatting sqref="O34">
    <cfRule type="cellIs" dxfId="443" priority="466" operator="equal">
      <formula>"Catastrófico"</formula>
    </cfRule>
    <cfRule type="cellIs" dxfId="442" priority="467" operator="equal">
      <formula>"Mayor"</formula>
    </cfRule>
    <cfRule type="cellIs" dxfId="441" priority="468" operator="equal">
      <formula>"Moderado"</formula>
    </cfRule>
    <cfRule type="cellIs" dxfId="440" priority="469" operator="equal">
      <formula>"Menor"</formula>
    </cfRule>
    <cfRule type="cellIs" dxfId="439" priority="470" operator="equal">
      <formula>"Leve"</formula>
    </cfRule>
  </conditionalFormatting>
  <conditionalFormatting sqref="O37">
    <cfRule type="cellIs" dxfId="438" priority="2301" operator="equal">
      <formula>"Catastrófico"</formula>
    </cfRule>
    <cfRule type="cellIs" dxfId="437" priority="2302" operator="equal">
      <formula>"Mayor"</formula>
    </cfRule>
    <cfRule type="cellIs" dxfId="436" priority="2303" operator="equal">
      <formula>"Moderado"</formula>
    </cfRule>
    <cfRule type="cellIs" dxfId="435" priority="2304" operator="equal">
      <formula>"Menor"</formula>
    </cfRule>
    <cfRule type="cellIs" dxfId="434" priority="2305" operator="equal">
      <formula>"Leve"</formula>
    </cfRule>
  </conditionalFormatting>
  <conditionalFormatting sqref="O41">
    <cfRule type="cellIs" dxfId="433" priority="2286" operator="equal">
      <formula>"Catastrófico"</formula>
    </cfRule>
    <cfRule type="cellIs" dxfId="432" priority="2287" operator="equal">
      <formula>"Mayor"</formula>
    </cfRule>
    <cfRule type="cellIs" dxfId="431" priority="2288" operator="equal">
      <formula>"Moderado"</formula>
    </cfRule>
    <cfRule type="cellIs" dxfId="430" priority="2289" operator="equal">
      <formula>"Menor"</formula>
    </cfRule>
    <cfRule type="cellIs" dxfId="429" priority="2290" operator="equal">
      <formula>"Leve"</formula>
    </cfRule>
  </conditionalFormatting>
  <conditionalFormatting sqref="O44">
    <cfRule type="cellIs" dxfId="428" priority="389" operator="equal">
      <formula>"Catastrófico"</formula>
    </cfRule>
    <cfRule type="cellIs" dxfId="427" priority="390" operator="equal">
      <formula>"Mayor"</formula>
    </cfRule>
    <cfRule type="cellIs" dxfId="426" priority="391" operator="equal">
      <formula>"Moderado"</formula>
    </cfRule>
    <cfRule type="cellIs" dxfId="425" priority="392" operator="equal">
      <formula>"Menor"</formula>
    </cfRule>
    <cfRule type="cellIs" dxfId="424" priority="393" operator="equal">
      <formula>"Leve"</formula>
    </cfRule>
  </conditionalFormatting>
  <conditionalFormatting sqref="O49">
    <cfRule type="cellIs" dxfId="423" priority="2256" operator="equal">
      <formula>"Catastrófico"</formula>
    </cfRule>
    <cfRule type="cellIs" dxfId="422" priority="2257" operator="equal">
      <formula>"Mayor"</formula>
    </cfRule>
    <cfRule type="cellIs" dxfId="421" priority="2258" operator="equal">
      <formula>"Moderado"</formula>
    </cfRule>
    <cfRule type="cellIs" dxfId="420" priority="2259" operator="equal">
      <formula>"Menor"</formula>
    </cfRule>
    <cfRule type="cellIs" dxfId="419" priority="2260" operator="equal">
      <formula>"Leve"</formula>
    </cfRule>
  </conditionalFormatting>
  <conditionalFormatting sqref="O52">
    <cfRule type="cellIs" dxfId="418" priority="2241" operator="equal">
      <formula>"Catastrófico"</formula>
    </cfRule>
    <cfRule type="cellIs" dxfId="417" priority="2242" operator="equal">
      <formula>"Mayor"</formula>
    </cfRule>
    <cfRule type="cellIs" dxfId="416" priority="2243" operator="equal">
      <formula>"Moderado"</formula>
    </cfRule>
    <cfRule type="cellIs" dxfId="415" priority="2244" operator="equal">
      <formula>"Menor"</formula>
    </cfRule>
    <cfRule type="cellIs" dxfId="414" priority="2245" operator="equal">
      <formula>"Leve"</formula>
    </cfRule>
  </conditionalFormatting>
  <conditionalFormatting sqref="O55">
    <cfRule type="cellIs" dxfId="413" priority="2226" operator="equal">
      <formula>"Catastrófico"</formula>
    </cfRule>
    <cfRule type="cellIs" dxfId="412" priority="2227" operator="equal">
      <formula>"Mayor"</formula>
    </cfRule>
    <cfRule type="cellIs" dxfId="411" priority="2228" operator="equal">
      <formula>"Moderado"</formula>
    </cfRule>
    <cfRule type="cellIs" dxfId="410" priority="2229" operator="equal">
      <formula>"Menor"</formula>
    </cfRule>
    <cfRule type="cellIs" dxfId="409" priority="2230" operator="equal">
      <formula>"Leve"</formula>
    </cfRule>
  </conditionalFormatting>
  <conditionalFormatting sqref="O58">
    <cfRule type="cellIs" dxfId="408" priority="2211" operator="equal">
      <formula>"Catastrófico"</formula>
    </cfRule>
    <cfRule type="cellIs" dxfId="407" priority="2212" operator="equal">
      <formula>"Mayor"</formula>
    </cfRule>
    <cfRule type="cellIs" dxfId="406" priority="2213" operator="equal">
      <formula>"Moderado"</formula>
    </cfRule>
    <cfRule type="cellIs" dxfId="405" priority="2214" operator="equal">
      <formula>"Menor"</formula>
    </cfRule>
    <cfRule type="cellIs" dxfId="404" priority="2215" operator="equal">
      <formula>"Leve"</formula>
    </cfRule>
  </conditionalFormatting>
  <conditionalFormatting sqref="O61">
    <cfRule type="cellIs" dxfId="403" priority="2196" operator="equal">
      <formula>"Catastrófico"</formula>
    </cfRule>
    <cfRule type="cellIs" dxfId="402" priority="2197" operator="equal">
      <formula>"Mayor"</formula>
    </cfRule>
    <cfRule type="cellIs" dxfId="401" priority="2198" operator="equal">
      <formula>"Moderado"</formula>
    </cfRule>
    <cfRule type="cellIs" dxfId="400" priority="2199" operator="equal">
      <formula>"Menor"</formula>
    </cfRule>
    <cfRule type="cellIs" dxfId="399" priority="2200" operator="equal">
      <formula>"Leve"</formula>
    </cfRule>
  </conditionalFormatting>
  <conditionalFormatting sqref="O64">
    <cfRule type="cellIs" dxfId="398" priority="2181" operator="equal">
      <formula>"Catastrófico"</formula>
    </cfRule>
    <cfRule type="cellIs" dxfId="397" priority="2182" operator="equal">
      <formula>"Mayor"</formula>
    </cfRule>
    <cfRule type="cellIs" dxfId="396" priority="2183" operator="equal">
      <formula>"Moderado"</formula>
    </cfRule>
    <cfRule type="cellIs" dxfId="395" priority="2184" operator="equal">
      <formula>"Menor"</formula>
    </cfRule>
    <cfRule type="cellIs" dxfId="394" priority="2185" operator="equal">
      <formula>"Leve"</formula>
    </cfRule>
  </conditionalFormatting>
  <conditionalFormatting sqref="O67">
    <cfRule type="cellIs" dxfId="393" priority="302" operator="equal">
      <formula>"Catastrófico"</formula>
    </cfRule>
    <cfRule type="cellIs" dxfId="392" priority="303" operator="equal">
      <formula>"Mayor"</formula>
    </cfRule>
    <cfRule type="cellIs" dxfId="391" priority="304" operator="equal">
      <formula>"Moderado"</formula>
    </cfRule>
    <cfRule type="cellIs" dxfId="390" priority="305" operator="equal">
      <formula>"Menor"</formula>
    </cfRule>
    <cfRule type="cellIs" dxfId="389" priority="306" operator="equal">
      <formula>"Leve"</formula>
    </cfRule>
  </conditionalFormatting>
  <conditionalFormatting sqref="O70">
    <cfRule type="cellIs" dxfId="388" priority="2151" operator="equal">
      <formula>"Catastrófico"</formula>
    </cfRule>
    <cfRule type="cellIs" dxfId="387" priority="2152" operator="equal">
      <formula>"Mayor"</formula>
    </cfRule>
    <cfRule type="cellIs" dxfId="386" priority="2153" operator="equal">
      <formula>"Moderado"</formula>
    </cfRule>
    <cfRule type="cellIs" dxfId="385" priority="2154" operator="equal">
      <formula>"Menor"</formula>
    </cfRule>
    <cfRule type="cellIs" dxfId="384" priority="2155" operator="equal">
      <formula>"Leve"</formula>
    </cfRule>
  </conditionalFormatting>
  <conditionalFormatting sqref="O73">
    <cfRule type="cellIs" dxfId="383" priority="2136" operator="equal">
      <formula>"Catastrófico"</formula>
    </cfRule>
    <cfRule type="cellIs" dxfId="382" priority="2137" operator="equal">
      <formula>"Mayor"</formula>
    </cfRule>
    <cfRule type="cellIs" dxfId="381" priority="2138" operator="equal">
      <formula>"Moderado"</formula>
    </cfRule>
    <cfRule type="cellIs" dxfId="380" priority="2139" operator="equal">
      <formula>"Menor"</formula>
    </cfRule>
    <cfRule type="cellIs" dxfId="379" priority="2140" operator="equal">
      <formula>"Leve"</formula>
    </cfRule>
  </conditionalFormatting>
  <conditionalFormatting sqref="O76">
    <cfRule type="cellIs" dxfId="378" priority="604" operator="equal">
      <formula>"Catastrófico"</formula>
    </cfRule>
    <cfRule type="cellIs" dxfId="377" priority="605" operator="equal">
      <formula>"Mayor"</formula>
    </cfRule>
    <cfRule type="cellIs" dxfId="376" priority="606" operator="equal">
      <formula>"Moderado"</formula>
    </cfRule>
    <cfRule type="cellIs" dxfId="375" priority="607" operator="equal">
      <formula>"Menor"</formula>
    </cfRule>
    <cfRule type="cellIs" dxfId="374" priority="608" operator="equal">
      <formula>"Leve"</formula>
    </cfRule>
  </conditionalFormatting>
  <conditionalFormatting sqref="O79">
    <cfRule type="cellIs" dxfId="373" priority="2121" operator="equal">
      <formula>"Catastrófico"</formula>
    </cfRule>
    <cfRule type="cellIs" dxfId="372" priority="2122" operator="equal">
      <formula>"Mayor"</formula>
    </cfRule>
    <cfRule type="cellIs" dxfId="371" priority="2123" operator="equal">
      <formula>"Moderado"</formula>
    </cfRule>
    <cfRule type="cellIs" dxfId="370" priority="2124" operator="equal">
      <formula>"Menor"</formula>
    </cfRule>
    <cfRule type="cellIs" dxfId="369" priority="2125" operator="equal">
      <formula>"Leve"</formula>
    </cfRule>
  </conditionalFormatting>
  <conditionalFormatting sqref="O82">
    <cfRule type="cellIs" dxfId="368" priority="2106" operator="equal">
      <formula>"Catastrófico"</formula>
    </cfRule>
    <cfRule type="cellIs" dxfId="367" priority="2107" operator="equal">
      <formula>"Mayor"</formula>
    </cfRule>
    <cfRule type="cellIs" dxfId="366" priority="2108" operator="equal">
      <formula>"Moderado"</formula>
    </cfRule>
    <cfRule type="cellIs" dxfId="365" priority="2109" operator="equal">
      <formula>"Menor"</formula>
    </cfRule>
    <cfRule type="cellIs" dxfId="364" priority="2110" operator="equal">
      <formula>"Leve"</formula>
    </cfRule>
  </conditionalFormatting>
  <conditionalFormatting sqref="O85">
    <cfRule type="cellIs" dxfId="363" priority="2091" operator="equal">
      <formula>"Catastrófico"</formula>
    </cfRule>
    <cfRule type="cellIs" dxfId="362" priority="2092" operator="equal">
      <formula>"Mayor"</formula>
    </cfRule>
    <cfRule type="cellIs" dxfId="361" priority="2093" operator="equal">
      <formula>"Moderado"</formula>
    </cfRule>
    <cfRule type="cellIs" dxfId="360" priority="2094" operator="equal">
      <formula>"Menor"</formula>
    </cfRule>
    <cfRule type="cellIs" dxfId="359" priority="2095" operator="equal">
      <formula>"Leve"</formula>
    </cfRule>
  </conditionalFormatting>
  <conditionalFormatting sqref="O88">
    <cfRule type="cellIs" dxfId="358" priority="2076" operator="equal">
      <formula>"Catastrófico"</formula>
    </cfRule>
    <cfRule type="cellIs" dxfId="357" priority="2077" operator="equal">
      <formula>"Mayor"</formula>
    </cfRule>
    <cfRule type="cellIs" dxfId="356" priority="2078" operator="equal">
      <formula>"Moderado"</formula>
    </cfRule>
    <cfRule type="cellIs" dxfId="355" priority="2079" operator="equal">
      <formula>"Menor"</formula>
    </cfRule>
    <cfRule type="cellIs" dxfId="354" priority="2080" operator="equal">
      <formula>"Leve"</formula>
    </cfRule>
  </conditionalFormatting>
  <conditionalFormatting sqref="O91">
    <cfRule type="cellIs" dxfId="353" priority="761" operator="equal">
      <formula>"Catastrófico"</formula>
    </cfRule>
    <cfRule type="cellIs" dxfId="352" priority="762" operator="equal">
      <formula>"Mayor"</formula>
    </cfRule>
    <cfRule type="cellIs" dxfId="351" priority="763" operator="equal">
      <formula>"Moderado"</formula>
    </cfRule>
    <cfRule type="cellIs" dxfId="350" priority="764" operator="equal">
      <formula>"Menor"</formula>
    </cfRule>
    <cfRule type="cellIs" dxfId="349" priority="765" operator="equal">
      <formula>"Leve"</formula>
    </cfRule>
  </conditionalFormatting>
  <conditionalFormatting sqref="O94">
    <cfRule type="cellIs" dxfId="348" priority="2061" operator="equal">
      <formula>"Catastrófico"</formula>
    </cfRule>
    <cfRule type="cellIs" dxfId="347" priority="2062" operator="equal">
      <formula>"Mayor"</formula>
    </cfRule>
    <cfRule type="cellIs" dxfId="346" priority="2063" operator="equal">
      <formula>"Moderado"</formula>
    </cfRule>
    <cfRule type="cellIs" dxfId="345" priority="2064" operator="equal">
      <formula>"Menor"</formula>
    </cfRule>
    <cfRule type="cellIs" dxfId="344" priority="2065" operator="equal">
      <formula>"Leve"</formula>
    </cfRule>
  </conditionalFormatting>
  <conditionalFormatting sqref="O97">
    <cfRule type="cellIs" dxfId="343" priority="2046" operator="equal">
      <formula>"Catastrófico"</formula>
    </cfRule>
    <cfRule type="cellIs" dxfId="342" priority="2047" operator="equal">
      <formula>"Mayor"</formula>
    </cfRule>
    <cfRule type="cellIs" dxfId="341" priority="2048" operator="equal">
      <formula>"Moderado"</formula>
    </cfRule>
    <cfRule type="cellIs" dxfId="340" priority="2049" operator="equal">
      <formula>"Menor"</formula>
    </cfRule>
    <cfRule type="cellIs" dxfId="339" priority="2050" operator="equal">
      <formula>"Leve"</formula>
    </cfRule>
  </conditionalFormatting>
  <conditionalFormatting sqref="O100">
    <cfRule type="cellIs" dxfId="338" priority="2031" operator="equal">
      <formula>"Catastrófico"</formula>
    </cfRule>
    <cfRule type="cellIs" dxfId="337" priority="2032" operator="equal">
      <formula>"Mayor"</formula>
    </cfRule>
    <cfRule type="cellIs" dxfId="336" priority="2033" operator="equal">
      <formula>"Moderado"</formula>
    </cfRule>
    <cfRule type="cellIs" dxfId="335" priority="2034" operator="equal">
      <formula>"Menor"</formula>
    </cfRule>
    <cfRule type="cellIs" dxfId="334" priority="2035" operator="equal">
      <formula>"Leve"</formula>
    </cfRule>
  </conditionalFormatting>
  <conditionalFormatting sqref="O103">
    <cfRule type="cellIs" dxfId="333" priority="203" operator="equal">
      <formula>"Catastrófico"</formula>
    </cfRule>
    <cfRule type="cellIs" dxfId="332" priority="204" operator="equal">
      <formula>"Mayor"</formula>
    </cfRule>
    <cfRule type="cellIs" dxfId="331" priority="205" operator="equal">
      <formula>"Moderado"</formula>
    </cfRule>
    <cfRule type="cellIs" dxfId="330" priority="206" operator="equal">
      <formula>"Menor"</formula>
    </cfRule>
    <cfRule type="cellIs" dxfId="329" priority="207" operator="equal">
      <formula>"Leve"</formula>
    </cfRule>
  </conditionalFormatting>
  <conditionalFormatting sqref="O106">
    <cfRule type="cellIs" dxfId="328" priority="1986" operator="equal">
      <formula>"Catastrófico"</formula>
    </cfRule>
    <cfRule type="cellIs" dxfId="327" priority="1987" operator="equal">
      <formula>"Mayor"</formula>
    </cfRule>
    <cfRule type="cellIs" dxfId="326" priority="1988" operator="equal">
      <formula>"Moderado"</formula>
    </cfRule>
    <cfRule type="cellIs" dxfId="325" priority="1989" operator="equal">
      <formula>"Menor"</formula>
    </cfRule>
    <cfRule type="cellIs" dxfId="324" priority="1990" operator="equal">
      <formula>"Leve"</formula>
    </cfRule>
  </conditionalFormatting>
  <conditionalFormatting sqref="O109">
    <cfRule type="cellIs" dxfId="323" priority="1971" operator="equal">
      <formula>"Catastrófico"</formula>
    </cfRule>
    <cfRule type="cellIs" dxfId="322" priority="1972" operator="equal">
      <formula>"Mayor"</formula>
    </cfRule>
    <cfRule type="cellIs" dxfId="321" priority="1973" operator="equal">
      <formula>"Moderado"</formula>
    </cfRule>
    <cfRule type="cellIs" dxfId="320" priority="1974" operator="equal">
      <formula>"Menor"</formula>
    </cfRule>
    <cfRule type="cellIs" dxfId="319" priority="1975" operator="equal">
      <formula>"Leve"</formula>
    </cfRule>
  </conditionalFormatting>
  <conditionalFormatting sqref="O112">
    <cfRule type="cellIs" dxfId="318" priority="1899" operator="equal">
      <formula>"Catastrófico"</formula>
    </cfRule>
    <cfRule type="cellIs" dxfId="317" priority="1900" operator="equal">
      <formula>"Mayor"</formula>
    </cfRule>
    <cfRule type="cellIs" dxfId="316" priority="1901" operator="equal">
      <formula>"Moderado"</formula>
    </cfRule>
    <cfRule type="cellIs" dxfId="315" priority="1902" operator="equal">
      <formula>"Menor"</formula>
    </cfRule>
    <cfRule type="cellIs" dxfId="314" priority="1903" operator="equal">
      <formula>"Leve"</formula>
    </cfRule>
  </conditionalFormatting>
  <conditionalFormatting sqref="O115:O116">
    <cfRule type="cellIs" dxfId="313" priority="2016" operator="equal">
      <formula>"Catastrófico"</formula>
    </cfRule>
    <cfRule type="cellIs" dxfId="312" priority="2017" operator="equal">
      <formula>"Mayor"</formula>
    </cfRule>
    <cfRule type="cellIs" dxfId="311" priority="2018" operator="equal">
      <formula>"Moderado"</formula>
    </cfRule>
    <cfRule type="cellIs" dxfId="310" priority="2019" operator="equal">
      <formula>"Menor"</formula>
    </cfRule>
    <cfRule type="cellIs" dxfId="309" priority="2020" operator="equal">
      <formula>"Leve"</formula>
    </cfRule>
  </conditionalFormatting>
  <conditionalFormatting sqref="O118">
    <cfRule type="cellIs" dxfId="308" priority="1842" operator="equal">
      <formula>"Catastrófico"</formula>
    </cfRule>
    <cfRule type="cellIs" dxfId="307" priority="1843" operator="equal">
      <formula>"Mayor"</formula>
    </cfRule>
    <cfRule type="cellIs" dxfId="306" priority="1844" operator="equal">
      <formula>"Moderado"</formula>
    </cfRule>
    <cfRule type="cellIs" dxfId="305" priority="1845" operator="equal">
      <formula>"Menor"</formula>
    </cfRule>
    <cfRule type="cellIs" dxfId="304" priority="1846" operator="equal">
      <formula>"Leve"</formula>
    </cfRule>
  </conditionalFormatting>
  <conditionalFormatting sqref="O121">
    <cfRule type="cellIs" dxfId="303" priority="1785" operator="equal">
      <formula>"Catastrófico"</formula>
    </cfRule>
    <cfRule type="cellIs" dxfId="302" priority="1786" operator="equal">
      <formula>"Mayor"</formula>
    </cfRule>
    <cfRule type="cellIs" dxfId="301" priority="1787" operator="equal">
      <formula>"Moderado"</formula>
    </cfRule>
    <cfRule type="cellIs" dxfId="300" priority="1788" operator="equal">
      <formula>"Menor"</formula>
    </cfRule>
    <cfRule type="cellIs" dxfId="299" priority="1789" operator="equal">
      <formula>"Leve"</formula>
    </cfRule>
  </conditionalFormatting>
  <conditionalFormatting sqref="O124">
    <cfRule type="cellIs" dxfId="298" priority="1728" operator="equal">
      <formula>"Catastrófico"</formula>
    </cfRule>
    <cfRule type="cellIs" dxfId="297" priority="1729" operator="equal">
      <formula>"Mayor"</formula>
    </cfRule>
    <cfRule type="cellIs" dxfId="296" priority="1730" operator="equal">
      <formula>"Moderado"</formula>
    </cfRule>
    <cfRule type="cellIs" dxfId="295" priority="1731" operator="equal">
      <formula>"Menor"</formula>
    </cfRule>
    <cfRule type="cellIs" dxfId="294" priority="1732" operator="equal">
      <formula>"Leve"</formula>
    </cfRule>
  </conditionalFormatting>
  <conditionalFormatting sqref="O127">
    <cfRule type="cellIs" dxfId="293" priority="90" operator="equal">
      <formula>"Catastrófico"</formula>
    </cfRule>
    <cfRule type="cellIs" dxfId="292" priority="91" operator="equal">
      <formula>"Mayor"</formula>
    </cfRule>
    <cfRule type="cellIs" dxfId="291" priority="92" operator="equal">
      <formula>"Moderado"</formula>
    </cfRule>
    <cfRule type="cellIs" dxfId="290" priority="93" operator="equal">
      <formula>"Menor"</formula>
    </cfRule>
    <cfRule type="cellIs" dxfId="289" priority="94" operator="equal">
      <formula>"Leve"</formula>
    </cfRule>
  </conditionalFormatting>
  <conditionalFormatting sqref="O130">
    <cfRule type="cellIs" dxfId="288" priority="1254" operator="equal">
      <formula>"Catastrófico"</formula>
    </cfRule>
    <cfRule type="cellIs" dxfId="287" priority="1255" operator="equal">
      <formula>"Mayor"</formula>
    </cfRule>
    <cfRule type="cellIs" dxfId="286" priority="1256" operator="equal">
      <formula>"Moderado"</formula>
    </cfRule>
    <cfRule type="cellIs" dxfId="285" priority="1257" operator="equal">
      <formula>"Menor"</formula>
    </cfRule>
    <cfRule type="cellIs" dxfId="284" priority="1258" operator="equal">
      <formula>"Leve"</formula>
    </cfRule>
  </conditionalFormatting>
  <conditionalFormatting sqref="O133">
    <cfRule type="cellIs" dxfId="283" priority="1182" operator="equal">
      <formula>"Catastrófico"</formula>
    </cfRule>
    <cfRule type="cellIs" dxfId="282" priority="1183" operator="equal">
      <formula>"Mayor"</formula>
    </cfRule>
    <cfRule type="cellIs" dxfId="281" priority="1184" operator="equal">
      <formula>"Moderado"</formula>
    </cfRule>
    <cfRule type="cellIs" dxfId="280" priority="1185" operator="equal">
      <formula>"Menor"</formula>
    </cfRule>
    <cfRule type="cellIs" dxfId="279" priority="1186" operator="equal">
      <formula>"Leve"</formula>
    </cfRule>
  </conditionalFormatting>
  <conditionalFormatting sqref="O136">
    <cfRule type="cellIs" dxfId="278" priority="966" operator="equal">
      <formula>"Catastrófico"</formula>
    </cfRule>
    <cfRule type="cellIs" dxfId="277" priority="967" operator="equal">
      <formula>"Mayor"</formula>
    </cfRule>
    <cfRule type="cellIs" dxfId="276" priority="968" operator="equal">
      <formula>"Moderado"</formula>
    </cfRule>
    <cfRule type="cellIs" dxfId="275" priority="969" operator="equal">
      <formula>"Menor"</formula>
    </cfRule>
    <cfRule type="cellIs" dxfId="274" priority="970" operator="equal">
      <formula>"Leve"</formula>
    </cfRule>
  </conditionalFormatting>
  <conditionalFormatting sqref="Q7">
    <cfRule type="cellIs" dxfId="273" priority="3898" operator="equal">
      <formula>"Extremo"</formula>
    </cfRule>
    <cfRule type="cellIs" dxfId="272" priority="3899" operator="equal">
      <formula>"Alto"</formula>
    </cfRule>
    <cfRule type="cellIs" dxfId="271" priority="3900" operator="equal">
      <formula>"Moderado"</formula>
    </cfRule>
    <cfRule type="cellIs" dxfId="270" priority="3901" operator="equal">
      <formula>"Bajo"</formula>
    </cfRule>
  </conditionalFormatting>
  <conditionalFormatting sqref="Q10">
    <cfRule type="cellIs" dxfId="269" priority="2447" operator="equal">
      <formula>"Extremo"</formula>
    </cfRule>
    <cfRule type="cellIs" dxfId="268" priority="2448" operator="equal">
      <formula>"Alto"</formula>
    </cfRule>
    <cfRule type="cellIs" dxfId="267" priority="2449" operator="equal">
      <formula>"Moderado"</formula>
    </cfRule>
    <cfRule type="cellIs" dxfId="266" priority="2450" operator="equal">
      <formula>"Bajo"</formula>
    </cfRule>
  </conditionalFormatting>
  <conditionalFormatting sqref="Q13">
    <cfRule type="cellIs" dxfId="265" priority="2432" operator="equal">
      <formula>"Extremo"</formula>
    </cfRule>
    <cfRule type="cellIs" dxfId="264" priority="2433" operator="equal">
      <formula>"Alto"</formula>
    </cfRule>
    <cfRule type="cellIs" dxfId="263" priority="2434" operator="equal">
      <formula>"Moderado"</formula>
    </cfRule>
    <cfRule type="cellIs" dxfId="262" priority="2435" operator="equal">
      <formula>"Bajo"</formula>
    </cfRule>
  </conditionalFormatting>
  <conditionalFormatting sqref="Q16">
    <cfRule type="cellIs" dxfId="261" priority="2387" operator="equal">
      <formula>"Extremo"</formula>
    </cfRule>
    <cfRule type="cellIs" dxfId="260" priority="2388" operator="equal">
      <formula>"Alto"</formula>
    </cfRule>
    <cfRule type="cellIs" dxfId="259" priority="2389" operator="equal">
      <formula>"Moderado"</formula>
    </cfRule>
    <cfRule type="cellIs" dxfId="258" priority="2390" operator="equal">
      <formula>"Bajo"</formula>
    </cfRule>
  </conditionalFormatting>
  <conditionalFormatting sqref="Q19">
    <cfRule type="cellIs" dxfId="257" priority="2372" operator="equal">
      <formula>"Extremo"</formula>
    </cfRule>
    <cfRule type="cellIs" dxfId="256" priority="2373" operator="equal">
      <formula>"Alto"</formula>
    </cfRule>
    <cfRule type="cellIs" dxfId="255" priority="2374" operator="equal">
      <formula>"Moderado"</formula>
    </cfRule>
    <cfRule type="cellIs" dxfId="254" priority="2375" operator="equal">
      <formula>"Bajo"</formula>
    </cfRule>
  </conditionalFormatting>
  <conditionalFormatting sqref="Q22">
    <cfRule type="cellIs" dxfId="253" priority="514" operator="equal">
      <formula>"Extremo"</formula>
    </cfRule>
    <cfRule type="cellIs" dxfId="252" priority="515" operator="equal">
      <formula>"Alto"</formula>
    </cfRule>
    <cfRule type="cellIs" dxfId="251" priority="516" operator="equal">
      <formula>"Moderado"</formula>
    </cfRule>
    <cfRule type="cellIs" dxfId="250" priority="517" operator="equal">
      <formula>"Bajo"</formula>
    </cfRule>
  </conditionalFormatting>
  <conditionalFormatting sqref="Q25">
    <cfRule type="cellIs" dxfId="249" priority="2357" operator="equal">
      <formula>"Extremo"</formula>
    </cfRule>
    <cfRule type="cellIs" dxfId="248" priority="2358" operator="equal">
      <formula>"Alto"</formula>
    </cfRule>
    <cfRule type="cellIs" dxfId="247" priority="2359" operator="equal">
      <formula>"Moderado"</formula>
    </cfRule>
    <cfRule type="cellIs" dxfId="246" priority="2360" operator="equal">
      <formula>"Bajo"</formula>
    </cfRule>
  </conditionalFormatting>
  <conditionalFormatting sqref="Q28">
    <cfRule type="cellIs" dxfId="245" priority="2342" operator="equal">
      <formula>"Extremo"</formula>
    </cfRule>
    <cfRule type="cellIs" dxfId="244" priority="2343" operator="equal">
      <formula>"Alto"</formula>
    </cfRule>
    <cfRule type="cellIs" dxfId="243" priority="2344" operator="equal">
      <formula>"Moderado"</formula>
    </cfRule>
    <cfRule type="cellIs" dxfId="242" priority="2345" operator="equal">
      <formula>"Bajo"</formula>
    </cfRule>
  </conditionalFormatting>
  <conditionalFormatting sqref="Q31">
    <cfRule type="cellIs" dxfId="241" priority="2327" operator="equal">
      <formula>"Extremo"</formula>
    </cfRule>
    <cfRule type="cellIs" dxfId="240" priority="2328" operator="equal">
      <formula>"Alto"</formula>
    </cfRule>
    <cfRule type="cellIs" dxfId="239" priority="2329" operator="equal">
      <formula>"Moderado"</formula>
    </cfRule>
    <cfRule type="cellIs" dxfId="238" priority="2330" operator="equal">
      <formula>"Bajo"</formula>
    </cfRule>
  </conditionalFormatting>
  <conditionalFormatting sqref="Q34">
    <cfRule type="cellIs" dxfId="237" priority="462" operator="equal">
      <formula>"Extremo"</formula>
    </cfRule>
    <cfRule type="cellIs" dxfId="236" priority="463" operator="equal">
      <formula>"Alto"</formula>
    </cfRule>
    <cfRule type="cellIs" dxfId="235" priority="464" operator="equal">
      <formula>"Moderado"</formula>
    </cfRule>
    <cfRule type="cellIs" dxfId="234" priority="465" operator="equal">
      <formula>"Bajo"</formula>
    </cfRule>
  </conditionalFormatting>
  <conditionalFormatting sqref="Q37">
    <cfRule type="cellIs" dxfId="233" priority="2297" operator="equal">
      <formula>"Extremo"</formula>
    </cfRule>
    <cfRule type="cellIs" dxfId="232" priority="2298" operator="equal">
      <formula>"Alto"</formula>
    </cfRule>
    <cfRule type="cellIs" dxfId="231" priority="2299" operator="equal">
      <formula>"Moderado"</formula>
    </cfRule>
    <cfRule type="cellIs" dxfId="230" priority="2300" operator="equal">
      <formula>"Bajo"</formula>
    </cfRule>
  </conditionalFormatting>
  <conditionalFormatting sqref="Q41">
    <cfRule type="cellIs" dxfId="229" priority="2282" operator="equal">
      <formula>"Extremo"</formula>
    </cfRule>
    <cfRule type="cellIs" dxfId="228" priority="2283" operator="equal">
      <formula>"Alto"</formula>
    </cfRule>
    <cfRule type="cellIs" dxfId="227" priority="2284" operator="equal">
      <formula>"Moderado"</formula>
    </cfRule>
    <cfRule type="cellIs" dxfId="226" priority="2285" operator="equal">
      <formula>"Bajo"</formula>
    </cfRule>
  </conditionalFormatting>
  <conditionalFormatting sqref="Q44">
    <cfRule type="cellIs" dxfId="225" priority="385" operator="equal">
      <formula>"Extremo"</formula>
    </cfRule>
    <cfRule type="cellIs" dxfId="224" priority="386" operator="equal">
      <formula>"Alto"</formula>
    </cfRule>
    <cfRule type="cellIs" dxfId="223" priority="387" operator="equal">
      <formula>"Moderado"</formula>
    </cfRule>
    <cfRule type="cellIs" dxfId="222" priority="388" operator="equal">
      <formula>"Bajo"</formula>
    </cfRule>
  </conditionalFormatting>
  <conditionalFormatting sqref="Q49">
    <cfRule type="cellIs" dxfId="221" priority="2252" operator="equal">
      <formula>"Extremo"</formula>
    </cfRule>
    <cfRule type="cellIs" dxfId="220" priority="2253" operator="equal">
      <formula>"Alto"</formula>
    </cfRule>
    <cfRule type="cellIs" dxfId="219" priority="2254" operator="equal">
      <formula>"Moderado"</formula>
    </cfRule>
    <cfRule type="cellIs" dxfId="218" priority="2255" operator="equal">
      <formula>"Bajo"</formula>
    </cfRule>
  </conditionalFormatting>
  <conditionalFormatting sqref="Q52">
    <cfRule type="cellIs" dxfId="217" priority="2237" operator="equal">
      <formula>"Extremo"</formula>
    </cfRule>
    <cfRule type="cellIs" dxfId="216" priority="2238" operator="equal">
      <formula>"Alto"</formula>
    </cfRule>
    <cfRule type="cellIs" dxfId="215" priority="2239" operator="equal">
      <formula>"Moderado"</formula>
    </cfRule>
    <cfRule type="cellIs" dxfId="214" priority="2240" operator="equal">
      <formula>"Bajo"</formula>
    </cfRule>
  </conditionalFormatting>
  <conditionalFormatting sqref="Q55">
    <cfRule type="cellIs" dxfId="213" priority="2222" operator="equal">
      <formula>"Extremo"</formula>
    </cfRule>
    <cfRule type="cellIs" dxfId="212" priority="2223" operator="equal">
      <formula>"Alto"</formula>
    </cfRule>
    <cfRule type="cellIs" dxfId="211" priority="2224" operator="equal">
      <formula>"Moderado"</formula>
    </cfRule>
    <cfRule type="cellIs" dxfId="210" priority="2225" operator="equal">
      <formula>"Bajo"</formula>
    </cfRule>
  </conditionalFormatting>
  <conditionalFormatting sqref="Q58">
    <cfRule type="cellIs" dxfId="209" priority="2207" operator="equal">
      <formula>"Extremo"</formula>
    </cfRule>
    <cfRule type="cellIs" dxfId="208" priority="2208" operator="equal">
      <formula>"Alto"</formula>
    </cfRule>
    <cfRule type="cellIs" dxfId="207" priority="2209" operator="equal">
      <formula>"Moderado"</formula>
    </cfRule>
    <cfRule type="cellIs" dxfId="206" priority="2210" operator="equal">
      <formula>"Bajo"</formula>
    </cfRule>
  </conditionalFormatting>
  <conditionalFormatting sqref="Q61">
    <cfRule type="cellIs" dxfId="205" priority="2192" operator="equal">
      <formula>"Extremo"</formula>
    </cfRule>
    <cfRule type="cellIs" dxfId="204" priority="2193" operator="equal">
      <formula>"Alto"</formula>
    </cfRule>
    <cfRule type="cellIs" dxfId="203" priority="2194" operator="equal">
      <formula>"Moderado"</formula>
    </cfRule>
    <cfRule type="cellIs" dxfId="202" priority="2195" operator="equal">
      <formula>"Bajo"</formula>
    </cfRule>
  </conditionalFormatting>
  <conditionalFormatting sqref="Q64">
    <cfRule type="cellIs" dxfId="201" priority="2177" operator="equal">
      <formula>"Extremo"</formula>
    </cfRule>
    <cfRule type="cellIs" dxfId="200" priority="2178" operator="equal">
      <formula>"Alto"</formula>
    </cfRule>
    <cfRule type="cellIs" dxfId="199" priority="2179" operator="equal">
      <formula>"Moderado"</formula>
    </cfRule>
    <cfRule type="cellIs" dxfId="198" priority="2180" operator="equal">
      <formula>"Bajo"</formula>
    </cfRule>
  </conditionalFormatting>
  <conditionalFormatting sqref="Q67">
    <cfRule type="cellIs" dxfId="197" priority="298" operator="equal">
      <formula>"Extremo"</formula>
    </cfRule>
    <cfRule type="cellIs" dxfId="196" priority="299" operator="equal">
      <formula>"Alto"</formula>
    </cfRule>
    <cfRule type="cellIs" dxfId="195" priority="300" operator="equal">
      <formula>"Moderado"</formula>
    </cfRule>
    <cfRule type="cellIs" dxfId="194" priority="301" operator="equal">
      <formula>"Bajo"</formula>
    </cfRule>
  </conditionalFormatting>
  <conditionalFormatting sqref="Q70">
    <cfRule type="cellIs" dxfId="193" priority="2147" operator="equal">
      <formula>"Extremo"</formula>
    </cfRule>
    <cfRule type="cellIs" dxfId="192" priority="2148" operator="equal">
      <formula>"Alto"</formula>
    </cfRule>
    <cfRule type="cellIs" dxfId="191" priority="2149" operator="equal">
      <formula>"Moderado"</formula>
    </cfRule>
    <cfRule type="cellIs" dxfId="190" priority="2150" operator="equal">
      <formula>"Bajo"</formula>
    </cfRule>
  </conditionalFormatting>
  <conditionalFormatting sqref="Q73">
    <cfRule type="cellIs" dxfId="189" priority="2132" operator="equal">
      <formula>"Extremo"</formula>
    </cfRule>
    <cfRule type="cellIs" dxfId="188" priority="2133" operator="equal">
      <formula>"Alto"</formula>
    </cfRule>
    <cfRule type="cellIs" dxfId="187" priority="2134" operator="equal">
      <formula>"Moderado"</formula>
    </cfRule>
    <cfRule type="cellIs" dxfId="186" priority="2135" operator="equal">
      <formula>"Bajo"</formula>
    </cfRule>
  </conditionalFormatting>
  <conditionalFormatting sqref="Q76">
    <cfRule type="cellIs" dxfId="185" priority="600" operator="equal">
      <formula>"Extremo"</formula>
    </cfRule>
    <cfRule type="cellIs" dxfId="184" priority="601" operator="equal">
      <formula>"Alto"</formula>
    </cfRule>
    <cfRule type="cellIs" dxfId="183" priority="602" operator="equal">
      <formula>"Moderado"</formula>
    </cfRule>
    <cfRule type="cellIs" dxfId="182" priority="603" operator="equal">
      <formula>"Bajo"</formula>
    </cfRule>
  </conditionalFormatting>
  <conditionalFormatting sqref="Q79">
    <cfRule type="cellIs" dxfId="181" priority="2117" operator="equal">
      <formula>"Extremo"</formula>
    </cfRule>
    <cfRule type="cellIs" dxfId="180" priority="2118" operator="equal">
      <formula>"Alto"</formula>
    </cfRule>
    <cfRule type="cellIs" dxfId="179" priority="2119" operator="equal">
      <formula>"Moderado"</formula>
    </cfRule>
    <cfRule type="cellIs" dxfId="178" priority="2120" operator="equal">
      <formula>"Bajo"</formula>
    </cfRule>
  </conditionalFormatting>
  <conditionalFormatting sqref="Q82">
    <cfRule type="cellIs" dxfId="177" priority="2102" operator="equal">
      <formula>"Extremo"</formula>
    </cfRule>
    <cfRule type="cellIs" dxfId="176" priority="2103" operator="equal">
      <formula>"Alto"</formula>
    </cfRule>
    <cfRule type="cellIs" dxfId="175" priority="2104" operator="equal">
      <formula>"Moderado"</formula>
    </cfRule>
    <cfRule type="cellIs" dxfId="174" priority="2105" operator="equal">
      <formula>"Bajo"</formula>
    </cfRule>
  </conditionalFormatting>
  <conditionalFormatting sqref="Q85">
    <cfRule type="cellIs" dxfId="173" priority="2087" operator="equal">
      <formula>"Extremo"</formula>
    </cfRule>
    <cfRule type="cellIs" dxfId="172" priority="2088" operator="equal">
      <formula>"Alto"</formula>
    </cfRule>
    <cfRule type="cellIs" dxfId="171" priority="2089" operator="equal">
      <formula>"Moderado"</formula>
    </cfRule>
    <cfRule type="cellIs" dxfId="170" priority="2090" operator="equal">
      <formula>"Bajo"</formula>
    </cfRule>
  </conditionalFormatting>
  <conditionalFormatting sqref="Q88">
    <cfRule type="cellIs" dxfId="169" priority="2072" operator="equal">
      <formula>"Extremo"</formula>
    </cfRule>
    <cfRule type="cellIs" dxfId="168" priority="2073" operator="equal">
      <formula>"Alto"</formula>
    </cfRule>
    <cfRule type="cellIs" dxfId="167" priority="2074" operator="equal">
      <formula>"Moderado"</formula>
    </cfRule>
    <cfRule type="cellIs" dxfId="166" priority="2075" operator="equal">
      <formula>"Bajo"</formula>
    </cfRule>
  </conditionalFormatting>
  <conditionalFormatting sqref="Q91">
    <cfRule type="cellIs" dxfId="165" priority="757" operator="equal">
      <formula>"Extremo"</formula>
    </cfRule>
    <cfRule type="cellIs" dxfId="164" priority="758" operator="equal">
      <formula>"Alto"</formula>
    </cfRule>
    <cfRule type="cellIs" dxfId="163" priority="759" operator="equal">
      <formula>"Moderado"</formula>
    </cfRule>
    <cfRule type="cellIs" dxfId="162" priority="760" operator="equal">
      <formula>"Bajo"</formula>
    </cfRule>
  </conditionalFormatting>
  <conditionalFormatting sqref="Q94">
    <cfRule type="cellIs" dxfId="161" priority="2057" operator="equal">
      <formula>"Extremo"</formula>
    </cfRule>
    <cfRule type="cellIs" dxfId="160" priority="2058" operator="equal">
      <formula>"Alto"</formula>
    </cfRule>
    <cfRule type="cellIs" dxfId="159" priority="2059" operator="equal">
      <formula>"Moderado"</formula>
    </cfRule>
    <cfRule type="cellIs" dxfId="158" priority="2060" operator="equal">
      <formula>"Bajo"</formula>
    </cfRule>
  </conditionalFormatting>
  <conditionalFormatting sqref="Q97">
    <cfRule type="cellIs" dxfId="157" priority="2042" operator="equal">
      <formula>"Extremo"</formula>
    </cfRule>
    <cfRule type="cellIs" dxfId="156" priority="2043" operator="equal">
      <formula>"Alto"</formula>
    </cfRule>
    <cfRule type="cellIs" dxfId="155" priority="2044" operator="equal">
      <formula>"Moderado"</formula>
    </cfRule>
    <cfRule type="cellIs" dxfId="154" priority="2045" operator="equal">
      <formula>"Bajo"</formula>
    </cfRule>
  </conditionalFormatting>
  <conditionalFormatting sqref="Q100">
    <cfRule type="cellIs" dxfId="153" priority="2027" operator="equal">
      <formula>"Extremo"</formula>
    </cfRule>
    <cfRule type="cellIs" dxfId="152" priority="2028" operator="equal">
      <formula>"Alto"</formula>
    </cfRule>
    <cfRule type="cellIs" dxfId="151" priority="2029" operator="equal">
      <formula>"Moderado"</formula>
    </cfRule>
    <cfRule type="cellIs" dxfId="150" priority="2030" operator="equal">
      <formula>"Bajo"</formula>
    </cfRule>
  </conditionalFormatting>
  <conditionalFormatting sqref="Q103">
    <cfRule type="cellIs" dxfId="149" priority="199" operator="equal">
      <formula>"Extremo"</formula>
    </cfRule>
    <cfRule type="cellIs" dxfId="148" priority="200" operator="equal">
      <formula>"Alto"</formula>
    </cfRule>
    <cfRule type="cellIs" dxfId="147" priority="201" operator="equal">
      <formula>"Moderado"</formula>
    </cfRule>
    <cfRule type="cellIs" dxfId="146" priority="202" operator="equal">
      <formula>"Bajo"</formula>
    </cfRule>
  </conditionalFormatting>
  <conditionalFormatting sqref="Q106">
    <cfRule type="cellIs" dxfId="145" priority="1982" operator="equal">
      <formula>"Extremo"</formula>
    </cfRule>
    <cfRule type="cellIs" dxfId="144" priority="1983" operator="equal">
      <formula>"Alto"</formula>
    </cfRule>
    <cfRule type="cellIs" dxfId="143" priority="1984" operator="equal">
      <formula>"Moderado"</formula>
    </cfRule>
    <cfRule type="cellIs" dxfId="142" priority="1985" operator="equal">
      <formula>"Bajo"</formula>
    </cfRule>
  </conditionalFormatting>
  <conditionalFormatting sqref="Q109">
    <cfRule type="cellIs" dxfId="141" priority="1967" operator="equal">
      <formula>"Extremo"</formula>
    </cfRule>
    <cfRule type="cellIs" dxfId="140" priority="1968" operator="equal">
      <formula>"Alto"</formula>
    </cfRule>
    <cfRule type="cellIs" dxfId="139" priority="1969" operator="equal">
      <formula>"Moderado"</formula>
    </cfRule>
    <cfRule type="cellIs" dxfId="138" priority="1970" operator="equal">
      <formula>"Bajo"</formula>
    </cfRule>
  </conditionalFormatting>
  <conditionalFormatting sqref="Q112">
    <cfRule type="cellIs" dxfId="137" priority="1895" operator="equal">
      <formula>"Extremo"</formula>
    </cfRule>
    <cfRule type="cellIs" dxfId="136" priority="1896" operator="equal">
      <formula>"Alto"</formula>
    </cfRule>
    <cfRule type="cellIs" dxfId="135" priority="1897" operator="equal">
      <formula>"Moderado"</formula>
    </cfRule>
    <cfRule type="cellIs" dxfId="134" priority="1898" operator="equal">
      <formula>"Bajo"</formula>
    </cfRule>
  </conditionalFormatting>
  <conditionalFormatting sqref="Q115:Q116">
    <cfRule type="cellIs" dxfId="133" priority="2012" operator="equal">
      <formula>"Extremo"</formula>
    </cfRule>
    <cfRule type="cellIs" dxfId="132" priority="2013" operator="equal">
      <formula>"Alto"</formula>
    </cfRule>
    <cfRule type="cellIs" dxfId="131" priority="2014" operator="equal">
      <formula>"Moderado"</formula>
    </cfRule>
    <cfRule type="cellIs" dxfId="130" priority="2015" operator="equal">
      <formula>"Bajo"</formula>
    </cfRule>
  </conditionalFormatting>
  <conditionalFormatting sqref="Q118">
    <cfRule type="cellIs" dxfId="129" priority="1838" operator="equal">
      <formula>"Extremo"</formula>
    </cfRule>
    <cfRule type="cellIs" dxfId="128" priority="1839" operator="equal">
      <formula>"Alto"</formula>
    </cfRule>
    <cfRule type="cellIs" dxfId="127" priority="1840" operator="equal">
      <formula>"Moderado"</formula>
    </cfRule>
    <cfRule type="cellIs" dxfId="126" priority="1841" operator="equal">
      <formula>"Bajo"</formula>
    </cfRule>
  </conditionalFormatting>
  <conditionalFormatting sqref="Q121">
    <cfRule type="cellIs" dxfId="125" priority="1781" operator="equal">
      <formula>"Extremo"</formula>
    </cfRule>
    <cfRule type="cellIs" dxfId="124" priority="1782" operator="equal">
      <formula>"Alto"</formula>
    </cfRule>
    <cfRule type="cellIs" dxfId="123" priority="1783" operator="equal">
      <formula>"Moderado"</formula>
    </cfRule>
    <cfRule type="cellIs" dxfId="122" priority="1784" operator="equal">
      <formula>"Bajo"</formula>
    </cfRule>
  </conditionalFormatting>
  <conditionalFormatting sqref="Q124">
    <cfRule type="cellIs" dxfId="121" priority="1724" operator="equal">
      <formula>"Extremo"</formula>
    </cfRule>
    <cfRule type="cellIs" dxfId="120" priority="1725" operator="equal">
      <formula>"Alto"</formula>
    </cfRule>
    <cfRule type="cellIs" dxfId="119" priority="1726" operator="equal">
      <formula>"Moderado"</formula>
    </cfRule>
    <cfRule type="cellIs" dxfId="118" priority="1727" operator="equal">
      <formula>"Bajo"</formula>
    </cfRule>
  </conditionalFormatting>
  <conditionalFormatting sqref="Q127">
    <cfRule type="cellIs" dxfId="117" priority="86" operator="equal">
      <formula>"Extremo"</formula>
    </cfRule>
    <cfRule type="cellIs" dxfId="116" priority="87" operator="equal">
      <formula>"Alto"</formula>
    </cfRule>
    <cfRule type="cellIs" dxfId="115" priority="88" operator="equal">
      <formula>"Moderado"</formula>
    </cfRule>
    <cfRule type="cellIs" dxfId="114" priority="89" operator="equal">
      <formula>"Bajo"</formula>
    </cfRule>
  </conditionalFormatting>
  <conditionalFormatting sqref="Q130">
    <cfRule type="cellIs" dxfId="113" priority="1250" operator="equal">
      <formula>"Extremo"</formula>
    </cfRule>
    <cfRule type="cellIs" dxfId="112" priority="1251" operator="equal">
      <formula>"Alto"</formula>
    </cfRule>
    <cfRule type="cellIs" dxfId="111" priority="1252" operator="equal">
      <formula>"Moderado"</formula>
    </cfRule>
    <cfRule type="cellIs" dxfId="110" priority="1253" operator="equal">
      <formula>"Bajo"</formula>
    </cfRule>
  </conditionalFormatting>
  <conditionalFormatting sqref="Q133">
    <cfRule type="cellIs" dxfId="109" priority="1178" operator="equal">
      <formula>"Extremo"</formula>
    </cfRule>
    <cfRule type="cellIs" dxfId="108" priority="1179" operator="equal">
      <formula>"Alto"</formula>
    </cfRule>
    <cfRule type="cellIs" dxfId="107" priority="1180" operator="equal">
      <formula>"Moderado"</formula>
    </cfRule>
    <cfRule type="cellIs" dxfId="106" priority="1181" operator="equal">
      <formula>"Bajo"</formula>
    </cfRule>
  </conditionalFormatting>
  <conditionalFormatting sqref="Q136">
    <cfRule type="cellIs" dxfId="105" priority="962" operator="equal">
      <formula>"Extremo"</formula>
    </cfRule>
    <cfRule type="cellIs" dxfId="104" priority="963" operator="equal">
      <formula>"Alto"</formula>
    </cfRule>
    <cfRule type="cellIs" dxfId="103" priority="964" operator="equal">
      <formula>"Moderado"</formula>
    </cfRule>
    <cfRule type="cellIs" dxfId="102" priority="965" operator="equal">
      <formula>"Bajo"</formula>
    </cfRule>
  </conditionalFormatting>
  <conditionalFormatting sqref="AB7:AB19 AB132:AB133 AB135:AB138 AB21:AB22 AB24:AB25 AB27:AB34 AB36:AB130">
    <cfRule type="cellIs" dxfId="101" priority="109" operator="equal">
      <formula>"Muy Alta"</formula>
    </cfRule>
    <cfRule type="cellIs" dxfId="100" priority="110" operator="equal">
      <formula>"Alta"</formula>
    </cfRule>
    <cfRule type="cellIs" dxfId="99" priority="111" operator="equal">
      <formula>"Media"</formula>
    </cfRule>
    <cfRule type="cellIs" dxfId="98" priority="112" operator="equal">
      <formula>"Baja"</formula>
    </cfRule>
    <cfRule type="cellIs" dxfId="97" priority="113" operator="equal">
      <formula>"Muy Baja"</formula>
    </cfRule>
  </conditionalFormatting>
  <conditionalFormatting sqref="AD7:AD19 AD132:AD133 AD135:AD138 AD21:AD22 AD24:AD25 AD27:AD34 AD36:AD130">
    <cfRule type="cellIs" dxfId="96" priority="104" operator="equal">
      <formula>"Catastrófico"</formula>
    </cfRule>
    <cfRule type="cellIs" dxfId="95" priority="105" operator="equal">
      <formula>"Mayor"</formula>
    </cfRule>
    <cfRule type="cellIs" dxfId="94" priority="106" operator="equal">
      <formula>"Moderado"</formula>
    </cfRule>
    <cfRule type="cellIs" dxfId="93" priority="107" operator="equal">
      <formula>"Menor"</formula>
    </cfRule>
    <cfRule type="cellIs" dxfId="92" priority="108" operator="equal">
      <formula>"Leve"</formula>
    </cfRule>
  </conditionalFormatting>
  <conditionalFormatting sqref="AF7:AF19 AF132:AF133 AF135:AF138 AF21:AF22 AF24:AF25 AF27:AF34 AF36:AF130">
    <cfRule type="cellIs" dxfId="91" priority="100" operator="equal">
      <formula>"Extremo"</formula>
    </cfRule>
    <cfRule type="cellIs" dxfId="90" priority="101" operator="equal">
      <formula>"Alto"</formula>
    </cfRule>
    <cfRule type="cellIs" dxfId="89" priority="102" operator="equal">
      <formula>"Moderado"</formula>
    </cfRule>
    <cfRule type="cellIs" dxfId="88" priority="103" operator="equal">
      <formula>"Bajo"</formula>
    </cfRule>
  </conditionalFormatting>
  <conditionalFormatting sqref="AB131">
    <cfRule type="cellIs" dxfId="87" priority="71" operator="equal">
      <formula>"Muy Alta"</formula>
    </cfRule>
  </conditionalFormatting>
  <conditionalFormatting sqref="AB131">
    <cfRule type="cellIs" dxfId="86" priority="72" operator="equal">
      <formula>"Alta"</formula>
    </cfRule>
  </conditionalFormatting>
  <conditionalFormatting sqref="AB131">
    <cfRule type="cellIs" dxfId="85" priority="73" operator="equal">
      <formula>"Media"</formula>
    </cfRule>
  </conditionalFormatting>
  <conditionalFormatting sqref="AB131">
    <cfRule type="cellIs" dxfId="84" priority="74" operator="equal">
      <formula>"Baja"</formula>
    </cfRule>
  </conditionalFormatting>
  <conditionalFormatting sqref="AB131">
    <cfRule type="cellIs" dxfId="83" priority="75" operator="equal">
      <formula>"Muy Baja"</formula>
    </cfRule>
  </conditionalFormatting>
  <conditionalFormatting sqref="AD131">
    <cfRule type="cellIs" dxfId="82" priority="76" operator="equal">
      <formula>"Catastrófico"</formula>
    </cfRule>
  </conditionalFormatting>
  <conditionalFormatting sqref="AD131">
    <cfRule type="cellIs" dxfId="81" priority="77" operator="equal">
      <formula>"Mayor"</formula>
    </cfRule>
  </conditionalFormatting>
  <conditionalFormatting sqref="AD131">
    <cfRule type="cellIs" dxfId="80" priority="78" operator="equal">
      <formula>"Moderado"</formula>
    </cfRule>
  </conditionalFormatting>
  <conditionalFormatting sqref="AD131">
    <cfRule type="cellIs" dxfId="79" priority="79" operator="equal">
      <formula>"Menor"</formula>
    </cfRule>
  </conditionalFormatting>
  <conditionalFormatting sqref="AD131">
    <cfRule type="cellIs" dxfId="78" priority="80" operator="equal">
      <formula>"Leve"</formula>
    </cfRule>
  </conditionalFormatting>
  <conditionalFormatting sqref="AF131">
    <cfRule type="cellIs" dxfId="77" priority="81" operator="equal">
      <formula>"Extremo"</formula>
    </cfRule>
  </conditionalFormatting>
  <conditionalFormatting sqref="AF131">
    <cfRule type="cellIs" dxfId="76" priority="82" operator="equal">
      <formula>"Alto"</formula>
    </cfRule>
  </conditionalFormatting>
  <conditionalFormatting sqref="AF131">
    <cfRule type="cellIs" dxfId="75" priority="83" operator="equal">
      <formula>"Moderado"</formula>
    </cfRule>
  </conditionalFormatting>
  <conditionalFormatting sqref="AF131">
    <cfRule type="cellIs" dxfId="74" priority="84" operator="equal">
      <formula>"Bajo"</formula>
    </cfRule>
  </conditionalFormatting>
  <conditionalFormatting sqref="AB134">
    <cfRule type="cellIs" dxfId="73" priority="57" operator="equal">
      <formula>"Muy Alta"</formula>
    </cfRule>
  </conditionalFormatting>
  <conditionalFormatting sqref="AB134">
    <cfRule type="cellIs" dxfId="72" priority="58" operator="equal">
      <formula>"Alta"</formula>
    </cfRule>
  </conditionalFormatting>
  <conditionalFormatting sqref="AB134">
    <cfRule type="cellIs" dxfId="71" priority="59" operator="equal">
      <formula>"Media"</formula>
    </cfRule>
  </conditionalFormatting>
  <conditionalFormatting sqref="AB134">
    <cfRule type="cellIs" dxfId="70" priority="60" operator="equal">
      <formula>"Baja"</formula>
    </cfRule>
  </conditionalFormatting>
  <conditionalFormatting sqref="AB134">
    <cfRule type="cellIs" dxfId="69" priority="61" operator="equal">
      <formula>"Muy Baja"</formula>
    </cfRule>
  </conditionalFormatting>
  <conditionalFormatting sqref="AD134">
    <cfRule type="cellIs" dxfId="68" priority="62" operator="equal">
      <formula>"Catastrófico"</formula>
    </cfRule>
  </conditionalFormatting>
  <conditionalFormatting sqref="AD134">
    <cfRule type="cellIs" dxfId="67" priority="63" operator="equal">
      <formula>"Mayor"</formula>
    </cfRule>
  </conditionalFormatting>
  <conditionalFormatting sqref="AD134">
    <cfRule type="cellIs" dxfId="66" priority="64" operator="equal">
      <formula>"Moderado"</formula>
    </cfRule>
  </conditionalFormatting>
  <conditionalFormatting sqref="AD134">
    <cfRule type="cellIs" dxfId="65" priority="65" operator="equal">
      <formula>"Menor"</formula>
    </cfRule>
  </conditionalFormatting>
  <conditionalFormatting sqref="AD134">
    <cfRule type="cellIs" dxfId="64" priority="66" operator="equal">
      <formula>"Leve"</formula>
    </cfRule>
  </conditionalFormatting>
  <conditionalFormatting sqref="AF134">
    <cfRule type="cellIs" dxfId="63" priority="67" operator="equal">
      <formula>"Extremo"</formula>
    </cfRule>
  </conditionalFormatting>
  <conditionalFormatting sqref="AF134">
    <cfRule type="cellIs" dxfId="62" priority="68" operator="equal">
      <formula>"Alto"</formula>
    </cfRule>
  </conditionalFormatting>
  <conditionalFormatting sqref="AF134">
    <cfRule type="cellIs" dxfId="61" priority="69" operator="equal">
      <formula>"Moderado"</formula>
    </cfRule>
  </conditionalFormatting>
  <conditionalFormatting sqref="AF134">
    <cfRule type="cellIs" dxfId="60" priority="70" operator="equal">
      <formula>"Bajo"</formula>
    </cfRule>
  </conditionalFormatting>
  <conditionalFormatting sqref="AB20">
    <cfRule type="cellIs" dxfId="59" priority="43" operator="equal">
      <formula>"Muy Alta"</formula>
    </cfRule>
  </conditionalFormatting>
  <conditionalFormatting sqref="AB20">
    <cfRule type="cellIs" dxfId="58" priority="44" operator="equal">
      <formula>"Alta"</formula>
    </cfRule>
  </conditionalFormatting>
  <conditionalFormatting sqref="AB20">
    <cfRule type="cellIs" dxfId="57" priority="45" operator="equal">
      <formula>"Media"</formula>
    </cfRule>
  </conditionalFormatting>
  <conditionalFormatting sqref="AB20">
    <cfRule type="cellIs" dxfId="56" priority="46" operator="equal">
      <formula>"Baja"</formula>
    </cfRule>
  </conditionalFormatting>
  <conditionalFormatting sqref="AB20">
    <cfRule type="cellIs" dxfId="55" priority="47" operator="equal">
      <formula>"Muy Baja"</formula>
    </cfRule>
  </conditionalFormatting>
  <conditionalFormatting sqref="AD20">
    <cfRule type="cellIs" dxfId="54" priority="48" operator="equal">
      <formula>"Catastrófico"</formula>
    </cfRule>
  </conditionalFormatting>
  <conditionalFormatting sqref="AD20">
    <cfRule type="cellIs" dxfId="53" priority="49" operator="equal">
      <formula>"Mayor"</formula>
    </cfRule>
  </conditionalFormatting>
  <conditionalFormatting sqref="AD20">
    <cfRule type="cellIs" dxfId="52" priority="50" operator="equal">
      <formula>"Moderado"</formula>
    </cfRule>
  </conditionalFormatting>
  <conditionalFormatting sqref="AD20">
    <cfRule type="cellIs" dxfId="51" priority="51" operator="equal">
      <formula>"Menor"</formula>
    </cfRule>
  </conditionalFormatting>
  <conditionalFormatting sqref="AD20">
    <cfRule type="cellIs" dxfId="50" priority="52" operator="equal">
      <formula>"Leve"</formula>
    </cfRule>
  </conditionalFormatting>
  <conditionalFormatting sqref="AF20">
    <cfRule type="cellIs" dxfId="49" priority="53" operator="equal">
      <formula>"Extremo"</formula>
    </cfRule>
  </conditionalFormatting>
  <conditionalFormatting sqref="AF20">
    <cfRule type="cellIs" dxfId="48" priority="54" operator="equal">
      <formula>"Alto"</formula>
    </cfRule>
  </conditionalFormatting>
  <conditionalFormatting sqref="AF20">
    <cfRule type="cellIs" dxfId="47" priority="55" operator="equal">
      <formula>"Moderado"</formula>
    </cfRule>
  </conditionalFormatting>
  <conditionalFormatting sqref="AF20">
    <cfRule type="cellIs" dxfId="46" priority="56" operator="equal">
      <formula>"Bajo"</formula>
    </cfRule>
  </conditionalFormatting>
  <conditionalFormatting sqref="AB23">
    <cfRule type="cellIs" dxfId="45" priority="29" operator="equal">
      <formula>"Muy Alta"</formula>
    </cfRule>
  </conditionalFormatting>
  <conditionalFormatting sqref="AB23">
    <cfRule type="cellIs" dxfId="44" priority="30" operator="equal">
      <formula>"Alta"</formula>
    </cfRule>
  </conditionalFormatting>
  <conditionalFormatting sqref="AB23">
    <cfRule type="cellIs" dxfId="43" priority="31" operator="equal">
      <formula>"Media"</formula>
    </cfRule>
  </conditionalFormatting>
  <conditionalFormatting sqref="AB23">
    <cfRule type="cellIs" dxfId="42" priority="32" operator="equal">
      <formula>"Baja"</formula>
    </cfRule>
  </conditionalFormatting>
  <conditionalFormatting sqref="AB23">
    <cfRule type="cellIs" dxfId="41" priority="33" operator="equal">
      <formula>"Muy Baja"</formula>
    </cfRule>
  </conditionalFormatting>
  <conditionalFormatting sqref="AD23">
    <cfRule type="cellIs" dxfId="40" priority="34" operator="equal">
      <formula>"Catastrófico"</formula>
    </cfRule>
  </conditionalFormatting>
  <conditionalFormatting sqref="AD23">
    <cfRule type="cellIs" dxfId="39" priority="35" operator="equal">
      <formula>"Mayor"</formula>
    </cfRule>
  </conditionalFormatting>
  <conditionalFormatting sqref="AD23">
    <cfRule type="cellIs" dxfId="38" priority="36" operator="equal">
      <formula>"Moderado"</formula>
    </cfRule>
  </conditionalFormatting>
  <conditionalFormatting sqref="AD23">
    <cfRule type="cellIs" dxfId="37" priority="37" operator="equal">
      <formula>"Menor"</formula>
    </cfRule>
  </conditionalFormatting>
  <conditionalFormatting sqref="AD23">
    <cfRule type="cellIs" dxfId="36" priority="38" operator="equal">
      <formula>"Leve"</formula>
    </cfRule>
  </conditionalFormatting>
  <conditionalFormatting sqref="AF23">
    <cfRule type="cellIs" dxfId="35" priority="39" operator="equal">
      <formula>"Extremo"</formula>
    </cfRule>
  </conditionalFormatting>
  <conditionalFormatting sqref="AF23">
    <cfRule type="cellIs" dxfId="34" priority="40" operator="equal">
      <formula>"Alto"</formula>
    </cfRule>
  </conditionalFormatting>
  <conditionalFormatting sqref="AF23">
    <cfRule type="cellIs" dxfId="33" priority="41" operator="equal">
      <formula>"Moderado"</formula>
    </cfRule>
  </conditionalFormatting>
  <conditionalFormatting sqref="AF23">
    <cfRule type="cellIs" dxfId="32" priority="42" operator="equal">
      <formula>"Bajo"</formula>
    </cfRule>
  </conditionalFormatting>
  <conditionalFormatting sqref="AB26">
    <cfRule type="cellIs" dxfId="31" priority="15" operator="equal">
      <formula>"Muy Alta"</formula>
    </cfRule>
  </conditionalFormatting>
  <conditionalFormatting sqref="AB26">
    <cfRule type="cellIs" dxfId="30" priority="16" operator="equal">
      <formula>"Alta"</formula>
    </cfRule>
  </conditionalFormatting>
  <conditionalFormatting sqref="AB26">
    <cfRule type="cellIs" dxfId="29" priority="17" operator="equal">
      <formula>"Media"</formula>
    </cfRule>
  </conditionalFormatting>
  <conditionalFormatting sqref="AB26">
    <cfRule type="cellIs" dxfId="28" priority="18" operator="equal">
      <formula>"Baja"</formula>
    </cfRule>
  </conditionalFormatting>
  <conditionalFormatting sqref="AB26">
    <cfRule type="cellIs" dxfId="27" priority="19" operator="equal">
      <formula>"Muy Baja"</formula>
    </cfRule>
  </conditionalFormatting>
  <conditionalFormatting sqref="AD26">
    <cfRule type="cellIs" dxfId="26" priority="20" operator="equal">
      <formula>"Catastrófico"</formula>
    </cfRule>
  </conditionalFormatting>
  <conditionalFormatting sqref="AD26">
    <cfRule type="cellIs" dxfId="25" priority="21" operator="equal">
      <formula>"Mayor"</formula>
    </cfRule>
  </conditionalFormatting>
  <conditionalFormatting sqref="AD26">
    <cfRule type="cellIs" dxfId="24" priority="22" operator="equal">
      <formula>"Moderado"</formula>
    </cfRule>
  </conditionalFormatting>
  <conditionalFormatting sqref="AD26">
    <cfRule type="cellIs" dxfId="23" priority="23" operator="equal">
      <formula>"Menor"</formula>
    </cfRule>
  </conditionalFormatting>
  <conditionalFormatting sqref="AD26">
    <cfRule type="cellIs" dxfId="22" priority="24" operator="equal">
      <formula>"Leve"</formula>
    </cfRule>
  </conditionalFormatting>
  <conditionalFormatting sqref="AF26">
    <cfRule type="cellIs" dxfId="21" priority="25" operator="equal">
      <formula>"Extremo"</formula>
    </cfRule>
  </conditionalFormatting>
  <conditionalFormatting sqref="AF26">
    <cfRule type="cellIs" dxfId="20" priority="26" operator="equal">
      <formula>"Alto"</formula>
    </cfRule>
  </conditionalFormatting>
  <conditionalFormatting sqref="AF26">
    <cfRule type="cellIs" dxfId="19" priority="27" operator="equal">
      <formula>"Moderado"</formula>
    </cfRule>
  </conditionalFormatting>
  <conditionalFormatting sqref="AF26">
    <cfRule type="cellIs" dxfId="18" priority="28" operator="equal">
      <formula>"Bajo"</formula>
    </cfRule>
  </conditionalFormatting>
  <conditionalFormatting sqref="AB35">
    <cfRule type="cellIs" dxfId="17" priority="1" operator="equal">
      <formula>"Muy Alta"</formula>
    </cfRule>
  </conditionalFormatting>
  <conditionalFormatting sqref="AB35">
    <cfRule type="cellIs" dxfId="16" priority="2" operator="equal">
      <formula>"Alta"</formula>
    </cfRule>
  </conditionalFormatting>
  <conditionalFormatting sqref="AB35">
    <cfRule type="cellIs" dxfId="15" priority="3" operator="equal">
      <formula>"Media"</formula>
    </cfRule>
  </conditionalFormatting>
  <conditionalFormatting sqref="AB35">
    <cfRule type="cellIs" dxfId="14" priority="4" operator="equal">
      <formula>"Baja"</formula>
    </cfRule>
  </conditionalFormatting>
  <conditionalFormatting sqref="AB35">
    <cfRule type="cellIs" dxfId="13" priority="5" operator="equal">
      <formula>"Muy Baja"</formula>
    </cfRule>
  </conditionalFormatting>
  <conditionalFormatting sqref="AD35">
    <cfRule type="cellIs" dxfId="12" priority="6" operator="equal">
      <formula>"Catastrófico"</formula>
    </cfRule>
  </conditionalFormatting>
  <conditionalFormatting sqref="AD35">
    <cfRule type="cellIs" dxfId="11" priority="7" operator="equal">
      <formula>"Mayor"</formula>
    </cfRule>
  </conditionalFormatting>
  <conditionalFormatting sqref="AD35">
    <cfRule type="cellIs" dxfId="10" priority="8" operator="equal">
      <formula>"Moderado"</formula>
    </cfRule>
  </conditionalFormatting>
  <conditionalFormatting sqref="AD35">
    <cfRule type="cellIs" dxfId="9" priority="9" operator="equal">
      <formula>"Menor"</formula>
    </cfRule>
  </conditionalFormatting>
  <conditionalFormatting sqref="AD35">
    <cfRule type="cellIs" dxfId="8" priority="10" operator="equal">
      <formula>"Leve"</formula>
    </cfRule>
  </conditionalFormatting>
  <conditionalFormatting sqref="AF35">
    <cfRule type="cellIs" dxfId="7" priority="11" operator="equal">
      <formula>"Extremo"</formula>
    </cfRule>
  </conditionalFormatting>
  <conditionalFormatting sqref="AF35">
    <cfRule type="cellIs" dxfId="6" priority="12" operator="equal">
      <formula>"Alto"</formula>
    </cfRule>
  </conditionalFormatting>
  <conditionalFormatting sqref="AF35">
    <cfRule type="cellIs" dxfId="5" priority="13" operator="equal">
      <formula>"Moderado"</formula>
    </cfRule>
  </conditionalFormatting>
  <conditionalFormatting sqref="AF35">
    <cfRule type="cellIs" dxfId="4" priority="14" operator="equal">
      <formula>"Bajo"</formula>
    </cfRule>
  </conditionalFormatting>
  <dataValidations count="1">
    <dataValidation type="list" allowBlank="1" showInputMessage="1" showErrorMessage="1" sqref="U44:V48 Y44:Y48 X103:Z105 U103:V105 AG103:AG105">
      <formula1>#REF!</formula1>
    </dataValidation>
  </dataValidations>
  <hyperlinks>
    <hyperlink ref="AP52" r:id="rId1"/>
    <hyperlink ref="AS52" r:id="rId2"/>
    <hyperlink ref="AP37" r:id="rId3" display="A continuación se comparten las evidencias de las observaciones y solicitudes de ajuste técnico que RenoBo ha hecho, incluyendo informes de visita a obra, oficios y solicitudes: _x000a__x000a_https://drive.google.com/drive/folders/10lNYZEv-ZrAbu8frQ-p9uXFkf0LOY3tf?us"/>
    <hyperlink ref="AS37" r:id="rId4" display="A continuación se comparte el listado de asistencia y la presentación de la capacitación:_x000a_https://drive.google.com/drive/u/1/folders/1uGEDos7_MnjDLjfgsgRX6ssfw3eMbCzv"/>
    <hyperlink ref="AP38" r:id="rId5" display="A continuación se comparten las evidencias de las visitas a obra: _x000a_https://drive.google.com/drive/folders/1W_oAmlh9KSHqoQM6VHnUUDg3JKTAoqHJ?usp=share_link"/>
    <hyperlink ref="AP39" r:id="rId6" display="A continuación se comparten las evidencias de los Comités de Compras y Contratación:_x000a_https://drive.google.com/drive/folders/1pX96oOwkz9PrvrsIHGtOWj81murpCPR-?usp=share_link"/>
    <hyperlink ref="AP40" r:id="rId7" display="A continuación se comparten las evidencias de los Comités de Compras y Contratación:_x000a_https://drive.google.com/drive/folders/1pX96oOwkz9PrvrsIHGtOWj81murpCPR-?usp=share_link"/>
    <hyperlink ref="AP44" r:id="rId8" display="A continuación se comparten las matrices de riesgo de riesgo de los proyectos:_x000a_https://drive.google.com/drive/folders/1mKrxYwojtzpc3B79x_L_z1J56ZeRneH4?usp=share_link"/>
    <hyperlink ref="AP46" r:id="rId9" display="A continuación se comparten las presentaciones de las reuniones semanales: https://drive.google.com/drive/u/2/folders/1DJ0p63Y4dlmW3SUOIjdpOhVoDmj8xXSL"/>
    <hyperlink ref="AP45" r:id="rId10" display="A continuación se comparten las presentaciones de las reuniones semanales: https://drive.google.com/drive/u/2/folders/1DJ0p63Y4dlmW3SUOIjdpOhVoDmj8xXSL"/>
    <hyperlink ref="AP47" r:id="rId11" display="A continuación se comparten las presentaciones de las reuniones semanales: https://drive.google.com/drive/u/2/folders/1DJ0p63Y4dlmW3SUOIjdpOhVoDmj8xXSL"/>
    <hyperlink ref="AP48" r:id="rId12" display="A continuación se comparten las presentaciones de las reuniones semanales: https://drive.google.com/drive/u/2/folders/1DJ0p63Y4dlmW3SUOIjdpOhVoDmj8xXSL"/>
  </hyperlinks>
  <pageMargins left="0.7" right="0.7" top="0.75" bottom="0.75" header="0.3" footer="0.3"/>
  <pageSetup orientation="portrait" r:id="rId13"/>
  <ignoredErrors>
    <ignoredError sqref="AA67" formula="1"/>
  </ignoredErrors>
  <extLst>
    <ext xmlns:x14="http://schemas.microsoft.com/office/spreadsheetml/2009/9/main" uri="{CCE6A557-97BC-4b89-ADB6-D9C93CAAB3DF}">
      <x14:dataValidations xmlns:xm="http://schemas.microsoft.com/office/excel/2006/main" count="13">
        <x14:dataValidation type="list" allowBlank="1" showInputMessage="1" showErrorMessage="1">
          <x14:formula1>
            <xm:f>'Opciones Tratamiento'!$B$9:$B$10</xm:f>
          </x14:formula1>
          <xm:sqref>AM7:AM12 AM135:AM138 AM63:AM130 AM132:AM133 AM16:AM19 AM21:AM22 AM24:AM25 AM27:AM34 AM36:AM61</xm:sqref>
        </x14:dataValidation>
        <x14:dataValidation type="list" allowBlank="1" showInputMessage="1" showErrorMessage="1">
          <x14:formula1>
            <xm:f>'Opciones Tratamiento'!$B$13:$B$19</xm:f>
          </x14:formula1>
          <xm:sqref>I7 I10 I13 I106 I16 I19 I25 I28 I31 I37 I41 I49 I52 I55 I58 I61 I109 I64 I44 I67 I73 I79 I82 I85 I88 I94 I97 I100 I115:I116 I130 I112 I118 I121 I124 I133 I136 I91 I70 I22 I34 I76 I103 I127</xm:sqref>
        </x14:dataValidation>
        <x14:dataValidation type="list" allowBlank="1" showInputMessage="1" showErrorMessage="1">
          <x14:formula1>
            <xm:f>'Opciones Tratamiento'!$E$2:$E$4</xm:f>
          </x14:formula1>
          <xm:sqref>E7 E10 E13 E106 E16 E19 E25 E28 E31 E37 E41 E49 E52 E55 E58 E61 E109 E64 E44 E70 E34 E79 E82 E85 E88 E94 E97 E100 E115:E116 E130 E112 E118 E121 E124 E133 E136 E91 E67 E22 E73 E76 E103 E127</xm:sqref>
        </x14:dataValidation>
        <x14:dataValidation type="list" allowBlank="1" showInputMessage="1" showErrorMessage="1">
          <x14:formula1>
            <xm:f>'Tabla Impacto'!$F$210:$F$221</xm:f>
          </x14:formula1>
          <xm:sqref>M7 M10 M13 M16 M19 M25 M28 M31 M37 M41 M49 M52 M55 M58 M61 M136 M64 M44 M70 M73 M79 M133 M82 M85 M88 M91 M94 M97 M100 M115:M116 M130 M106 M109 M112 M118 M121 M124 M67 M22 M34 M76 M103 M127</xm:sqref>
        </x14:dataValidation>
        <x14:dataValidation type="list" allowBlank="1" showInputMessage="1" showErrorMessage="1">
          <x14:formula1>
            <xm:f>'Tabla Valoración controles'!$D$4:$D$6</xm:f>
          </x14:formula1>
          <xm:sqref>U135:U138 U41:U43 U91:U102 U106:U116 U49:U88 U118:U130 U132:U133 U7:U19 U21:U22 U24:U25 U27:U34 U36</xm:sqref>
        </x14:dataValidation>
        <x14:dataValidation type="list" allowBlank="1" showInputMessage="1" showErrorMessage="1">
          <x14:formula1>
            <xm:f>'Tabla Valoración controles'!$D$7:$D$8</xm:f>
          </x14:formula1>
          <xm:sqref>V135:V138 V91:V102 V106:V116 V49:V88 V118:V130 V132:V133 V7:V19 V21:V22 V24:V25 V27:V34 V36:V43</xm:sqref>
        </x14:dataValidation>
        <x14:dataValidation type="list" allowBlank="1" showInputMessage="1" showErrorMessage="1">
          <x14:formula1>
            <xm:f>'Tabla Valoración controles'!$D$9:$D$10</xm:f>
          </x14:formula1>
          <xm:sqref>X135:X138 X91:X102 X106:X116 X118:X130 X132:X133 X7:X19 X21:X22 X24:X25 X27:X34 X36:X88</xm:sqref>
        </x14:dataValidation>
        <x14:dataValidation type="list" allowBlank="1" showInputMessage="1" showErrorMessage="1">
          <x14:formula1>
            <xm:f>'Tabla Valoración controles'!$D$11:$D$12</xm:f>
          </x14:formula1>
          <xm:sqref>Y135:Y138 Y91:Y102 Y106:Y116 Y49:Y88 Y118:Y130 Y132:Y133 Y7:Y19 Y21:Y22 Y24:Y25 Y27:Y34 Y36:Y43</xm:sqref>
        </x14:dataValidation>
        <x14:dataValidation type="list" allowBlank="1" showInputMessage="1" showErrorMessage="1">
          <x14:formula1>
            <xm:f>'Tabla Valoración controles'!$D$13:$D$14</xm:f>
          </x14:formula1>
          <xm:sqref>Z135:Z138 Z91:Z102 Z106:Z116 Z118:Z130 Z132:Z133 Z7:Z19 Z21:Z22 Z24:Z25 Z27:Z34 Z36:Z88</xm:sqref>
        </x14:dataValidation>
        <x14:dataValidation type="list" allowBlank="1" showInputMessage="1" showErrorMessage="1">
          <x14:formula1>
            <xm:f>'Opciones Tratamiento'!$B$2:$B$5</xm:f>
          </x14:formula1>
          <xm:sqref>AG135:AG138 AG106:AG116 AG118:AG130 AG132:AG133 AG7:AG19 AG21:AG22 AG24:AG25 AG27:AG34 AG36:AG102</xm:sqref>
        </x14:dataValidation>
        <x14:dataValidation type="list" allowBlank="1" showInputMessage="1" showErrorMessage="1">
          <x14:formula1>
            <xm:f>'D:\Users\lujo6\Downloads\[Mapa_riesgos_Ejec_Proy_2024_Propuesta_SGEP.xlsx]Tabla Valoración controles'!#REF!</xm:f>
          </x14:formula1>
          <xm:sqref>U37:U40</xm:sqref>
        </x14:dataValidation>
        <x14:dataValidation type="list" allowBlank="1" showErrorMessage="1">
          <x14:formula1>
            <xm:f>'D:\Users\lujo6\Downloads\[Mapa_riesgos_Ejec_Proy_2024_Propuesta_SGEP.xlsx]Tabla Valoración controles'!#REF!</xm:f>
          </x14:formula1>
          <xm:sqref>X131:Z131 X134:Z134 X20:Z20 X23:Z23 X26:Z26 X35:Z35 U131:V131 U134:V134 U20:V20 U23:V23 U26:V26 U35:V35</xm:sqref>
        </x14:dataValidation>
        <x14:dataValidation type="list" allowBlank="1" showErrorMessage="1">
          <x14:formula1>
            <xm:f>'D:\Users\lujo6\Downloads\[Mapa_riesgos_Ejec_Proy_2024_Propuesta_SGEP.xlsx]Opciones Tratamiento'!#REF!</xm:f>
          </x14:formula1>
          <xm:sqref>AM131 AM134 AM20 AM23 AM26 AM35 AG131 AG134 AG20 AG23 AG26 AG35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194"/>
  <sheetViews>
    <sheetView topLeftCell="B49" zoomScale="40" zoomScaleNormal="40" workbookViewId="0">
      <selection activeCell="AW110" sqref="AW110"/>
    </sheetView>
  </sheetViews>
  <sheetFormatPr baseColWidth="10" defaultRowHeight="15" x14ac:dyDescent="0.25"/>
  <cols>
    <col min="2" max="9" width="5.5703125" customWidth="1"/>
    <col min="10" max="59" width="8.5703125" customWidth="1"/>
    <col min="61" max="65" width="5.5703125" customWidth="1"/>
    <col min="66" max="66" width="20.5703125" customWidth="1"/>
  </cols>
  <sheetData>
    <row r="1" spans="1:119"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ht="18" customHeight="1" x14ac:dyDescent="0.25">
      <c r="A2" s="38"/>
      <c r="B2" s="606" t="s">
        <v>135</v>
      </c>
      <c r="C2" s="606"/>
      <c r="D2" s="606"/>
      <c r="E2" s="606"/>
      <c r="F2" s="606"/>
      <c r="G2" s="606"/>
      <c r="H2" s="606"/>
      <c r="I2" s="606"/>
      <c r="J2" s="351" t="s">
        <v>2</v>
      </c>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18.75" customHeight="1" x14ac:dyDescent="0.25">
      <c r="A3" s="38"/>
      <c r="B3" s="606"/>
      <c r="C3" s="606"/>
      <c r="D3" s="606"/>
      <c r="E3" s="606"/>
      <c r="F3" s="606"/>
      <c r="G3" s="606"/>
      <c r="H3" s="606"/>
      <c r="I3" s="606"/>
      <c r="J3" s="351"/>
      <c r="K3" s="351"/>
      <c r="L3" s="351"/>
      <c r="M3" s="351"/>
      <c r="N3" s="351"/>
      <c r="O3" s="351"/>
      <c r="P3" s="351"/>
      <c r="Q3" s="351"/>
      <c r="R3" s="351"/>
      <c r="S3" s="351"/>
      <c r="T3" s="351"/>
      <c r="U3" s="351"/>
      <c r="V3" s="351"/>
      <c r="W3" s="351"/>
      <c r="X3" s="351"/>
      <c r="Y3" s="351"/>
      <c r="Z3" s="351"/>
      <c r="AA3" s="351"/>
      <c r="AB3" s="351"/>
      <c r="AC3" s="351"/>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row>
    <row r="4" spans="1:119" ht="15" customHeight="1" x14ac:dyDescent="0.25">
      <c r="A4" s="38"/>
      <c r="B4" s="606"/>
      <c r="C4" s="606"/>
      <c r="D4" s="606"/>
      <c r="E4" s="606"/>
      <c r="F4" s="606"/>
      <c r="G4" s="606"/>
      <c r="H4" s="606"/>
      <c r="I4" s="606"/>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row>
    <row r="5" spans="1:119" ht="15.75" thickBot="1" x14ac:dyDescent="0.3">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row>
    <row r="6" spans="1:119" ht="15" customHeight="1" x14ac:dyDescent="0.25">
      <c r="A6" s="38"/>
      <c r="B6" s="352" t="s">
        <v>4</v>
      </c>
      <c r="C6" s="353"/>
      <c r="D6" s="354"/>
      <c r="E6" s="593" t="s">
        <v>107</v>
      </c>
      <c r="F6" s="594"/>
      <c r="G6" s="594"/>
      <c r="H6" s="594"/>
      <c r="I6" s="594"/>
      <c r="J6" s="603" t="str">
        <f ca="1">IF(AND('Mapa final'!$K$7="Muy Alta",'Mapa final'!$O$7="Leve"),CONCATENATE("R",'Mapa final'!$A$7),"")</f>
        <v/>
      </c>
      <c r="K6" s="551"/>
      <c r="L6" s="551" t="str">
        <f ca="1">IF(AND('Mapa final'!$K$10="Muy Alta",'Mapa final'!$O$10="Leve"),CONCATENATE("R",'Mapa final'!$A$10),"")</f>
        <v/>
      </c>
      <c r="M6" s="551"/>
      <c r="N6" s="551" t="str">
        <f ca="1">IF(AND('Mapa final'!$K$13="Muy Alta",'Mapa final'!$O$13="Leve"),CONCATENATE("R",'Mapa final'!$A$13),"")</f>
        <v/>
      </c>
      <c r="O6" s="551"/>
      <c r="P6" s="551" t="str">
        <f ca="1">IF(AND('Mapa final'!$K$16="Muy Alta",'Mapa final'!$O$16="Leve"),CONCATENATE("R",'Mapa final'!$A$16),"")</f>
        <v/>
      </c>
      <c r="Q6" s="551"/>
      <c r="R6" s="551" t="str">
        <f ca="1">IF(AND('Mapa final'!$K$19="Muy Alta",'Mapa final'!$O$19="Leve"),CONCATENATE("R",'Mapa final'!$A$19),"")</f>
        <v/>
      </c>
      <c r="S6" s="604"/>
      <c r="T6" s="603" t="str">
        <f ca="1">IF(AND('Mapa final'!$K$7="Muy Alta",'Mapa final'!$O$7="Menor"),CONCATENATE("R",'Mapa final'!$A$7),"")</f>
        <v/>
      </c>
      <c r="U6" s="551"/>
      <c r="V6" s="551" t="str">
        <f ca="1">IF(AND('Mapa final'!$K$10="Muy Alta",'Mapa final'!$O$10="Menor"),CONCATENATE("R",'Mapa final'!$A$10),"")</f>
        <v/>
      </c>
      <c r="W6" s="551"/>
      <c r="X6" s="551" t="str">
        <f ca="1">IF(AND('Mapa final'!$K$13="Muy Alta",'Mapa final'!$O$13="Menor"),CONCATENATE("R",'Mapa final'!$A$13),"")</f>
        <v/>
      </c>
      <c r="Y6" s="551"/>
      <c r="Z6" s="551" t="str">
        <f ca="1">IF(AND('Mapa final'!$K$16="Muy Alta",'Mapa final'!$O$16="Menor"),CONCATENATE("R",'Mapa final'!$A$16),"")</f>
        <v/>
      </c>
      <c r="AA6" s="551"/>
      <c r="AB6" s="551" t="str">
        <f ca="1">IF(AND('Mapa final'!$K$19="Muy Alta",'Mapa final'!$O$19="Menor"),CONCATENATE("R",'Mapa final'!$A$19),"")</f>
        <v/>
      </c>
      <c r="AC6" s="604"/>
      <c r="AD6" s="603" t="str">
        <f ca="1">IF(AND('Mapa final'!$K$7="Muy Alta",'Mapa final'!$O$7="Moderado"),CONCATENATE("R",'Mapa final'!$A$7),"")</f>
        <v/>
      </c>
      <c r="AE6" s="551"/>
      <c r="AF6" s="551" t="str">
        <f ca="1">IF(AND('Mapa final'!$K$10="Muy Alta",'Mapa final'!$O$10="Moderado"),CONCATENATE("R",'Mapa final'!$A$10),"")</f>
        <v/>
      </c>
      <c r="AG6" s="551"/>
      <c r="AH6" s="551" t="str">
        <f ca="1">IF(AND('Mapa final'!$K$13="Muy Alta",'Mapa final'!$O$13="Moderado"),CONCATENATE("R",'Mapa final'!$A$13),"")</f>
        <v/>
      </c>
      <c r="AI6" s="551"/>
      <c r="AJ6" s="551" t="str">
        <f ca="1">IF(AND('Mapa final'!$K$16="Muy Alta",'Mapa final'!$O$16="Moderado"),CONCATENATE("R",'Mapa final'!$A$16),"")</f>
        <v/>
      </c>
      <c r="AK6" s="551"/>
      <c r="AL6" s="551" t="str">
        <f ca="1">IF(AND('Mapa final'!$K$19="Muy Alta",'Mapa final'!$O$19="Moderado"),CONCATENATE("R",'Mapa final'!$A$19),"")</f>
        <v/>
      </c>
      <c r="AM6" s="604"/>
      <c r="AN6" s="603" t="str">
        <f ca="1">IF(AND('Mapa final'!$K$7="Muy Alta",'Mapa final'!$O$7="Mayor"),CONCATENATE("R",'Mapa final'!$A$7),"")</f>
        <v/>
      </c>
      <c r="AO6" s="551"/>
      <c r="AP6" s="551" t="str">
        <f ca="1">IF(AND('Mapa final'!$K$10="Muy Alta",'Mapa final'!$O$10="Mayor"),CONCATENATE("R",'Mapa final'!$A$10),"")</f>
        <v/>
      </c>
      <c r="AQ6" s="551"/>
      <c r="AR6" s="551" t="str">
        <f ca="1">IF(AND('Mapa final'!$K$13="Muy Alta",'Mapa final'!$O$13="Mayor"),CONCATENATE("R",'Mapa final'!$A$13),"")</f>
        <v/>
      </c>
      <c r="AS6" s="551"/>
      <c r="AT6" s="551" t="str">
        <f ca="1">IF(AND('Mapa final'!$K$16="Muy Alta",'Mapa final'!$O$16="Mayor"),CONCATENATE("R",'Mapa final'!$A$16),"")</f>
        <v/>
      </c>
      <c r="AU6" s="551"/>
      <c r="AV6" s="551" t="str">
        <f ca="1">IF(AND('Mapa final'!$K$19="Muy Alta",'Mapa final'!$O$19="Mayor"),CONCATENATE("R",'Mapa final'!$A$19),"")</f>
        <v/>
      </c>
      <c r="AW6" s="551"/>
      <c r="AX6" s="548" t="str">
        <f ca="1">IF(AND('Mapa final'!$K$7="Muy Alta",'Mapa final'!$O$7="Catastrófico"),CONCATENATE("R",'Mapa final'!$A$7),"")</f>
        <v/>
      </c>
      <c r="AY6" s="549"/>
      <c r="AZ6" s="549" t="str">
        <f ca="1">IF(AND('Mapa final'!$K$10="Muy Alta",'Mapa final'!$O$10="Catastrófico"),CONCATENATE("R",'Mapa final'!$A$10),"")</f>
        <v/>
      </c>
      <c r="BA6" s="549"/>
      <c r="BB6" s="549" t="str">
        <f ca="1">IF(AND('Mapa final'!$K$13="Muy Alta",'Mapa final'!$O$13="Catastrófico"),CONCATENATE("R",'Mapa final'!$A$13),"")</f>
        <v/>
      </c>
      <c r="BC6" s="549"/>
      <c r="BD6" s="549" t="str">
        <f ca="1">IF(AND('Mapa final'!$K$16="Muy Alta",'Mapa final'!$O$16="Catastrófico"),CONCATENATE("R",'Mapa final'!$A$16),"")</f>
        <v/>
      </c>
      <c r="BE6" s="549"/>
      <c r="BF6" s="549" t="str">
        <f ca="1">IF(AND('Mapa final'!$K$19="Muy Alta",'Mapa final'!$O$19="Catastrófico"),CONCATENATE("R",'Mapa final'!$A$19),"")</f>
        <v/>
      </c>
      <c r="BG6" s="550"/>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row>
    <row r="7" spans="1:119" ht="15" customHeight="1" x14ac:dyDescent="0.25">
      <c r="A7" s="38"/>
      <c r="B7" s="355"/>
      <c r="C7" s="356"/>
      <c r="D7" s="357"/>
      <c r="E7" s="595"/>
      <c r="F7" s="596"/>
      <c r="G7" s="596"/>
      <c r="H7" s="596"/>
      <c r="I7" s="596"/>
      <c r="J7" s="530"/>
      <c r="K7" s="531"/>
      <c r="L7" s="531"/>
      <c r="M7" s="531"/>
      <c r="N7" s="531"/>
      <c r="O7" s="531"/>
      <c r="P7" s="531"/>
      <c r="Q7" s="531"/>
      <c r="R7" s="531"/>
      <c r="S7" s="534"/>
      <c r="T7" s="530"/>
      <c r="U7" s="531"/>
      <c r="V7" s="531"/>
      <c r="W7" s="531"/>
      <c r="X7" s="531"/>
      <c r="Y7" s="531"/>
      <c r="Z7" s="531"/>
      <c r="AA7" s="531"/>
      <c r="AB7" s="531"/>
      <c r="AC7" s="534"/>
      <c r="AD7" s="530"/>
      <c r="AE7" s="531"/>
      <c r="AF7" s="531"/>
      <c r="AG7" s="531"/>
      <c r="AH7" s="531"/>
      <c r="AI7" s="531"/>
      <c r="AJ7" s="531"/>
      <c r="AK7" s="531"/>
      <c r="AL7" s="531"/>
      <c r="AM7" s="534"/>
      <c r="AN7" s="530"/>
      <c r="AO7" s="531"/>
      <c r="AP7" s="531"/>
      <c r="AQ7" s="531"/>
      <c r="AR7" s="531"/>
      <c r="AS7" s="531"/>
      <c r="AT7" s="531"/>
      <c r="AU7" s="531"/>
      <c r="AV7" s="531"/>
      <c r="AW7" s="531"/>
      <c r="AX7" s="519"/>
      <c r="AY7" s="517"/>
      <c r="AZ7" s="517"/>
      <c r="BA7" s="517"/>
      <c r="BB7" s="517"/>
      <c r="BC7" s="517"/>
      <c r="BD7" s="517"/>
      <c r="BE7" s="517"/>
      <c r="BF7" s="517"/>
      <c r="BG7" s="51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row>
    <row r="8" spans="1:119" ht="15" customHeight="1" x14ac:dyDescent="0.25">
      <c r="A8" s="38"/>
      <c r="B8" s="355"/>
      <c r="C8" s="356"/>
      <c r="D8" s="357"/>
      <c r="E8" s="595"/>
      <c r="F8" s="596"/>
      <c r="G8" s="596"/>
      <c r="H8" s="596"/>
      <c r="I8" s="596"/>
      <c r="J8" s="530" t="str">
        <f ca="1">IF(AND('Mapa final'!$K$22="Muy Alta",'Mapa final'!$O$22="Leve"),CONCATENATE("R",'Mapa final'!$A$22),"")</f>
        <v/>
      </c>
      <c r="K8" s="531"/>
      <c r="L8" s="531" t="str">
        <f ca="1">IF(AND('Mapa final'!$K$25="Muy Alta",'Mapa final'!$O$25="Leve"),CONCATENATE("R",'Mapa final'!$A$25),"")</f>
        <v/>
      </c>
      <c r="M8" s="531"/>
      <c r="N8" s="531" t="str">
        <f ca="1">IF(AND('Mapa final'!$K$28="Muy Alta",'Mapa final'!$O$28="Leve"),CONCATENATE("R",'Mapa final'!$A$28),"")</f>
        <v/>
      </c>
      <c r="O8" s="531"/>
      <c r="P8" s="531" t="str">
        <f ca="1">IF(AND('Mapa final'!$K$31="Muy Alta",'Mapa final'!$O$31="Leve"),CONCATENATE("R",'Mapa final'!$A$31),"")</f>
        <v/>
      </c>
      <c r="Q8" s="531"/>
      <c r="R8" s="531" t="str">
        <f ca="1">IF(AND('Mapa final'!$K$34="Muy Alta",'Mapa final'!$O$34="Leve"),CONCATENATE("R",'Mapa final'!$A$34),"")</f>
        <v/>
      </c>
      <c r="S8" s="534"/>
      <c r="T8" s="530" t="str">
        <f ca="1">IF(AND('Mapa final'!$K$22="Muy Alta",'Mapa final'!$O$22="Menor"),CONCATENATE("R",'Mapa final'!$A$22),"")</f>
        <v/>
      </c>
      <c r="U8" s="531"/>
      <c r="V8" s="531" t="str">
        <f ca="1">IF(AND('Mapa final'!$K$25="Muy Alta",'Mapa final'!$O$25="Menor"),CONCATENATE("R",'Mapa final'!$A$25),"")</f>
        <v/>
      </c>
      <c r="W8" s="531"/>
      <c r="X8" s="531" t="str">
        <f ca="1">IF(AND('Mapa final'!$K$28="Muy Alta",'Mapa final'!$O$28="Menor"),CONCATENATE("R",'Mapa final'!$A$28),"")</f>
        <v/>
      </c>
      <c r="Y8" s="531"/>
      <c r="Z8" s="531" t="str">
        <f ca="1">IF(AND('Mapa final'!$K$31="Muy Alta",'Mapa final'!$O$31="Menor"),CONCATENATE("R",'Mapa final'!$A$31),"")</f>
        <v/>
      </c>
      <c r="AA8" s="531"/>
      <c r="AB8" s="531" t="str">
        <f ca="1">IF(AND('Mapa final'!$K$34="Muy Alta",'Mapa final'!$O$34="Menor"),CONCATENATE("R",'Mapa final'!$A$34),"")</f>
        <v/>
      </c>
      <c r="AC8" s="534"/>
      <c r="AD8" s="530" t="str">
        <f ca="1">IF(AND('Mapa final'!$K$22="Muy Alta",'Mapa final'!$O$22="Moderado"),CONCATENATE("R",'Mapa final'!$A$22),"")</f>
        <v/>
      </c>
      <c r="AE8" s="531"/>
      <c r="AF8" s="531" t="str">
        <f ca="1">IF(AND('Mapa final'!$K$25="Muy Alta",'Mapa final'!$O$25="Moderado"),CONCATENATE("R",'Mapa final'!$A$25),"")</f>
        <v/>
      </c>
      <c r="AG8" s="531"/>
      <c r="AH8" s="531" t="str">
        <f ca="1">IF(AND('Mapa final'!$K$28="Muy Alta",'Mapa final'!$O$28="Moderado"),CONCATENATE("R",'Mapa final'!$A$28),"")</f>
        <v/>
      </c>
      <c r="AI8" s="531"/>
      <c r="AJ8" s="531" t="str">
        <f ca="1">IF(AND('Mapa final'!$K$31="Muy Alta",'Mapa final'!$O$31="Moderado"),CONCATENATE("R",'Mapa final'!$A$31),"")</f>
        <v/>
      </c>
      <c r="AK8" s="531"/>
      <c r="AL8" s="531" t="str">
        <f ca="1">IF(AND('Mapa final'!$K$34="Muy Alta",'Mapa final'!$O$34="Moderado"),CONCATENATE("R",'Mapa final'!$A$34),"")</f>
        <v/>
      </c>
      <c r="AM8" s="534"/>
      <c r="AN8" s="530" t="str">
        <f ca="1">IF(AND('Mapa final'!$K$22="Muy Alta",'Mapa final'!$O$22="Mayor"),CONCATENATE("R",'Mapa final'!$A$22),"")</f>
        <v/>
      </c>
      <c r="AO8" s="531"/>
      <c r="AP8" s="531" t="str">
        <f ca="1">IF(AND('Mapa final'!$K$25="Muy Alta",'Mapa final'!$O$25="Mayor"),CONCATENATE("R",'Mapa final'!$A$25),"")</f>
        <v/>
      </c>
      <c r="AQ8" s="531"/>
      <c r="AR8" s="531" t="str">
        <f ca="1">IF(AND('Mapa final'!$K$28="Muy Alta",'Mapa final'!$O$28="Mayor"),CONCATENATE("R",'Mapa final'!$A$28),"")</f>
        <v/>
      </c>
      <c r="AS8" s="531"/>
      <c r="AT8" s="531" t="str">
        <f ca="1">IF(AND('Mapa final'!$K$31="Muy Alta",'Mapa final'!$O$31="Mayor"),CONCATENATE("R",'Mapa final'!$A$31),"")</f>
        <v/>
      </c>
      <c r="AU8" s="531"/>
      <c r="AV8" s="531" t="str">
        <f ca="1">IF(AND('Mapa final'!$K$34="Muy Alta",'Mapa final'!$O$34="Mayor"),CONCATENATE("R",'Mapa final'!$A$34),"")</f>
        <v/>
      </c>
      <c r="AW8" s="531"/>
      <c r="AX8" s="519" t="str">
        <f ca="1">IF(AND('Mapa final'!$K$22="Muy Alta",'Mapa final'!$O$22="Catastrófico"),CONCATENATE("R",'Mapa final'!$A$22),"")</f>
        <v/>
      </c>
      <c r="AY8" s="517"/>
      <c r="AZ8" s="517" t="str">
        <f ca="1">IF(AND('Mapa final'!$K$25="Muy Alta",'Mapa final'!$O$25="Catastrófico"),CONCATENATE("R",'Mapa final'!$A$25),"")</f>
        <v/>
      </c>
      <c r="BA8" s="517"/>
      <c r="BB8" s="517" t="str">
        <f ca="1">IF(AND('Mapa final'!$K$28="Muy Alta",'Mapa final'!$O$28="Catastrófico"),CONCATENATE("R",'Mapa final'!$A$28),"")</f>
        <v/>
      </c>
      <c r="BC8" s="517"/>
      <c r="BD8" s="517" t="str">
        <f ca="1">IF(AND('Mapa final'!$K$31="Muy Alta",'Mapa final'!$O$31="Catastrófico"),CONCATENATE("R",'Mapa final'!$A$31),"")</f>
        <v/>
      </c>
      <c r="BE8" s="517"/>
      <c r="BF8" s="517" t="str">
        <f ca="1">IF(AND('Mapa final'!$K$34="Muy Alta",'Mapa final'!$O$34="Catastrófico"),CONCATENATE("R",'Mapa final'!$A$34),"")</f>
        <v/>
      </c>
      <c r="BG8" s="51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row>
    <row r="9" spans="1:119" ht="15" customHeight="1" x14ac:dyDescent="0.25">
      <c r="A9" s="38"/>
      <c r="B9" s="355"/>
      <c r="C9" s="356"/>
      <c r="D9" s="357"/>
      <c r="E9" s="595"/>
      <c r="F9" s="596"/>
      <c r="G9" s="596"/>
      <c r="H9" s="596"/>
      <c r="I9" s="596"/>
      <c r="J9" s="530"/>
      <c r="K9" s="531"/>
      <c r="L9" s="531"/>
      <c r="M9" s="531"/>
      <c r="N9" s="531"/>
      <c r="O9" s="531"/>
      <c r="P9" s="531"/>
      <c r="Q9" s="531"/>
      <c r="R9" s="531"/>
      <c r="S9" s="534"/>
      <c r="T9" s="530"/>
      <c r="U9" s="531"/>
      <c r="V9" s="531"/>
      <c r="W9" s="531"/>
      <c r="X9" s="531"/>
      <c r="Y9" s="531"/>
      <c r="Z9" s="531"/>
      <c r="AA9" s="531"/>
      <c r="AB9" s="531"/>
      <c r="AC9" s="534"/>
      <c r="AD9" s="530"/>
      <c r="AE9" s="531"/>
      <c r="AF9" s="531"/>
      <c r="AG9" s="531"/>
      <c r="AH9" s="531"/>
      <c r="AI9" s="531"/>
      <c r="AJ9" s="531"/>
      <c r="AK9" s="531"/>
      <c r="AL9" s="531"/>
      <c r="AM9" s="534"/>
      <c r="AN9" s="530"/>
      <c r="AO9" s="531"/>
      <c r="AP9" s="531"/>
      <c r="AQ9" s="531"/>
      <c r="AR9" s="531"/>
      <c r="AS9" s="531"/>
      <c r="AT9" s="531"/>
      <c r="AU9" s="531"/>
      <c r="AV9" s="531"/>
      <c r="AW9" s="531"/>
      <c r="AX9" s="519"/>
      <c r="AY9" s="517"/>
      <c r="AZ9" s="517"/>
      <c r="BA9" s="517"/>
      <c r="BB9" s="517"/>
      <c r="BC9" s="517"/>
      <c r="BD9" s="517"/>
      <c r="BE9" s="517"/>
      <c r="BF9" s="517"/>
      <c r="BG9" s="51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row>
    <row r="10" spans="1:119" ht="15" customHeight="1" x14ac:dyDescent="0.25">
      <c r="A10" s="38"/>
      <c r="B10" s="355"/>
      <c r="C10" s="356"/>
      <c r="D10" s="357"/>
      <c r="E10" s="595"/>
      <c r="F10" s="596"/>
      <c r="G10" s="596"/>
      <c r="H10" s="596"/>
      <c r="I10" s="596"/>
      <c r="J10" s="530" t="str">
        <f ca="1">IF(AND('Mapa final'!$K$37="Muy Alta",'Mapa final'!$O$37="Leve"),CONCATENATE("R",'Mapa final'!$A$37),"")</f>
        <v/>
      </c>
      <c r="K10" s="531"/>
      <c r="L10" s="531" t="str">
        <f ca="1">IF(AND('Mapa final'!$K$41="Muy Alta",'Mapa final'!$O$41="Leve"),CONCATENATE("R",'Mapa final'!$A$41),"")</f>
        <v/>
      </c>
      <c r="M10" s="531"/>
      <c r="N10" s="531" t="str">
        <f ca="1">IF(AND('Mapa final'!$K$44="Muy Alta",'Mapa final'!$O$44="Leve"),CONCATENATE("R",'Mapa final'!$A$44),"")</f>
        <v/>
      </c>
      <c r="O10" s="531"/>
      <c r="P10" s="531" t="str">
        <f ca="1">IF(AND('Mapa final'!$K$49="Muy Alta",'Mapa final'!$O$49="Leve"),CONCATENATE("R",'Mapa final'!$A$49),"")</f>
        <v/>
      </c>
      <c r="Q10" s="531"/>
      <c r="R10" s="531" t="str">
        <f ca="1">IF(AND('Mapa final'!$K$52="Muy Alta",'Mapa final'!$O$52="Leve"),CONCATENATE("R",'Mapa final'!$A$52),"")</f>
        <v/>
      </c>
      <c r="S10" s="534"/>
      <c r="T10" s="530" t="str">
        <f ca="1">IF(AND('Mapa final'!$K$37="Muy Alta",'Mapa final'!$O$37="Menor"),CONCATENATE("R",'Mapa final'!$A$37),"")</f>
        <v/>
      </c>
      <c r="U10" s="531"/>
      <c r="V10" s="531" t="str">
        <f ca="1">IF(AND('Mapa final'!$K$41="Muy Alta",'Mapa final'!$O$41="Menor"),CONCATENATE("R",'Mapa final'!$A$41),"")</f>
        <v/>
      </c>
      <c r="W10" s="531"/>
      <c r="X10" s="531" t="str">
        <f ca="1">IF(AND('Mapa final'!$K$44="Muy Alta",'Mapa final'!$O$44="Menor"),CONCATENATE("R",'Mapa final'!$A$44),"")</f>
        <v/>
      </c>
      <c r="Y10" s="531"/>
      <c r="Z10" s="531" t="str">
        <f ca="1">IF(AND('Mapa final'!$K$49="Muy Alta",'Mapa final'!$O$49="Menor"),CONCATENATE("R",'Mapa final'!$A$49),"")</f>
        <v/>
      </c>
      <c r="AA10" s="531"/>
      <c r="AB10" s="531" t="str">
        <f ca="1">IF(AND('Mapa final'!$K$52="Muy Alta",'Mapa final'!$O$52="Menor"),CONCATENATE("R",'Mapa final'!$A$52),"")</f>
        <v/>
      </c>
      <c r="AC10" s="534"/>
      <c r="AD10" s="530" t="str">
        <f ca="1">IF(AND('Mapa final'!$K$37="Muy Alta",'Mapa final'!$O$37="Moderado"),CONCATENATE("R",'Mapa final'!$A$37),"")</f>
        <v/>
      </c>
      <c r="AE10" s="531"/>
      <c r="AF10" s="531" t="str">
        <f ca="1">IF(AND('Mapa final'!$K$41="Muy Alta",'Mapa final'!$O$41="Moderado"),CONCATENATE("R",'Mapa final'!$A$41),"")</f>
        <v/>
      </c>
      <c r="AG10" s="531"/>
      <c r="AH10" s="531" t="str">
        <f ca="1">IF(AND('Mapa final'!$K$44="Muy Alta",'Mapa final'!$O$44="Moderado"),CONCATENATE("R",'Mapa final'!$A$44),"")</f>
        <v/>
      </c>
      <c r="AI10" s="531"/>
      <c r="AJ10" s="531" t="str">
        <f ca="1">IF(AND('Mapa final'!$K$49="Muy Alta",'Mapa final'!$O$49="Moderado"),CONCATENATE("R",'Mapa final'!$A$49),"")</f>
        <v/>
      </c>
      <c r="AK10" s="531"/>
      <c r="AL10" s="531" t="str">
        <f ca="1">IF(AND('Mapa final'!$K$52="Muy Alta",'Mapa final'!$O$52="Moderado"),CONCATENATE("R",'Mapa final'!$A$52),"")</f>
        <v/>
      </c>
      <c r="AM10" s="534"/>
      <c r="AN10" s="530" t="str">
        <f ca="1">IF(AND('Mapa final'!$K$37="Muy Alta",'Mapa final'!$O$37="Mayor"),CONCATENATE("R",'Mapa final'!$A$37),"")</f>
        <v/>
      </c>
      <c r="AO10" s="531"/>
      <c r="AP10" s="531" t="str">
        <f ca="1">IF(AND('Mapa final'!$K$41="Muy Alta",'Mapa final'!$O$41="Mayor"),CONCATENATE("R",'Mapa final'!$A$41),"")</f>
        <v/>
      </c>
      <c r="AQ10" s="531"/>
      <c r="AR10" s="531" t="str">
        <f ca="1">IF(AND('Mapa final'!$K$44="Muy Alta",'Mapa final'!$O$44="Mayor"),CONCATENATE("R",'Mapa final'!$A$44),"")</f>
        <v/>
      </c>
      <c r="AS10" s="531"/>
      <c r="AT10" s="531" t="str">
        <f ca="1">IF(AND('Mapa final'!$K$49="Muy Alta",'Mapa final'!$O$49="Mayor"),CONCATENATE("R",'Mapa final'!$A$49),"")</f>
        <v/>
      </c>
      <c r="AU10" s="531"/>
      <c r="AV10" s="531" t="str">
        <f ca="1">IF(AND('Mapa final'!$K$52="Muy Alta",'Mapa final'!$O$52="Mayor"),CONCATENATE("R",'Mapa final'!$A$52),"")</f>
        <v/>
      </c>
      <c r="AW10" s="531"/>
      <c r="AX10" s="519" t="str">
        <f ca="1">IF(AND('Mapa final'!$K$37="Muy Alta",'Mapa final'!$O$37="Catastrófico"),CONCATENATE("R",'Mapa final'!$A$37),"")</f>
        <v/>
      </c>
      <c r="AY10" s="517"/>
      <c r="AZ10" s="517" t="str">
        <f ca="1">IF(AND('Mapa final'!$K$41="Muy Alta",'Mapa final'!$O$41="Catastrófico"),CONCATENATE("R",'Mapa final'!$A$41),"")</f>
        <v/>
      </c>
      <c r="BA10" s="517"/>
      <c r="BB10" s="517" t="str">
        <f ca="1">IF(AND('Mapa final'!$K$44="Muy Alta",'Mapa final'!$O$44="Catastrófico"),CONCATENATE("R",'Mapa final'!$A$44),"")</f>
        <v/>
      </c>
      <c r="BC10" s="517"/>
      <c r="BD10" s="517" t="str">
        <f ca="1">IF(AND('Mapa final'!$K$49="Muy Alta",'Mapa final'!$O$49="Catastrófico"),CONCATENATE("R",'Mapa final'!$A$49),"")</f>
        <v/>
      </c>
      <c r="BE10" s="517"/>
      <c r="BF10" s="517" t="str">
        <f ca="1">IF(AND('Mapa final'!$K$52="Muy Alta",'Mapa final'!$O$52="Catastrófico"),CONCATENATE("R",'Mapa final'!$A$52),"")</f>
        <v/>
      </c>
      <c r="BG10" s="51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row>
    <row r="11" spans="1:119" ht="15" customHeight="1" x14ac:dyDescent="0.25">
      <c r="A11" s="38"/>
      <c r="B11" s="355"/>
      <c r="C11" s="356"/>
      <c r="D11" s="357"/>
      <c r="E11" s="595"/>
      <c r="F11" s="596"/>
      <c r="G11" s="596"/>
      <c r="H11" s="596"/>
      <c r="I11" s="596"/>
      <c r="J11" s="530"/>
      <c r="K11" s="531"/>
      <c r="L11" s="531"/>
      <c r="M11" s="531"/>
      <c r="N11" s="531"/>
      <c r="O11" s="531"/>
      <c r="P11" s="531"/>
      <c r="Q11" s="531"/>
      <c r="R11" s="531"/>
      <c r="S11" s="534"/>
      <c r="T11" s="530"/>
      <c r="U11" s="531"/>
      <c r="V11" s="531"/>
      <c r="W11" s="531"/>
      <c r="X11" s="531"/>
      <c r="Y11" s="531"/>
      <c r="Z11" s="531"/>
      <c r="AA11" s="531"/>
      <c r="AB11" s="531"/>
      <c r="AC11" s="534"/>
      <c r="AD11" s="530"/>
      <c r="AE11" s="531"/>
      <c r="AF11" s="531"/>
      <c r="AG11" s="531"/>
      <c r="AH11" s="531"/>
      <c r="AI11" s="531"/>
      <c r="AJ11" s="531"/>
      <c r="AK11" s="531"/>
      <c r="AL11" s="531"/>
      <c r="AM11" s="534"/>
      <c r="AN11" s="530"/>
      <c r="AO11" s="531"/>
      <c r="AP11" s="531"/>
      <c r="AQ11" s="531"/>
      <c r="AR11" s="531"/>
      <c r="AS11" s="531"/>
      <c r="AT11" s="531"/>
      <c r="AU11" s="531"/>
      <c r="AV11" s="531"/>
      <c r="AW11" s="531"/>
      <c r="AX11" s="519"/>
      <c r="AY11" s="517"/>
      <c r="AZ11" s="517"/>
      <c r="BA11" s="517"/>
      <c r="BB11" s="517"/>
      <c r="BC11" s="517"/>
      <c r="BD11" s="517"/>
      <c r="BE11" s="517"/>
      <c r="BF11" s="517"/>
      <c r="BG11" s="51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row>
    <row r="12" spans="1:119" ht="15" customHeight="1" x14ac:dyDescent="0.25">
      <c r="A12" s="38"/>
      <c r="B12" s="355"/>
      <c r="C12" s="356"/>
      <c r="D12" s="357"/>
      <c r="E12" s="595"/>
      <c r="F12" s="596"/>
      <c r="G12" s="596"/>
      <c r="H12" s="596"/>
      <c r="I12" s="596"/>
      <c r="J12" s="530" t="str">
        <f ca="1">IF(AND('Mapa final'!$K$55="Muy Alta",'Mapa final'!$O$55="Leve"),CONCATENATE("R",'Mapa final'!$A$55),"")</f>
        <v/>
      </c>
      <c r="K12" s="531"/>
      <c r="L12" s="531" t="str">
        <f ca="1">IF(AND('Mapa final'!$K$58="Muy Alta",'Mapa final'!$O$58="Leve"),CONCATENATE("R",'Mapa final'!$A$58),"")</f>
        <v/>
      </c>
      <c r="M12" s="531"/>
      <c r="N12" s="531" t="str">
        <f ca="1">IF(AND('Mapa final'!$K$61="Muy Alta",'Mapa final'!$O$61="Leve"),CONCATENATE("R",'Mapa final'!$A$61),"")</f>
        <v/>
      </c>
      <c r="O12" s="531"/>
      <c r="P12" s="531" t="str">
        <f ca="1">IF(AND('Mapa final'!$K$64="Muy Alta",'Mapa final'!$O$64="Leve"),CONCATENATE("R",'Mapa final'!$A$64),"")</f>
        <v/>
      </c>
      <c r="Q12" s="531"/>
      <c r="R12" s="531" t="str">
        <f ca="1">IF(AND('Mapa final'!$K$67="Muy Alta",'Mapa final'!$O$67="Leve"),CONCATENATE("R",'Mapa final'!$A$67),"")</f>
        <v/>
      </c>
      <c r="S12" s="534"/>
      <c r="T12" s="530" t="str">
        <f ca="1">IF(AND('Mapa final'!$K$55="Muy Alta",'Mapa final'!$O$55="Menor"),CONCATENATE("R",'Mapa final'!$A$55),"")</f>
        <v/>
      </c>
      <c r="U12" s="531"/>
      <c r="V12" s="531" t="str">
        <f ca="1">IF(AND('Mapa final'!$K$58="Muy Alta",'Mapa final'!$O$58="Menor"),CONCATENATE("R",'Mapa final'!$A$58),"")</f>
        <v/>
      </c>
      <c r="W12" s="531"/>
      <c r="X12" s="531" t="str">
        <f ca="1">IF(AND('Mapa final'!$K$61="Muy Alta",'Mapa final'!$O$61="Menor"),CONCATENATE("R",'Mapa final'!$A$61),"")</f>
        <v/>
      </c>
      <c r="Y12" s="531"/>
      <c r="Z12" s="531" t="str">
        <f ca="1">IF(AND('Mapa final'!$K$64="Muy Alta",'Mapa final'!$O$64="Menor"),CONCATENATE("R",'Mapa final'!$A$64),"")</f>
        <v/>
      </c>
      <c r="AA12" s="531"/>
      <c r="AB12" s="531" t="str">
        <f ca="1">IF(AND('Mapa final'!$K$67="Muy Alta",'Mapa final'!$O$67="Menor"),CONCATENATE("R",'Mapa final'!$A$67),"")</f>
        <v/>
      </c>
      <c r="AC12" s="534"/>
      <c r="AD12" s="530" t="str">
        <f ca="1">IF(AND('Mapa final'!$K$55="Muy Alta",'Mapa final'!$O$55="Moderado"),CONCATENATE("R",'Mapa final'!$A$55),"")</f>
        <v/>
      </c>
      <c r="AE12" s="531"/>
      <c r="AF12" s="531" t="str">
        <f ca="1">IF(AND('Mapa final'!$K$58="Muy Alta",'Mapa final'!$O$58="Moderado"),CONCATENATE("R",'Mapa final'!$A$58),"")</f>
        <v/>
      </c>
      <c r="AG12" s="531"/>
      <c r="AH12" s="531" t="str">
        <f ca="1">IF(AND('Mapa final'!$K$61="Muy Alta",'Mapa final'!$O$61="Moderado"),CONCATENATE("R",'Mapa final'!$A$61),"")</f>
        <v/>
      </c>
      <c r="AI12" s="531"/>
      <c r="AJ12" s="531" t="str">
        <f ca="1">IF(AND('Mapa final'!$K$64="Muy Alta",'Mapa final'!$O$64="Moderado"),CONCATENATE("R",'Mapa final'!$A$64),"")</f>
        <v/>
      </c>
      <c r="AK12" s="531"/>
      <c r="AL12" s="531" t="str">
        <f ca="1">IF(AND('Mapa final'!$K$67="Muy Alta",'Mapa final'!$O$67="Moderado"),CONCATENATE("R",'Mapa final'!$A$67),"")</f>
        <v/>
      </c>
      <c r="AM12" s="534"/>
      <c r="AN12" s="530" t="str">
        <f ca="1">IF(AND('Mapa final'!$K$55="Muy Alta",'Mapa final'!$O$55="Mayor"),CONCATENATE("R",'Mapa final'!$A$55),"")</f>
        <v/>
      </c>
      <c r="AO12" s="531"/>
      <c r="AP12" s="531" t="str">
        <f ca="1">IF(AND('Mapa final'!$K$58="Muy Alta",'Mapa final'!$O$58="Mayor"),CONCATENATE("R",'Mapa final'!$A$58),"")</f>
        <v/>
      </c>
      <c r="AQ12" s="531"/>
      <c r="AR12" s="531" t="str">
        <f ca="1">IF(AND('Mapa final'!$K$61="Muy Alta",'Mapa final'!$O$61="Mayor"),CONCATENATE("R",'Mapa final'!$A$61),"")</f>
        <v/>
      </c>
      <c r="AS12" s="531"/>
      <c r="AT12" s="531" t="str">
        <f ca="1">IF(AND('Mapa final'!$K$64="Muy Alta",'Mapa final'!$O$64="Mayor"),CONCATENATE("R",'Mapa final'!$A$64),"")</f>
        <v/>
      </c>
      <c r="AU12" s="531"/>
      <c r="AV12" s="531" t="str">
        <f ca="1">IF(AND('Mapa final'!$K$67="Muy Alta",'Mapa final'!$O$67="Mayor"),CONCATENATE("R",'Mapa final'!$A$67),"")</f>
        <v/>
      </c>
      <c r="AW12" s="531"/>
      <c r="AX12" s="519" t="str">
        <f ca="1">IF(AND('Mapa final'!$K$55="Muy Alta",'Mapa final'!$O$55="Catastrófico"),CONCATENATE("R",'Mapa final'!$A$55),"")</f>
        <v/>
      </c>
      <c r="AY12" s="517"/>
      <c r="AZ12" s="517" t="str">
        <f ca="1">IF(AND('Mapa final'!$K$58="Muy Alta",'Mapa final'!$O$58="Catastrófico"),CONCATENATE("R",'Mapa final'!$A$58),"")</f>
        <v/>
      </c>
      <c r="BA12" s="517"/>
      <c r="BB12" s="517" t="str">
        <f ca="1">IF(AND('Mapa final'!$K$61="Muy Alta",'Mapa final'!$O$61="Catastrófico"),CONCATENATE("R",'Mapa final'!$A$61),"")</f>
        <v/>
      </c>
      <c r="BC12" s="517"/>
      <c r="BD12" s="517" t="str">
        <f ca="1">IF(AND('Mapa final'!$K$64="Muy Alta",'Mapa final'!$O$64="Catastrófico"),CONCATENATE("R",'Mapa final'!$A$64),"")</f>
        <v/>
      </c>
      <c r="BE12" s="517"/>
      <c r="BF12" s="517" t="str">
        <f ca="1">IF(AND('Mapa final'!$K$67="Muy Alta",'Mapa final'!$O$67="Catastrófico"),CONCATENATE("R",'Mapa final'!$A$67),"")</f>
        <v/>
      </c>
      <c r="BG12" s="51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row>
    <row r="13" spans="1:119" ht="15" customHeight="1" thickBot="1" x14ac:dyDescent="0.3">
      <c r="A13" s="38"/>
      <c r="B13" s="355"/>
      <c r="C13" s="356"/>
      <c r="D13" s="357"/>
      <c r="E13" s="595"/>
      <c r="F13" s="596"/>
      <c r="G13" s="596"/>
      <c r="H13" s="596"/>
      <c r="I13" s="596"/>
      <c r="J13" s="530"/>
      <c r="K13" s="531"/>
      <c r="L13" s="531"/>
      <c r="M13" s="531"/>
      <c r="N13" s="531"/>
      <c r="O13" s="531"/>
      <c r="P13" s="531"/>
      <c r="Q13" s="531"/>
      <c r="R13" s="531"/>
      <c r="S13" s="534"/>
      <c r="T13" s="530"/>
      <c r="U13" s="531"/>
      <c r="V13" s="531"/>
      <c r="W13" s="531"/>
      <c r="X13" s="531"/>
      <c r="Y13" s="531"/>
      <c r="Z13" s="531"/>
      <c r="AA13" s="531"/>
      <c r="AB13" s="531"/>
      <c r="AC13" s="534"/>
      <c r="AD13" s="530"/>
      <c r="AE13" s="531"/>
      <c r="AF13" s="531"/>
      <c r="AG13" s="531"/>
      <c r="AH13" s="531"/>
      <c r="AI13" s="531"/>
      <c r="AJ13" s="531"/>
      <c r="AK13" s="531"/>
      <c r="AL13" s="531"/>
      <c r="AM13" s="534"/>
      <c r="AN13" s="530"/>
      <c r="AO13" s="531"/>
      <c r="AP13" s="531"/>
      <c r="AQ13" s="531"/>
      <c r="AR13" s="531"/>
      <c r="AS13" s="531"/>
      <c r="AT13" s="531"/>
      <c r="AU13" s="531"/>
      <c r="AV13" s="531"/>
      <c r="AW13" s="531"/>
      <c r="AX13" s="519"/>
      <c r="AY13" s="517"/>
      <c r="AZ13" s="517"/>
      <c r="BA13" s="517"/>
      <c r="BB13" s="517"/>
      <c r="BC13" s="517"/>
      <c r="BD13" s="517"/>
      <c r="BE13" s="517"/>
      <c r="BF13" s="517"/>
      <c r="BG13" s="51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row>
    <row r="14" spans="1:119" ht="15" customHeight="1" x14ac:dyDescent="0.25">
      <c r="A14" s="38"/>
      <c r="B14" s="355"/>
      <c r="C14" s="356"/>
      <c r="D14" s="357"/>
      <c r="E14" s="595"/>
      <c r="F14" s="596"/>
      <c r="G14" s="596"/>
      <c r="H14" s="596"/>
      <c r="I14" s="596"/>
      <c r="J14" s="530" t="str">
        <f ca="1">IF(AND('Mapa final'!$K$70="Muy Alta",'Mapa final'!$O$70="Leve"),CONCATENATE("R",'Mapa final'!$A$70),"")</f>
        <v/>
      </c>
      <c r="K14" s="531"/>
      <c r="L14" s="531" t="str">
        <f ca="1">IF(AND('Mapa final'!$K$73="Muy Alta",'Mapa final'!$O$73="Leve"),CONCATENATE("R",'Mapa final'!$A$73),"")</f>
        <v/>
      </c>
      <c r="M14" s="531"/>
      <c r="N14" s="531" t="str">
        <f ca="1">IF(AND('Mapa final'!$K$76="Muy Alta",'Mapa final'!$O$76="Leve"),CONCATENATE("R",'Mapa final'!$A$76),"")</f>
        <v/>
      </c>
      <c r="O14" s="531"/>
      <c r="P14" s="531" t="str">
        <f ca="1">IF(AND('Mapa final'!$K$79="Muy Alta",'Mapa final'!$O$79="Leve"),CONCATENATE("R",'Mapa final'!$A$79),"")</f>
        <v/>
      </c>
      <c r="Q14" s="531"/>
      <c r="R14" s="531" t="str">
        <f ca="1">IF(AND('Mapa final'!$K$82="Muy Alta",'Mapa final'!$O$82="Leve"),CONCATENATE("R",'Mapa final'!$A$82),"")</f>
        <v/>
      </c>
      <c r="S14" s="534"/>
      <c r="T14" s="530" t="str">
        <f ca="1">IF(AND('Mapa final'!$K$70="Muy Alta",'Mapa final'!$O$70="Menor"),CONCATENATE("R",'Mapa final'!$A$70),"")</f>
        <v/>
      </c>
      <c r="U14" s="531"/>
      <c r="V14" s="531" t="str">
        <f ca="1">IF(AND('Mapa final'!$K$73="Muy Alta",'Mapa final'!$O$73="Menor"),CONCATENATE("R",'Mapa final'!$A$73),"")</f>
        <v/>
      </c>
      <c r="W14" s="531"/>
      <c r="X14" s="531" t="str">
        <f ca="1">IF(AND('Mapa final'!$K$76="Muy Alta",'Mapa final'!$O$76="Menor"),CONCATENATE("R",'Mapa final'!$A$76),"")</f>
        <v/>
      </c>
      <c r="Y14" s="531"/>
      <c r="Z14" s="531" t="str">
        <f ca="1">IF(AND('Mapa final'!$K$79="Muy Alta",'Mapa final'!$O$79="Menor"),CONCATENATE("R",'Mapa final'!$A$79),"")</f>
        <v/>
      </c>
      <c r="AA14" s="531"/>
      <c r="AB14" s="531" t="str">
        <f ca="1">IF(AND('Mapa final'!$K$82="Muy Alta",'Mapa final'!$O$82="Menor"),CONCATENATE("R",'Mapa final'!$A$82),"")</f>
        <v/>
      </c>
      <c r="AC14" s="534"/>
      <c r="AD14" s="530" t="str">
        <f ca="1">IF(AND('Mapa final'!$K$70="Muy Alta",'Mapa final'!$O$70="Moderado"),CONCATENATE("R",'Mapa final'!$A$70),"")</f>
        <v/>
      </c>
      <c r="AE14" s="531"/>
      <c r="AF14" s="531" t="str">
        <f ca="1">IF(AND('Mapa final'!$K$73="Muy Alta",'Mapa final'!$O$73="Moderado"),CONCATENATE("R",'Mapa final'!$A$73),"")</f>
        <v/>
      </c>
      <c r="AG14" s="531"/>
      <c r="AH14" s="531" t="str">
        <f ca="1">IF(AND('Mapa final'!$K$76="Muy Alta",'Mapa final'!$O$76="Moderado"),CONCATENATE("R",'Mapa final'!$A$76),"")</f>
        <v/>
      </c>
      <c r="AI14" s="531"/>
      <c r="AJ14" s="531" t="str">
        <f ca="1">IF(AND('Mapa final'!$K$79="Muy Alta",'Mapa final'!$O$79="Moderado"),CONCATENATE("R",'Mapa final'!$A$79),"")</f>
        <v/>
      </c>
      <c r="AK14" s="531"/>
      <c r="AL14" s="531" t="str">
        <f ca="1">IF(AND('Mapa final'!$K$82="Muy Alta",'Mapa final'!$O$82="Moderado"),CONCATENATE("R",'Mapa final'!$A$82),"")</f>
        <v/>
      </c>
      <c r="AM14" s="534"/>
      <c r="AN14" s="530" t="str">
        <f ca="1">IF(AND('Mapa final'!$K$70="Muy Alta",'Mapa final'!$O$70="Mayor"),CONCATENATE("R",'Mapa final'!$A$70),"")</f>
        <v/>
      </c>
      <c r="AO14" s="531"/>
      <c r="AP14" s="531" t="str">
        <f ca="1">IF(AND('Mapa final'!$K$73="Muy Alta",'Mapa final'!$O$73="Mayor"),CONCATENATE("R",'Mapa final'!$A$73),"")</f>
        <v/>
      </c>
      <c r="AQ14" s="531"/>
      <c r="AR14" s="531" t="str">
        <f ca="1">IF(AND('Mapa final'!$K$76="Muy Alta",'Mapa final'!$O$76="Mayor"),CONCATENATE("R",'Mapa final'!$A$76),"")</f>
        <v/>
      </c>
      <c r="AS14" s="531"/>
      <c r="AT14" s="531" t="str">
        <f ca="1">IF(AND('Mapa final'!$K$79="Muy Alta",'Mapa final'!$O$79="Mayor"),CONCATENATE("R",'Mapa final'!$A$79),"")</f>
        <v/>
      </c>
      <c r="AU14" s="531"/>
      <c r="AV14" s="531" t="str">
        <f ca="1">IF(AND('Mapa final'!$K$82="Muy Alta",'Mapa final'!$O$82="Mayor"),CONCATENATE("R",'Mapa final'!$A$82),"")</f>
        <v/>
      </c>
      <c r="AW14" s="531"/>
      <c r="AX14" s="519" t="str">
        <f ca="1">IF(AND('Mapa final'!$K$70="Muy Alta",'Mapa final'!$O$70="Catastrófico"),CONCATENATE("R",'Mapa final'!$A$70),"")</f>
        <v/>
      </c>
      <c r="AY14" s="517"/>
      <c r="AZ14" s="517" t="str">
        <f ca="1">IF(AND('Mapa final'!$K$73="Muy Alta",'Mapa final'!$O$73="Catastrófico"),CONCATENATE("R",'Mapa final'!$A$73),"")</f>
        <v/>
      </c>
      <c r="BA14" s="517"/>
      <c r="BB14" s="517" t="str">
        <f ca="1">IF(AND('Mapa final'!$K$76="Muy Alta",'Mapa final'!$O$76="Catastrófico"),CONCATENATE("R",'Mapa final'!$A$76),"")</f>
        <v/>
      </c>
      <c r="BC14" s="517"/>
      <c r="BD14" s="517" t="str">
        <f ca="1">IF(AND('Mapa final'!$K$79="Muy Alta",'Mapa final'!$O$79="Catastrófico"),CONCATENATE("R",'Mapa final'!$A$79),"")</f>
        <v/>
      </c>
      <c r="BE14" s="517"/>
      <c r="BF14" s="517" t="str">
        <f ca="1">IF(AND('Mapa final'!$K$82="Muy Alta",'Mapa final'!$O$82="Catastrófico"),CONCATENATE("R",'Mapa final'!$A$82),"")</f>
        <v/>
      </c>
      <c r="BG14" s="518"/>
      <c r="BH14" s="38"/>
      <c r="BI14" s="557" t="s">
        <v>73</v>
      </c>
      <c r="BJ14" s="558"/>
      <c r="BK14" s="558"/>
      <c r="BL14" s="558"/>
      <c r="BM14" s="558"/>
      <c r="BN14" s="559"/>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row>
    <row r="15" spans="1:119" ht="15" customHeight="1" x14ac:dyDescent="0.25">
      <c r="A15" s="38"/>
      <c r="B15" s="355"/>
      <c r="C15" s="356"/>
      <c r="D15" s="357"/>
      <c r="E15" s="595"/>
      <c r="F15" s="596"/>
      <c r="G15" s="596"/>
      <c r="H15" s="596"/>
      <c r="I15" s="596"/>
      <c r="J15" s="530"/>
      <c r="K15" s="531"/>
      <c r="L15" s="531"/>
      <c r="M15" s="531"/>
      <c r="N15" s="531"/>
      <c r="O15" s="531"/>
      <c r="P15" s="531"/>
      <c r="Q15" s="531"/>
      <c r="R15" s="531"/>
      <c r="S15" s="534"/>
      <c r="T15" s="530"/>
      <c r="U15" s="531"/>
      <c r="V15" s="531"/>
      <c r="W15" s="531"/>
      <c r="X15" s="531"/>
      <c r="Y15" s="531"/>
      <c r="Z15" s="531"/>
      <c r="AA15" s="531"/>
      <c r="AB15" s="531"/>
      <c r="AC15" s="534"/>
      <c r="AD15" s="530"/>
      <c r="AE15" s="531"/>
      <c r="AF15" s="531"/>
      <c r="AG15" s="531"/>
      <c r="AH15" s="531"/>
      <c r="AI15" s="531"/>
      <c r="AJ15" s="531"/>
      <c r="AK15" s="531"/>
      <c r="AL15" s="531"/>
      <c r="AM15" s="534"/>
      <c r="AN15" s="530"/>
      <c r="AO15" s="531"/>
      <c r="AP15" s="531"/>
      <c r="AQ15" s="531"/>
      <c r="AR15" s="531"/>
      <c r="AS15" s="531"/>
      <c r="AT15" s="531"/>
      <c r="AU15" s="531"/>
      <c r="AV15" s="531"/>
      <c r="AW15" s="531"/>
      <c r="AX15" s="519"/>
      <c r="AY15" s="517"/>
      <c r="AZ15" s="517"/>
      <c r="BA15" s="517"/>
      <c r="BB15" s="517"/>
      <c r="BC15" s="517"/>
      <c r="BD15" s="517"/>
      <c r="BE15" s="517"/>
      <c r="BF15" s="517"/>
      <c r="BG15" s="518"/>
      <c r="BH15" s="38"/>
      <c r="BI15" s="560"/>
      <c r="BJ15" s="561"/>
      <c r="BK15" s="561"/>
      <c r="BL15" s="561"/>
      <c r="BM15" s="561"/>
      <c r="BN15" s="562"/>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row>
    <row r="16" spans="1:119" ht="15" customHeight="1" x14ac:dyDescent="0.25">
      <c r="A16" s="38"/>
      <c r="B16" s="355"/>
      <c r="C16" s="356"/>
      <c r="D16" s="357"/>
      <c r="E16" s="595"/>
      <c r="F16" s="596"/>
      <c r="G16" s="596"/>
      <c r="H16" s="596"/>
      <c r="I16" s="596"/>
      <c r="J16" s="530" t="str">
        <f ca="1">IF(AND('Mapa final'!$K$85="Muy Alta",'Mapa final'!$O$85="Leve"),CONCATENATE("R",'Mapa final'!$A$85),"")</f>
        <v/>
      </c>
      <c r="K16" s="531"/>
      <c r="L16" s="531" t="str">
        <f ca="1">IF(AND('Mapa final'!$K$88="Muy Alta",'Mapa final'!$O$88="Leve"),CONCATENATE("R",'Mapa final'!$A$88),"")</f>
        <v/>
      </c>
      <c r="M16" s="531"/>
      <c r="N16" s="531" t="str">
        <f ca="1">IF(AND('Mapa final'!$K$91="Muy Alta",'Mapa final'!$O$91="Leve"),CONCATENATE("R",'Mapa final'!$A$91),"")</f>
        <v/>
      </c>
      <c r="O16" s="531"/>
      <c r="P16" s="531" t="str">
        <f ca="1">IF(AND('Mapa final'!$K$94="Muy Alta",'Mapa final'!$O$94="Leve"),CONCATENATE("R",'Mapa final'!$A$94),"")</f>
        <v/>
      </c>
      <c r="Q16" s="531"/>
      <c r="R16" s="531" t="str">
        <f ca="1">IF(AND('Mapa final'!$K$97="Muy Alta",'Mapa final'!$O$97="Leve"),CONCATENATE("R",'Mapa final'!$A$97),"")</f>
        <v/>
      </c>
      <c r="S16" s="534"/>
      <c r="T16" s="530" t="str">
        <f ca="1">IF(AND('Mapa final'!$K$85="Muy Alta",'Mapa final'!$O$85="Menor"),CONCATENATE("R",'Mapa final'!$A$85),"")</f>
        <v/>
      </c>
      <c r="U16" s="531"/>
      <c r="V16" s="531" t="str">
        <f ca="1">IF(AND('Mapa final'!$K$88="Muy Alta",'Mapa final'!$O$88="Menor"),CONCATENATE("R",'Mapa final'!$A$88),"")</f>
        <v/>
      </c>
      <c r="W16" s="531"/>
      <c r="X16" s="531" t="str">
        <f ca="1">IF(AND('Mapa final'!$K$91="Muy Alta",'Mapa final'!$O$91="Menor"),CONCATENATE("R",'Mapa final'!$A$91),"")</f>
        <v/>
      </c>
      <c r="Y16" s="531"/>
      <c r="Z16" s="531" t="str">
        <f ca="1">IF(AND('Mapa final'!$K$94="Muy Alta",'Mapa final'!$O$94="Menor"),CONCATENATE("R",'Mapa final'!$A$94),"")</f>
        <v/>
      </c>
      <c r="AA16" s="531"/>
      <c r="AB16" s="531" t="str">
        <f ca="1">IF(AND('Mapa final'!$K$97="Muy Alta",'Mapa final'!$O$97="Menor"),CONCATENATE("R",'Mapa final'!$A$97),"")</f>
        <v/>
      </c>
      <c r="AC16" s="534"/>
      <c r="AD16" s="530" t="str">
        <f ca="1">IF(AND('Mapa final'!$K$85="Muy Alta",'Mapa final'!$O$85="Moderado"),CONCATENATE("R",'Mapa final'!$A$85),"")</f>
        <v/>
      </c>
      <c r="AE16" s="531"/>
      <c r="AF16" s="531" t="str">
        <f ca="1">IF(AND('Mapa final'!$K$88="Muy Alta",'Mapa final'!$O$88="Moderado"),CONCATENATE("R",'Mapa final'!$A$88),"")</f>
        <v/>
      </c>
      <c r="AG16" s="531"/>
      <c r="AH16" s="531" t="str">
        <f ca="1">IF(AND('Mapa final'!$K$91="Muy Alta",'Mapa final'!$O$91="Moderado"),CONCATENATE("R",'Mapa final'!$A$91),"")</f>
        <v/>
      </c>
      <c r="AI16" s="531"/>
      <c r="AJ16" s="531" t="str">
        <f ca="1">IF(AND('Mapa final'!$K$94="Muy Alta",'Mapa final'!$O$94="Moderado"),CONCATENATE("R",'Mapa final'!$A$94),"")</f>
        <v/>
      </c>
      <c r="AK16" s="531"/>
      <c r="AL16" s="531" t="str">
        <f ca="1">IF(AND('Mapa final'!$K$97="Muy Alta",'Mapa final'!$O$97="Moderado"),CONCATENATE("R",'Mapa final'!$A$97),"")</f>
        <v/>
      </c>
      <c r="AM16" s="534"/>
      <c r="AN16" s="530" t="str">
        <f ca="1">IF(AND('Mapa final'!$K$85="Muy Alta",'Mapa final'!$O$85="Mayor"),CONCATENATE("R",'Mapa final'!$A$85),"")</f>
        <v/>
      </c>
      <c r="AO16" s="531"/>
      <c r="AP16" s="531" t="str">
        <f ca="1">IF(AND('Mapa final'!$K$88="Muy Alta",'Mapa final'!$O$88="Mayor"),CONCATENATE("R",'Mapa final'!$A$88),"")</f>
        <v/>
      </c>
      <c r="AQ16" s="531"/>
      <c r="AR16" s="531" t="str">
        <f ca="1">IF(AND('Mapa final'!$K$91="Muy Alta",'Mapa final'!$O$91="Mayor"),CONCATENATE("R",'Mapa final'!$A$91),"")</f>
        <v/>
      </c>
      <c r="AS16" s="531"/>
      <c r="AT16" s="531" t="str">
        <f ca="1">IF(AND('Mapa final'!$K$94="Muy Alta",'Mapa final'!$O$94="Mayor"),CONCATENATE("R",'Mapa final'!$A$94),"")</f>
        <v/>
      </c>
      <c r="AU16" s="531"/>
      <c r="AV16" s="531" t="str">
        <f ca="1">IF(AND('Mapa final'!$K$97="Muy Alta",'Mapa final'!$O$97="Mayor"),CONCATENATE("R",'Mapa final'!$A$97),"")</f>
        <v/>
      </c>
      <c r="AW16" s="531"/>
      <c r="AX16" s="519" t="str">
        <f ca="1">IF(AND('Mapa final'!$K$85="Muy Alta",'Mapa final'!$O$85="Catastrófico"),CONCATENATE("R",'Mapa final'!$A$85),"")</f>
        <v/>
      </c>
      <c r="AY16" s="517"/>
      <c r="AZ16" s="517" t="str">
        <f ca="1">IF(AND('Mapa final'!$K$88="Muy Alta",'Mapa final'!$O$88="Catastrófico"),CONCATENATE("R",'Mapa final'!$A$88),"")</f>
        <v/>
      </c>
      <c r="BA16" s="517"/>
      <c r="BB16" s="517" t="str">
        <f ca="1">IF(AND('Mapa final'!$K$91="Muy Alta",'Mapa final'!$O$91="Catastrófico"),CONCATENATE("R",'Mapa final'!$A$91),"")</f>
        <v/>
      </c>
      <c r="BC16" s="517"/>
      <c r="BD16" s="517" t="str">
        <f ca="1">IF(AND('Mapa final'!$K$94="Muy Alta",'Mapa final'!$O$94="Catastrófico"),CONCATENATE("R",'Mapa final'!$A$94),"")</f>
        <v/>
      </c>
      <c r="BE16" s="517"/>
      <c r="BF16" s="517" t="str">
        <f ca="1">IF(AND('Mapa final'!$K$97="Muy Alta",'Mapa final'!$O$97="Catastrófico"),CONCATENATE("R",'Mapa final'!$A$97),"")</f>
        <v/>
      </c>
      <c r="BG16" s="518"/>
      <c r="BH16" s="38"/>
      <c r="BI16" s="560"/>
      <c r="BJ16" s="561"/>
      <c r="BK16" s="561"/>
      <c r="BL16" s="561"/>
      <c r="BM16" s="561"/>
      <c r="BN16" s="562"/>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row>
    <row r="17" spans="1:100" ht="15" customHeight="1" x14ac:dyDescent="0.25">
      <c r="A17" s="38"/>
      <c r="B17" s="355"/>
      <c r="C17" s="356"/>
      <c r="D17" s="357"/>
      <c r="E17" s="595"/>
      <c r="F17" s="596"/>
      <c r="G17" s="596"/>
      <c r="H17" s="596"/>
      <c r="I17" s="596"/>
      <c r="J17" s="530"/>
      <c r="K17" s="531"/>
      <c r="L17" s="531"/>
      <c r="M17" s="531"/>
      <c r="N17" s="531"/>
      <c r="O17" s="531"/>
      <c r="P17" s="531"/>
      <c r="Q17" s="531"/>
      <c r="R17" s="531"/>
      <c r="S17" s="534"/>
      <c r="T17" s="530"/>
      <c r="U17" s="531"/>
      <c r="V17" s="531"/>
      <c r="W17" s="531"/>
      <c r="X17" s="531"/>
      <c r="Y17" s="531"/>
      <c r="Z17" s="531"/>
      <c r="AA17" s="531"/>
      <c r="AB17" s="531"/>
      <c r="AC17" s="534"/>
      <c r="AD17" s="530"/>
      <c r="AE17" s="531"/>
      <c r="AF17" s="531"/>
      <c r="AG17" s="531"/>
      <c r="AH17" s="531"/>
      <c r="AI17" s="531"/>
      <c r="AJ17" s="531"/>
      <c r="AK17" s="531"/>
      <c r="AL17" s="531"/>
      <c r="AM17" s="534"/>
      <c r="AN17" s="530"/>
      <c r="AO17" s="531"/>
      <c r="AP17" s="531"/>
      <c r="AQ17" s="531"/>
      <c r="AR17" s="531"/>
      <c r="AS17" s="531"/>
      <c r="AT17" s="531"/>
      <c r="AU17" s="531"/>
      <c r="AV17" s="531"/>
      <c r="AW17" s="531"/>
      <c r="AX17" s="519"/>
      <c r="AY17" s="517"/>
      <c r="AZ17" s="517"/>
      <c r="BA17" s="517"/>
      <c r="BB17" s="517"/>
      <c r="BC17" s="517"/>
      <c r="BD17" s="517"/>
      <c r="BE17" s="517"/>
      <c r="BF17" s="517"/>
      <c r="BG17" s="518"/>
      <c r="BH17" s="38"/>
      <c r="BI17" s="560"/>
      <c r="BJ17" s="561"/>
      <c r="BK17" s="561"/>
      <c r="BL17" s="561"/>
      <c r="BM17" s="561"/>
      <c r="BN17" s="562"/>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row>
    <row r="18" spans="1:100" ht="15" customHeight="1" x14ac:dyDescent="0.25">
      <c r="A18" s="38"/>
      <c r="B18" s="355"/>
      <c r="C18" s="356"/>
      <c r="D18" s="357"/>
      <c r="E18" s="595"/>
      <c r="F18" s="596"/>
      <c r="G18" s="596"/>
      <c r="H18" s="596"/>
      <c r="I18" s="596"/>
      <c r="J18" s="530" t="str">
        <f ca="1">IF(AND('Mapa final'!$K$100="Muy Alta",'Mapa final'!$O$100="Leve"),CONCATENATE("R",'Mapa final'!$A$100),"")</f>
        <v/>
      </c>
      <c r="K18" s="531"/>
      <c r="L18" s="531" t="str">
        <f ca="1">IF(AND('Mapa final'!$K$103="Muy Alta",'Mapa final'!$O$103="Leve"),CONCATENATE("R",'Mapa final'!$A$103),"")</f>
        <v/>
      </c>
      <c r="M18" s="531"/>
      <c r="N18" s="531" t="str">
        <f ca="1">IF(AND('Mapa final'!$K$106="Muy Alta",'Mapa final'!$O$106="Leve"),CONCATENATE("R",'Mapa final'!$A$106),"")</f>
        <v/>
      </c>
      <c r="O18" s="531"/>
      <c r="P18" s="531" t="str">
        <f ca="1">IF(AND('Mapa final'!$K$109="Muy Alta",'Mapa final'!$O$109="Leve"),CONCATENATE("R",'Mapa final'!$A$109),"")</f>
        <v/>
      </c>
      <c r="Q18" s="531"/>
      <c r="R18" s="531" t="str">
        <f ca="1">IF(AND('Mapa final'!$K$112="Muy Alta",'Mapa final'!$O$112="Leve"),CONCATENATE("R",'Mapa final'!$A$112),"")</f>
        <v/>
      </c>
      <c r="S18" s="534"/>
      <c r="T18" s="530" t="str">
        <f ca="1">IF(AND('Mapa final'!$K$100="Muy Alta",'Mapa final'!$O$100="Menor"),CONCATENATE("R",'Mapa final'!$A$100),"")</f>
        <v/>
      </c>
      <c r="U18" s="531"/>
      <c r="V18" s="531" t="str">
        <f ca="1">IF(AND('Mapa final'!$K$103="Muy Alta",'Mapa final'!$O$103="Menor"),CONCATENATE("R",'Mapa final'!$A$103),"")</f>
        <v/>
      </c>
      <c r="W18" s="531"/>
      <c r="X18" s="531" t="str">
        <f ca="1">IF(AND('Mapa final'!$K$106="Muy Alta",'Mapa final'!$O$106="Menor"),CONCATENATE("R",'Mapa final'!$A$106),"")</f>
        <v/>
      </c>
      <c r="Y18" s="531"/>
      <c r="Z18" s="531" t="str">
        <f ca="1">IF(AND('Mapa final'!$K$109="Muy Alta",'Mapa final'!$O$109="Menor"),CONCATENATE("R",'Mapa final'!$A$109),"")</f>
        <v/>
      </c>
      <c r="AA18" s="531"/>
      <c r="AB18" s="531" t="str">
        <f ca="1">IF(AND('Mapa final'!$K$112="Muy Alta",'Mapa final'!$O$112="Menor"),CONCATENATE("R",'Mapa final'!$A$112),"")</f>
        <v/>
      </c>
      <c r="AC18" s="534"/>
      <c r="AD18" s="530" t="str">
        <f ca="1">IF(AND('Mapa final'!$K$100="Muy Alta",'Mapa final'!$O$100="Moderado"),CONCATENATE("R",'Mapa final'!$A$100),"")</f>
        <v/>
      </c>
      <c r="AE18" s="531"/>
      <c r="AF18" s="531" t="str">
        <f ca="1">IF(AND('Mapa final'!$K$103="Muy Alta",'Mapa final'!$O$103="Moderado"),CONCATENATE("R",'Mapa final'!$A$103),"")</f>
        <v/>
      </c>
      <c r="AG18" s="531"/>
      <c r="AH18" s="531" t="str">
        <f ca="1">IF(AND('Mapa final'!$K$106="Muy Alta",'Mapa final'!$O$106="Moderado"),CONCATENATE("R",'Mapa final'!$A$106),"")</f>
        <v/>
      </c>
      <c r="AI18" s="531"/>
      <c r="AJ18" s="531" t="str">
        <f ca="1">IF(AND('Mapa final'!$K$109="Muy Alta",'Mapa final'!$O$109="Moderado"),CONCATENATE("R",'Mapa final'!$A$109),"")</f>
        <v/>
      </c>
      <c r="AK18" s="531"/>
      <c r="AL18" s="531" t="str">
        <f ca="1">IF(AND('Mapa final'!$K$112="Muy Alta",'Mapa final'!$O$112="Moderado"),CONCATENATE("R",'Mapa final'!$A$112),"")</f>
        <v/>
      </c>
      <c r="AM18" s="534"/>
      <c r="AN18" s="530" t="str">
        <f ca="1">IF(AND('Mapa final'!$K$100="Muy Alta",'Mapa final'!$O$100="Mayor"),CONCATENATE("R",'Mapa final'!$A$100),"")</f>
        <v/>
      </c>
      <c r="AO18" s="531"/>
      <c r="AP18" s="531" t="str">
        <f ca="1">IF(AND('Mapa final'!$K$103="Muy Alta",'Mapa final'!$O$103="Mayor"),CONCATENATE("R",'Mapa final'!$A$103),"")</f>
        <v/>
      </c>
      <c r="AQ18" s="531"/>
      <c r="AR18" s="531" t="str">
        <f ca="1">IF(AND('Mapa final'!$K$106="Muy Alta",'Mapa final'!$O$106="Mayor"),CONCATENATE("R",'Mapa final'!$A$106),"")</f>
        <v/>
      </c>
      <c r="AS18" s="531"/>
      <c r="AT18" s="531" t="str">
        <f ca="1">IF(AND('Mapa final'!$K$109="Muy Alta",'Mapa final'!$O$109="Mayor"),CONCATENATE("R",'Mapa final'!$A$109),"")</f>
        <v/>
      </c>
      <c r="AU18" s="531"/>
      <c r="AV18" s="531" t="str">
        <f ca="1">IF(AND('Mapa final'!$K$112="Muy Alta",'Mapa final'!$O$112="Mayor"),CONCATENATE("R",'Mapa final'!$A$112),"")</f>
        <v/>
      </c>
      <c r="AW18" s="531"/>
      <c r="AX18" s="519" t="str">
        <f ca="1">IF(AND('Mapa final'!$K$100="Muy Alta",'Mapa final'!$O$100="Catastrófico"),CONCATENATE("R",'Mapa final'!$A$100),"")</f>
        <v/>
      </c>
      <c r="AY18" s="517"/>
      <c r="AZ18" s="517" t="str">
        <f ca="1">IF(AND('Mapa final'!$K$103="Muy Alta",'Mapa final'!$O$103="Catastrófico"),CONCATENATE("R",'Mapa final'!$A$103),"")</f>
        <v/>
      </c>
      <c r="BA18" s="517"/>
      <c r="BB18" s="517" t="str">
        <f ca="1">IF(AND('Mapa final'!$K$106="Muy Alta",'Mapa final'!$O$106="Catastrófico"),CONCATENATE("R",'Mapa final'!$A$106),"")</f>
        <v/>
      </c>
      <c r="BC18" s="517"/>
      <c r="BD18" s="517" t="str">
        <f ca="1">IF(AND('Mapa final'!$K$109="Muy Alta",'Mapa final'!$O$109="Catastrófico"),CONCATENATE("R",'Mapa final'!$A$109),"")</f>
        <v/>
      </c>
      <c r="BE18" s="517"/>
      <c r="BF18" s="517" t="str">
        <f ca="1">IF(AND('Mapa final'!$K$112="Muy Alta",'Mapa final'!$O$112="Catastrófico"),CONCATENATE("R",'Mapa final'!$A$112),"")</f>
        <v/>
      </c>
      <c r="BG18" s="518"/>
      <c r="BH18" s="38"/>
      <c r="BI18" s="560"/>
      <c r="BJ18" s="561"/>
      <c r="BK18" s="561"/>
      <c r="BL18" s="561"/>
      <c r="BM18" s="561"/>
      <c r="BN18" s="562"/>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row>
    <row r="19" spans="1:100" ht="15" customHeight="1" x14ac:dyDescent="0.25">
      <c r="A19" s="38"/>
      <c r="B19" s="355"/>
      <c r="C19" s="356"/>
      <c r="D19" s="357"/>
      <c r="E19" s="595"/>
      <c r="F19" s="596"/>
      <c r="G19" s="596"/>
      <c r="H19" s="596"/>
      <c r="I19" s="596"/>
      <c r="J19" s="530"/>
      <c r="K19" s="531"/>
      <c r="L19" s="531"/>
      <c r="M19" s="531"/>
      <c r="N19" s="531"/>
      <c r="O19" s="531"/>
      <c r="P19" s="531"/>
      <c r="Q19" s="531"/>
      <c r="R19" s="531"/>
      <c r="S19" s="534"/>
      <c r="T19" s="530"/>
      <c r="U19" s="531"/>
      <c r="V19" s="531"/>
      <c r="W19" s="531"/>
      <c r="X19" s="531"/>
      <c r="Y19" s="531"/>
      <c r="Z19" s="531"/>
      <c r="AA19" s="531"/>
      <c r="AB19" s="531"/>
      <c r="AC19" s="534"/>
      <c r="AD19" s="530"/>
      <c r="AE19" s="531"/>
      <c r="AF19" s="531"/>
      <c r="AG19" s="531"/>
      <c r="AH19" s="531"/>
      <c r="AI19" s="531"/>
      <c r="AJ19" s="531"/>
      <c r="AK19" s="531"/>
      <c r="AL19" s="531"/>
      <c r="AM19" s="534"/>
      <c r="AN19" s="530"/>
      <c r="AO19" s="531"/>
      <c r="AP19" s="531"/>
      <c r="AQ19" s="531"/>
      <c r="AR19" s="531"/>
      <c r="AS19" s="531"/>
      <c r="AT19" s="531"/>
      <c r="AU19" s="531"/>
      <c r="AV19" s="531"/>
      <c r="AW19" s="531"/>
      <c r="AX19" s="519"/>
      <c r="AY19" s="517"/>
      <c r="AZ19" s="517"/>
      <c r="BA19" s="517"/>
      <c r="BB19" s="517"/>
      <c r="BC19" s="517"/>
      <c r="BD19" s="517"/>
      <c r="BE19" s="517"/>
      <c r="BF19" s="517"/>
      <c r="BG19" s="518"/>
      <c r="BH19" s="38"/>
      <c r="BI19" s="560"/>
      <c r="BJ19" s="561"/>
      <c r="BK19" s="561"/>
      <c r="BL19" s="561"/>
      <c r="BM19" s="561"/>
      <c r="BN19" s="562"/>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row>
    <row r="20" spans="1:100" ht="15" customHeight="1" x14ac:dyDescent="0.25">
      <c r="A20" s="38"/>
      <c r="B20" s="355"/>
      <c r="C20" s="356"/>
      <c r="D20" s="357"/>
      <c r="E20" s="595"/>
      <c r="F20" s="596"/>
      <c r="G20" s="596"/>
      <c r="H20" s="596"/>
      <c r="I20" s="596"/>
      <c r="J20" s="530" t="str">
        <f ca="1">IF(AND('Mapa final'!$K$115="Muy Alta",'Mapa final'!$O$115="Leve"),CONCATENATE("R",'Mapa final'!$A$115),"")</f>
        <v/>
      </c>
      <c r="K20" s="531"/>
      <c r="L20" s="531" t="str">
        <f ca="1">IF(AND('Mapa final'!$K$118="Muy Alta",'Mapa final'!$O$118="Leve"),CONCATENATE("R",'Mapa final'!$A$118),"")</f>
        <v/>
      </c>
      <c r="M20" s="531"/>
      <c r="N20" s="531" t="str">
        <f ca="1">IF(AND('Mapa final'!$K$121="Muy Alta",'Mapa final'!$O$121="Leve"),CONCATENATE("R",'Mapa final'!$A$121),"")</f>
        <v/>
      </c>
      <c r="O20" s="531"/>
      <c r="P20" s="531" t="str">
        <f ca="1">IF(AND('Mapa final'!$K$124="Muy Alta",'Mapa final'!$O$124="Leve"),CONCATENATE("R",'Mapa final'!$A$124),"")</f>
        <v/>
      </c>
      <c r="Q20" s="531"/>
      <c r="R20" s="531" t="str">
        <f ca="1">IF(AND('Mapa final'!$K$127="Muy Alta",'Mapa final'!$O$127="Leve"),CONCATENATE("R",'Mapa final'!$A$127),"")</f>
        <v/>
      </c>
      <c r="S20" s="534"/>
      <c r="T20" s="530" t="str">
        <f ca="1">IF(AND('Mapa final'!$K$115="Muy Alta",'Mapa final'!$O$115="Menor"),CONCATENATE("R",'Mapa final'!$A$115),"")</f>
        <v/>
      </c>
      <c r="U20" s="531"/>
      <c r="V20" s="531" t="str">
        <f ca="1">IF(AND('Mapa final'!$K$118="Muy Alta",'Mapa final'!$O$118="Menor"),CONCATENATE("R",'Mapa final'!$A$118),"")</f>
        <v/>
      </c>
      <c r="W20" s="531"/>
      <c r="X20" s="531" t="str">
        <f ca="1">IF(AND('Mapa final'!$K$121="Muy Alta",'Mapa final'!$O$121="Menor"),CONCATENATE("R",'Mapa final'!$A$121),"")</f>
        <v/>
      </c>
      <c r="Y20" s="531"/>
      <c r="Z20" s="531" t="str">
        <f ca="1">IF(AND('Mapa final'!$K$124="Muy Alta",'Mapa final'!$O$124="Menor"),CONCATENATE("R",'Mapa final'!$A$124),"")</f>
        <v/>
      </c>
      <c r="AA20" s="531"/>
      <c r="AB20" s="531" t="str">
        <f ca="1">IF(AND('Mapa final'!$K$127="Muy Alta",'Mapa final'!$O$127="Menor"),CONCATENATE("R",'Mapa final'!$A$127),"")</f>
        <v/>
      </c>
      <c r="AC20" s="534"/>
      <c r="AD20" s="530" t="str">
        <f ca="1">IF(AND('Mapa final'!$K$115="Muy Alta",'Mapa final'!$O$115="Moderado"),CONCATENATE("R",'Mapa final'!$A$115),"")</f>
        <v/>
      </c>
      <c r="AE20" s="531"/>
      <c r="AF20" s="531" t="str">
        <f ca="1">IF(AND('Mapa final'!$K$118="Muy Alta",'Mapa final'!$O$118="Moderado"),CONCATENATE("R",'Mapa final'!$A$118),"")</f>
        <v/>
      </c>
      <c r="AG20" s="531"/>
      <c r="AH20" s="531" t="str">
        <f ca="1">IF(AND('Mapa final'!$K$121="Muy Alta",'Mapa final'!$O$121="Moderado"),CONCATENATE("R",'Mapa final'!$A$121),"")</f>
        <v/>
      </c>
      <c r="AI20" s="531"/>
      <c r="AJ20" s="531" t="str">
        <f ca="1">IF(AND('Mapa final'!$K$124="Muy Alta",'Mapa final'!$O$124="Moderado"),CONCATENATE("R",'Mapa final'!$A$124),"")</f>
        <v/>
      </c>
      <c r="AK20" s="531"/>
      <c r="AL20" s="531" t="str">
        <f ca="1">IF(AND('Mapa final'!$K$127="Muy Alta",'Mapa final'!$O$127="Moderado"),CONCATENATE("R",'Mapa final'!$A$127),"")</f>
        <v/>
      </c>
      <c r="AM20" s="534"/>
      <c r="AN20" s="530" t="str">
        <f ca="1">IF(AND('Mapa final'!$K$115="Muy Alta",'Mapa final'!$O$115="Mayor"),CONCATENATE("R",'Mapa final'!$A$115),"")</f>
        <v/>
      </c>
      <c r="AO20" s="531"/>
      <c r="AP20" s="531" t="str">
        <f ca="1">IF(AND('Mapa final'!$K$118="Muy Alta",'Mapa final'!$O$118="Mayor"),CONCATENATE("R",'Mapa final'!$A$118),"")</f>
        <v/>
      </c>
      <c r="AQ20" s="531"/>
      <c r="AR20" s="531" t="str">
        <f ca="1">IF(AND('Mapa final'!$K$121="Muy Alta",'Mapa final'!$O$121="Mayor"),CONCATENATE("R",'Mapa final'!$A$121),"")</f>
        <v/>
      </c>
      <c r="AS20" s="531"/>
      <c r="AT20" s="531" t="str">
        <f ca="1">IF(AND('Mapa final'!$K$124="Muy Alta",'Mapa final'!$O$124="Mayor"),CONCATENATE("R",'Mapa final'!$A$124),"")</f>
        <v/>
      </c>
      <c r="AU20" s="531"/>
      <c r="AV20" s="531" t="str">
        <f ca="1">IF(AND('Mapa final'!$K$127="Muy Alta",'Mapa final'!$O$127="Mayor"),CONCATENATE("R",'Mapa final'!$A$127),"")</f>
        <v/>
      </c>
      <c r="AW20" s="531"/>
      <c r="AX20" s="519" t="str">
        <f ca="1">IF(AND('Mapa final'!$K$115="Muy Alta",'Mapa final'!$O$115="Catastrófico"),CONCATENATE("R",'Mapa final'!$A$115),"")</f>
        <v/>
      </c>
      <c r="AY20" s="517"/>
      <c r="AZ20" s="517" t="str">
        <f ca="1">IF(AND('Mapa final'!$K$118="Muy Alta",'Mapa final'!$O$118="Catastrófico"),CONCATENATE("R",'Mapa final'!$A$118),"")</f>
        <v/>
      </c>
      <c r="BA20" s="517"/>
      <c r="BB20" s="517" t="str">
        <f ca="1">IF(AND('Mapa final'!$K$121="Muy Alta",'Mapa final'!$O$121="Catastrófico"),CONCATENATE("R",'Mapa final'!$A$121),"")</f>
        <v/>
      </c>
      <c r="BC20" s="517"/>
      <c r="BD20" s="517" t="str">
        <f ca="1">IF(AND('Mapa final'!$K$124="Muy Alta",'Mapa final'!$O$124="Catastrófico"),CONCATENATE("R",'Mapa final'!$A$124),"")</f>
        <v/>
      </c>
      <c r="BE20" s="517"/>
      <c r="BF20" s="517" t="str">
        <f ca="1">IF(AND('Mapa final'!$K$127="Muy Alta",'Mapa final'!$O$127="Catastrófico"),CONCATENATE("R",'Mapa final'!$A$127),"")</f>
        <v/>
      </c>
      <c r="BG20" s="518"/>
      <c r="BH20" s="38"/>
      <c r="BI20" s="560"/>
      <c r="BJ20" s="561"/>
      <c r="BK20" s="561"/>
      <c r="BL20" s="561"/>
      <c r="BM20" s="561"/>
      <c r="BN20" s="562"/>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row>
    <row r="21" spans="1:100" ht="15" customHeight="1" x14ac:dyDescent="0.25">
      <c r="A21" s="38"/>
      <c r="B21" s="355"/>
      <c r="C21" s="356"/>
      <c r="D21" s="357"/>
      <c r="E21" s="595"/>
      <c r="F21" s="596"/>
      <c r="G21" s="596"/>
      <c r="H21" s="596"/>
      <c r="I21" s="596"/>
      <c r="J21" s="530"/>
      <c r="K21" s="531"/>
      <c r="L21" s="531"/>
      <c r="M21" s="531"/>
      <c r="N21" s="531"/>
      <c r="O21" s="531"/>
      <c r="P21" s="531"/>
      <c r="Q21" s="531"/>
      <c r="R21" s="531"/>
      <c r="S21" s="534"/>
      <c r="T21" s="530"/>
      <c r="U21" s="531"/>
      <c r="V21" s="531"/>
      <c r="W21" s="531"/>
      <c r="X21" s="531"/>
      <c r="Y21" s="531"/>
      <c r="Z21" s="531"/>
      <c r="AA21" s="531"/>
      <c r="AB21" s="531"/>
      <c r="AC21" s="534"/>
      <c r="AD21" s="530"/>
      <c r="AE21" s="531"/>
      <c r="AF21" s="531"/>
      <c r="AG21" s="531"/>
      <c r="AH21" s="531"/>
      <c r="AI21" s="531"/>
      <c r="AJ21" s="531"/>
      <c r="AK21" s="531"/>
      <c r="AL21" s="531"/>
      <c r="AM21" s="534"/>
      <c r="AN21" s="530"/>
      <c r="AO21" s="531"/>
      <c r="AP21" s="531"/>
      <c r="AQ21" s="531"/>
      <c r="AR21" s="531"/>
      <c r="AS21" s="531"/>
      <c r="AT21" s="531"/>
      <c r="AU21" s="531"/>
      <c r="AV21" s="531"/>
      <c r="AW21" s="531"/>
      <c r="AX21" s="519"/>
      <c r="AY21" s="517"/>
      <c r="AZ21" s="517"/>
      <c r="BA21" s="517"/>
      <c r="BB21" s="517"/>
      <c r="BC21" s="517"/>
      <c r="BD21" s="517"/>
      <c r="BE21" s="517"/>
      <c r="BF21" s="517"/>
      <c r="BG21" s="518"/>
      <c r="BH21" s="38"/>
      <c r="BI21" s="560"/>
      <c r="BJ21" s="561"/>
      <c r="BK21" s="561"/>
      <c r="BL21" s="561"/>
      <c r="BM21" s="561"/>
      <c r="BN21" s="562"/>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row>
    <row r="22" spans="1:100" ht="15" customHeight="1" x14ac:dyDescent="0.25">
      <c r="A22" s="38"/>
      <c r="B22" s="355"/>
      <c r="C22" s="356"/>
      <c r="D22" s="357"/>
      <c r="E22" s="595"/>
      <c r="F22" s="596"/>
      <c r="G22" s="596"/>
      <c r="H22" s="596"/>
      <c r="I22" s="596"/>
      <c r="J22" s="530" t="str">
        <f ca="1">IF(AND('Mapa final'!$K$130="Muy Alta",'Mapa final'!$O$130="Leve"),CONCATENATE("R",'Mapa final'!$A$130),"")</f>
        <v/>
      </c>
      <c r="K22" s="531"/>
      <c r="L22" s="531" t="str">
        <f ca="1">IF(AND('Mapa final'!$K$133="Muy Alta",'Mapa final'!$O$133="Leve"),CONCATENATE("R",'Mapa final'!$A$133),"")</f>
        <v/>
      </c>
      <c r="M22" s="531"/>
      <c r="N22" s="531" t="str">
        <f ca="1">IF(AND('Mapa final'!$K$136="Muy Alta",'Mapa final'!$O$136="Leve"),CONCATENATE("R",'Mapa final'!$A$136),"")</f>
        <v/>
      </c>
      <c r="O22" s="531"/>
      <c r="P22" s="531" t="str">
        <f>IF(AND('Mapa final'!$K$139="Muy Alta",'Mapa final'!$O$139="Leve"),CONCATENATE("R",'Mapa final'!$A$139),"")</f>
        <v/>
      </c>
      <c r="Q22" s="531"/>
      <c r="R22" s="531" t="str">
        <f>IF(AND('Mapa final'!$K$142="Muy Alta",'Mapa final'!$O$142="Leve"),CONCATENATE("R",'Mapa final'!$A$142),"")</f>
        <v/>
      </c>
      <c r="S22" s="534"/>
      <c r="T22" s="530" t="str">
        <f ca="1">IF(AND('Mapa final'!$K$130="Muy Alta",'Mapa final'!$O$130="Menor"),CONCATENATE("R",'Mapa final'!$A$130),"")</f>
        <v/>
      </c>
      <c r="U22" s="531"/>
      <c r="V22" s="531" t="str">
        <f ca="1">IF(AND('Mapa final'!$K$133="Muy Alta",'Mapa final'!$O$133="Menor"),CONCATENATE("R",'Mapa final'!$A$133),"")</f>
        <v/>
      </c>
      <c r="W22" s="531"/>
      <c r="X22" s="531" t="str">
        <f ca="1">IF(AND('Mapa final'!$K$136="Muy Alta",'Mapa final'!$O$136="Menor"),CONCATENATE("R",'Mapa final'!$A$136),"")</f>
        <v/>
      </c>
      <c r="Y22" s="531"/>
      <c r="Z22" s="531" t="str">
        <f>IF(AND('Mapa final'!$K$139="Muy Alta",'Mapa final'!$O$139="Menor"),CONCATENATE("R",'Mapa final'!$A$139),"")</f>
        <v/>
      </c>
      <c r="AA22" s="531"/>
      <c r="AB22" s="531" t="str">
        <f>IF(AND('Mapa final'!$K$142="Muy Alta",'Mapa final'!$O$142="Menor"),CONCATENATE("R",'Mapa final'!$A$142),"")</f>
        <v/>
      </c>
      <c r="AC22" s="534"/>
      <c r="AD22" s="530" t="str">
        <f ca="1">IF(AND('Mapa final'!$K$130="Muy Alta",'Mapa final'!$O$130="Moderado"),CONCATENATE("R",'Mapa final'!$A$130),"")</f>
        <v/>
      </c>
      <c r="AE22" s="531"/>
      <c r="AF22" s="531" t="str">
        <f ca="1">IF(AND('Mapa final'!$K$133="Muy Alta",'Mapa final'!$O$133="Moderado"),CONCATENATE("R",'Mapa final'!$A$133),"")</f>
        <v/>
      </c>
      <c r="AG22" s="531"/>
      <c r="AH22" s="531" t="str">
        <f ca="1">IF(AND('Mapa final'!$K$136="Muy Alta",'Mapa final'!$O$136="Moderado"),CONCATENATE("R",'Mapa final'!$A$136),"")</f>
        <v/>
      </c>
      <c r="AI22" s="531"/>
      <c r="AJ22" s="531" t="str">
        <f>IF(AND('Mapa final'!$K$139="Muy Alta",'Mapa final'!$O$139="Moderado"),CONCATENATE("R",'Mapa final'!$A$139),"")</f>
        <v/>
      </c>
      <c r="AK22" s="531"/>
      <c r="AL22" s="531" t="str">
        <f>IF(AND('Mapa final'!$K$142="Muy Alta",'Mapa final'!$O$142="Moderado"),CONCATENATE("R",'Mapa final'!$A$142),"")</f>
        <v/>
      </c>
      <c r="AM22" s="534"/>
      <c r="AN22" s="530" t="str">
        <f ca="1">IF(AND('Mapa final'!$K$130="Muy Alta",'Mapa final'!$O$130="Mayor"),CONCATENATE("R",'Mapa final'!$A$130),"")</f>
        <v/>
      </c>
      <c r="AO22" s="531"/>
      <c r="AP22" s="531" t="str">
        <f ca="1">IF(AND('Mapa final'!$K$133="Muy Alta",'Mapa final'!$O$133="Mayor"),CONCATENATE("R",'Mapa final'!$A$133),"")</f>
        <v/>
      </c>
      <c r="AQ22" s="531"/>
      <c r="AR22" s="531" t="str">
        <f ca="1">IF(AND('Mapa final'!$K$136="Muy Alta",'Mapa final'!$O$136="Mayor"),CONCATENATE("R",'Mapa final'!$A$136),"")</f>
        <v/>
      </c>
      <c r="AS22" s="531"/>
      <c r="AT22" s="531" t="str">
        <f>IF(AND('Mapa final'!$K$139="Muy Alta",'Mapa final'!$O$139="Mayor"),CONCATENATE("R",'Mapa final'!$A$139),"")</f>
        <v/>
      </c>
      <c r="AU22" s="531"/>
      <c r="AV22" s="531" t="str">
        <f>IF(AND('Mapa final'!$K$142="Muy Alta",'Mapa final'!$O$142="Mayor"),CONCATENATE("R",'Mapa final'!$A$142),"")</f>
        <v/>
      </c>
      <c r="AW22" s="531"/>
      <c r="AX22" s="519" t="str">
        <f ca="1">IF(AND('Mapa final'!$K$130="Muy Alta",'Mapa final'!$O$130="Catastrófico"),CONCATENATE("R",'Mapa final'!$A$130),"")</f>
        <v/>
      </c>
      <c r="AY22" s="517"/>
      <c r="AZ22" s="517" t="str">
        <f ca="1">IF(AND('Mapa final'!$K$133="Muy Alta",'Mapa final'!$O$133="Catastrófico"),CONCATENATE("R",'Mapa final'!$A$133),"")</f>
        <v/>
      </c>
      <c r="BA22" s="517"/>
      <c r="BB22" s="517" t="str">
        <f ca="1">IF(AND('Mapa final'!$K$136="Muy Alta",'Mapa final'!$O$136="Catastrófico"),CONCATENATE("R",'Mapa final'!$A$136),"")</f>
        <v/>
      </c>
      <c r="BC22" s="517"/>
      <c r="BD22" s="517" t="str">
        <f>IF(AND('Mapa final'!$K$139="Muy Alta",'Mapa final'!$O$139="Catastrófico"),CONCATENATE("R",'Mapa final'!$A$139),"")</f>
        <v/>
      </c>
      <c r="BE22" s="517"/>
      <c r="BF22" s="517" t="str">
        <f>IF(AND('Mapa final'!$K$142="Muy Alta",'Mapa final'!$O$142="Catastrófico"),CONCATENATE("R",'Mapa final'!$A$142),"")</f>
        <v/>
      </c>
      <c r="BG22" s="518"/>
      <c r="BH22" s="38"/>
      <c r="BI22" s="560"/>
      <c r="BJ22" s="561"/>
      <c r="BK22" s="561"/>
      <c r="BL22" s="561"/>
      <c r="BM22" s="561"/>
      <c r="BN22" s="562"/>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row>
    <row r="23" spans="1:100" ht="15" customHeight="1" thickBot="1" x14ac:dyDescent="0.3">
      <c r="A23" s="38"/>
      <c r="B23" s="355"/>
      <c r="C23" s="356"/>
      <c r="D23" s="357"/>
      <c r="E23" s="595"/>
      <c r="F23" s="596"/>
      <c r="G23" s="596"/>
      <c r="H23" s="596"/>
      <c r="I23" s="596"/>
      <c r="J23" s="530"/>
      <c r="K23" s="531"/>
      <c r="L23" s="531"/>
      <c r="M23" s="531"/>
      <c r="N23" s="531"/>
      <c r="O23" s="531"/>
      <c r="P23" s="531"/>
      <c r="Q23" s="531"/>
      <c r="R23" s="531"/>
      <c r="S23" s="534"/>
      <c r="T23" s="532"/>
      <c r="U23" s="533"/>
      <c r="V23" s="533"/>
      <c r="W23" s="533"/>
      <c r="X23" s="533"/>
      <c r="Y23" s="533"/>
      <c r="Z23" s="533"/>
      <c r="AA23" s="533"/>
      <c r="AB23" s="533"/>
      <c r="AC23" s="535"/>
      <c r="AD23" s="530"/>
      <c r="AE23" s="531"/>
      <c r="AF23" s="531"/>
      <c r="AG23" s="531"/>
      <c r="AH23" s="531"/>
      <c r="AI23" s="531"/>
      <c r="AJ23" s="531"/>
      <c r="AK23" s="531"/>
      <c r="AL23" s="531"/>
      <c r="AM23" s="534"/>
      <c r="AN23" s="530"/>
      <c r="AO23" s="531"/>
      <c r="AP23" s="531"/>
      <c r="AQ23" s="531"/>
      <c r="AR23" s="531"/>
      <c r="AS23" s="531"/>
      <c r="AT23" s="531"/>
      <c r="AU23" s="531"/>
      <c r="AV23" s="531"/>
      <c r="AW23" s="531"/>
      <c r="AX23" s="542"/>
      <c r="AY23" s="543"/>
      <c r="AZ23" s="543"/>
      <c r="BA23" s="543"/>
      <c r="BB23" s="543"/>
      <c r="BC23" s="543"/>
      <c r="BD23" s="543"/>
      <c r="BE23" s="543"/>
      <c r="BF23" s="543"/>
      <c r="BG23" s="544"/>
      <c r="BH23" s="38"/>
      <c r="BI23" s="560"/>
      <c r="BJ23" s="561"/>
      <c r="BK23" s="561"/>
      <c r="BL23" s="561"/>
      <c r="BM23" s="561"/>
      <c r="BN23" s="562"/>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row>
    <row r="24" spans="1:100" ht="15" customHeight="1" x14ac:dyDescent="0.25">
      <c r="A24" s="38"/>
      <c r="B24" s="355"/>
      <c r="C24" s="356"/>
      <c r="D24" s="357"/>
      <c r="E24" s="593" t="s">
        <v>106</v>
      </c>
      <c r="F24" s="594"/>
      <c r="G24" s="594"/>
      <c r="H24" s="594"/>
      <c r="I24" s="594"/>
      <c r="J24" s="528" t="str">
        <f ca="1">IF(AND('Mapa final'!$K$7="Alta",'Mapa final'!$O$7="Leve"),CONCATENATE("R",'Mapa final'!$A$7),"")</f>
        <v/>
      </c>
      <c r="K24" s="529"/>
      <c r="L24" s="529" t="str">
        <f ca="1">IF(AND('Mapa final'!$K$10="Alta",'Mapa final'!$O$10="Leve"),CONCATENATE("R",'Mapa final'!$A$10),"")</f>
        <v/>
      </c>
      <c r="M24" s="529"/>
      <c r="N24" s="529" t="str">
        <f ca="1">IF(AND('Mapa final'!$K$13="Alta",'Mapa final'!$O$13="Leve"),CONCATENATE("R",'Mapa final'!$A$13),"")</f>
        <v/>
      </c>
      <c r="O24" s="529"/>
      <c r="P24" s="529" t="str">
        <f ca="1">IF(AND('Mapa final'!$K$16="Alta",'Mapa final'!$O$16="Leve"),CONCATENATE("R",'Mapa final'!$A$16),"")</f>
        <v/>
      </c>
      <c r="Q24" s="529"/>
      <c r="R24" s="529" t="str">
        <f ca="1">IF(AND('Mapa final'!$K$19="Alta",'Mapa final'!$O$19="Leve"),CONCATENATE("R",'Mapa final'!$A$19),"")</f>
        <v/>
      </c>
      <c r="S24" s="538"/>
      <c r="T24" s="528" t="str">
        <f ca="1">IF(AND('Mapa final'!$K$7="Alta",'Mapa final'!$O$7="Menor"),CONCATENATE("R",'Mapa final'!$A$7),"")</f>
        <v/>
      </c>
      <c r="U24" s="529"/>
      <c r="V24" s="529" t="str">
        <f ca="1">IF(AND('Mapa final'!$K$10="Alta",'Mapa final'!$O$10="Menor"),CONCATENATE("R",'Mapa final'!$A$10),"")</f>
        <v/>
      </c>
      <c r="W24" s="529"/>
      <c r="X24" s="529" t="str">
        <f ca="1">IF(AND('Mapa final'!$K$13="Alta",'Mapa final'!$O$13="Menor"),CONCATENATE("R",'Mapa final'!$A$13),"")</f>
        <v/>
      </c>
      <c r="Y24" s="529"/>
      <c r="Z24" s="529" t="str">
        <f ca="1">IF(AND('Mapa final'!$K$16="Alta",'Mapa final'!$O$16="Menor"),CONCATENATE("R",'Mapa final'!$A$16),"")</f>
        <v/>
      </c>
      <c r="AA24" s="529"/>
      <c r="AB24" s="529" t="str">
        <f ca="1">IF(AND('Mapa final'!$K$19="Alta",'Mapa final'!$O$19="Menor"),CONCATENATE("R",'Mapa final'!$A$19),"")</f>
        <v/>
      </c>
      <c r="AC24" s="529"/>
      <c r="AD24" s="539" t="str">
        <f ca="1">IF(AND('Mapa final'!$K$7="Alta",'Mapa final'!$O$7="Moderado"),CONCATENATE("R",'Mapa final'!$A$7),"")</f>
        <v/>
      </c>
      <c r="AE24" s="526"/>
      <c r="AF24" s="526" t="str">
        <f ca="1">IF(AND('Mapa final'!$K$10="Alta",'Mapa final'!$O$10="Moderado"),CONCATENATE("R",'Mapa final'!$A$10),"")</f>
        <v/>
      </c>
      <c r="AG24" s="526"/>
      <c r="AH24" s="526" t="str">
        <f ca="1">IF(AND('Mapa final'!$K$13="Alta",'Mapa final'!$O$13="Moderado"),CONCATENATE("R",'Mapa final'!$A$13),"")</f>
        <v>R3</v>
      </c>
      <c r="AI24" s="526"/>
      <c r="AJ24" s="526" t="str">
        <f ca="1">IF(AND('Mapa final'!$K$16="Alta",'Mapa final'!$O$16="Moderado"),CONCATENATE("R",'Mapa final'!$A$16),"")</f>
        <v/>
      </c>
      <c r="AK24" s="526"/>
      <c r="AL24" s="526" t="str">
        <f ca="1">IF(AND('Mapa final'!$K$19="Alta",'Mapa final'!$O$19="Moderado"),CONCATENATE("R",'Mapa final'!$A$19),"")</f>
        <v>R5</v>
      </c>
      <c r="AM24" s="526"/>
      <c r="AN24" s="539" t="str">
        <f ca="1">IF(AND('Mapa final'!$K$7="Alta",'Mapa final'!$O$7="Mayor"),CONCATENATE("R",'Mapa final'!$A$7),"")</f>
        <v/>
      </c>
      <c r="AO24" s="526"/>
      <c r="AP24" s="526" t="str">
        <f ca="1">IF(AND('Mapa final'!$K$10="Alta",'Mapa final'!$O$10="Mayor"),CONCATENATE("R",'Mapa final'!$A$10),"")</f>
        <v/>
      </c>
      <c r="AQ24" s="526"/>
      <c r="AR24" s="526" t="str">
        <f ca="1">IF(AND('Mapa final'!$K$13="Alta",'Mapa final'!$O$13="Mayor"),CONCATENATE("R",'Mapa final'!$A$13),"")</f>
        <v/>
      </c>
      <c r="AS24" s="526"/>
      <c r="AT24" s="526" t="str">
        <f ca="1">IF(AND('Mapa final'!$K$16="Alta",'Mapa final'!$O$16="Mayor"),CONCATENATE("R",'Mapa final'!$A$16),"")</f>
        <v/>
      </c>
      <c r="AU24" s="526"/>
      <c r="AV24" s="526" t="str">
        <f ca="1">IF(AND('Mapa final'!$K$19="Alta",'Mapa final'!$O$19="Mayor"),CONCATENATE("R",'Mapa final'!$A$19),"")</f>
        <v/>
      </c>
      <c r="AW24" s="536"/>
      <c r="AX24" s="517" t="str">
        <f ca="1">IF(AND('Mapa final'!$K$7="Alta",'Mapa final'!$O$7="Catastrófico"),CONCATENATE("R",'Mapa final'!$A$7),"")</f>
        <v/>
      </c>
      <c r="AY24" s="517"/>
      <c r="AZ24" s="517" t="str">
        <f ca="1">IF(AND('Mapa final'!$K$10="Alta",'Mapa final'!$O$10="Catastrófico"),CONCATENATE("R",'Mapa final'!$A$10),"")</f>
        <v/>
      </c>
      <c r="BA24" s="517"/>
      <c r="BB24" s="517" t="str">
        <f ca="1">IF(AND('Mapa final'!$K$13="Alta",'Mapa final'!$O$13="Catastrófico"),CONCATENATE("R",'Mapa final'!$A$13),"")</f>
        <v/>
      </c>
      <c r="BC24" s="517"/>
      <c r="BD24" s="517" t="str">
        <f ca="1">IF(AND('Mapa final'!$K$16="Alta",'Mapa final'!$O$16="Catastrófico"),CONCATENATE("R",'Mapa final'!$A$16),"")</f>
        <v/>
      </c>
      <c r="BE24" s="517"/>
      <c r="BF24" s="517" t="str">
        <f ca="1">IF(AND('Mapa final'!$K$19="Alta",'Mapa final'!$O$19="Catastrófico"),CONCATENATE("R",'Mapa final'!$A$19),"")</f>
        <v/>
      </c>
      <c r="BG24" s="517"/>
      <c r="BH24" s="38"/>
      <c r="BI24" s="560"/>
      <c r="BJ24" s="561"/>
      <c r="BK24" s="561"/>
      <c r="BL24" s="561"/>
      <c r="BM24" s="561"/>
      <c r="BN24" s="562"/>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row>
    <row r="25" spans="1:100" ht="15" customHeight="1" x14ac:dyDescent="0.25">
      <c r="A25" s="38"/>
      <c r="B25" s="355"/>
      <c r="C25" s="356"/>
      <c r="D25" s="357"/>
      <c r="E25" s="595"/>
      <c r="F25" s="596"/>
      <c r="G25" s="596"/>
      <c r="H25" s="596"/>
      <c r="I25" s="596"/>
      <c r="J25" s="521"/>
      <c r="K25" s="520"/>
      <c r="L25" s="520"/>
      <c r="M25" s="520"/>
      <c r="N25" s="520"/>
      <c r="O25" s="520"/>
      <c r="P25" s="520"/>
      <c r="Q25" s="520"/>
      <c r="R25" s="520"/>
      <c r="S25" s="525"/>
      <c r="T25" s="521"/>
      <c r="U25" s="520"/>
      <c r="V25" s="520"/>
      <c r="W25" s="520"/>
      <c r="X25" s="520"/>
      <c r="Y25" s="520"/>
      <c r="Z25" s="520"/>
      <c r="AA25" s="520"/>
      <c r="AB25" s="520"/>
      <c r="AC25" s="520"/>
      <c r="AD25" s="524"/>
      <c r="AE25" s="522"/>
      <c r="AF25" s="522"/>
      <c r="AG25" s="522"/>
      <c r="AH25" s="522"/>
      <c r="AI25" s="522"/>
      <c r="AJ25" s="522"/>
      <c r="AK25" s="522"/>
      <c r="AL25" s="522"/>
      <c r="AM25" s="522"/>
      <c r="AN25" s="524"/>
      <c r="AO25" s="522"/>
      <c r="AP25" s="522"/>
      <c r="AQ25" s="522"/>
      <c r="AR25" s="522"/>
      <c r="AS25" s="522"/>
      <c r="AT25" s="522"/>
      <c r="AU25" s="522"/>
      <c r="AV25" s="522"/>
      <c r="AW25" s="523"/>
      <c r="AX25" s="517"/>
      <c r="AY25" s="517"/>
      <c r="AZ25" s="517"/>
      <c r="BA25" s="517"/>
      <c r="BB25" s="517"/>
      <c r="BC25" s="517"/>
      <c r="BD25" s="517"/>
      <c r="BE25" s="517"/>
      <c r="BF25" s="517"/>
      <c r="BG25" s="517"/>
      <c r="BH25" s="38"/>
      <c r="BI25" s="560"/>
      <c r="BJ25" s="561"/>
      <c r="BK25" s="561"/>
      <c r="BL25" s="561"/>
      <c r="BM25" s="561"/>
      <c r="BN25" s="562"/>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row>
    <row r="26" spans="1:100" ht="15" customHeight="1" x14ac:dyDescent="0.25">
      <c r="A26" s="38"/>
      <c r="B26" s="355"/>
      <c r="C26" s="356"/>
      <c r="D26" s="357"/>
      <c r="E26" s="595"/>
      <c r="F26" s="596"/>
      <c r="G26" s="596"/>
      <c r="H26" s="596"/>
      <c r="I26" s="596"/>
      <c r="J26" s="521" t="str">
        <f ca="1">IF(AND('Mapa final'!$K$22="Alta",'Mapa final'!$O$22="Leve"),CONCATENATE("R",'Mapa final'!$A$22),"")</f>
        <v/>
      </c>
      <c r="K26" s="520"/>
      <c r="L26" s="520" t="str">
        <f ca="1">IF(AND('Mapa final'!$K$25="Alta",'Mapa final'!$O$25="Leve"),CONCATENATE("R",'Mapa final'!$A$25),"")</f>
        <v/>
      </c>
      <c r="M26" s="520"/>
      <c r="N26" s="520" t="str">
        <f ca="1">IF(AND('Mapa final'!$K$28="Alta",'Mapa final'!$O$28="Leve"),CONCATENATE("R",'Mapa final'!$A$28),"")</f>
        <v/>
      </c>
      <c r="O26" s="520"/>
      <c r="P26" s="520" t="str">
        <f ca="1">IF(AND('Mapa final'!$K$31="Alta",'Mapa final'!$O$31="Leve"),CONCATENATE("R",'Mapa final'!$A$31),"")</f>
        <v/>
      </c>
      <c r="Q26" s="520"/>
      <c r="R26" s="520" t="str">
        <f ca="1">IF(AND('Mapa final'!$K$34="Alta",'Mapa final'!$O$34="Leve"),CONCATENATE("R",'Mapa final'!$A$34),"")</f>
        <v/>
      </c>
      <c r="S26" s="525"/>
      <c r="T26" s="521" t="str">
        <f ca="1">IF(AND('Mapa final'!$K$22="Alta",'Mapa final'!$O$22="Menor"),CONCATENATE("R",'Mapa final'!$A$22),"")</f>
        <v/>
      </c>
      <c r="U26" s="520"/>
      <c r="V26" s="520" t="str">
        <f ca="1">IF(AND('Mapa final'!$K$25="Alta",'Mapa final'!$O$25="Menor"),CONCATENATE("R",'Mapa final'!$A$25),"")</f>
        <v/>
      </c>
      <c r="W26" s="520"/>
      <c r="X26" s="520" t="str">
        <f ca="1">IF(AND('Mapa final'!$K$28="Alta",'Mapa final'!$O$28="Menor"),CONCATENATE("R",'Mapa final'!$A$28),"")</f>
        <v/>
      </c>
      <c r="Y26" s="520"/>
      <c r="Z26" s="520" t="str">
        <f ca="1">IF(AND('Mapa final'!$K$31="Alta",'Mapa final'!$O$31="Menor"),CONCATENATE("R",'Mapa final'!$A$31),"")</f>
        <v/>
      </c>
      <c r="AA26" s="520"/>
      <c r="AB26" s="520" t="str">
        <f ca="1">IF(AND('Mapa final'!$K$34="Alta",'Mapa final'!$O$34="Menor"),CONCATENATE("R",'Mapa final'!$A$34),"")</f>
        <v/>
      </c>
      <c r="AC26" s="520"/>
      <c r="AD26" s="524" t="str">
        <f ca="1">IF(AND('Mapa final'!$K$22="Alta",'Mapa final'!$O$22="Moderado"),CONCATENATE("R",'Mapa final'!$A$22),"")</f>
        <v/>
      </c>
      <c r="AE26" s="522"/>
      <c r="AF26" s="522" t="str">
        <f ca="1">IF(AND('Mapa final'!$K$25="Alta",'Mapa final'!$O$25="Moderado"),CONCATENATE("R",'Mapa final'!$A$25),"")</f>
        <v/>
      </c>
      <c r="AG26" s="522"/>
      <c r="AH26" s="522" t="str">
        <f ca="1">IF(AND('Mapa final'!$K$28="Alta",'Mapa final'!$O$28="Moderado"),CONCATENATE("R",'Mapa final'!$A$28),"")</f>
        <v/>
      </c>
      <c r="AI26" s="522"/>
      <c r="AJ26" s="522" t="str">
        <f ca="1">IF(AND('Mapa final'!$K$31="Alta",'Mapa final'!$O$31="Moderado"),CONCATENATE("R",'Mapa final'!$A$31),"")</f>
        <v/>
      </c>
      <c r="AK26" s="522"/>
      <c r="AL26" s="522" t="str">
        <f ca="1">IF(AND('Mapa final'!$K$34="Alta",'Mapa final'!$O$34="Moderado"),CONCATENATE("R",'Mapa final'!$A$34),"")</f>
        <v/>
      </c>
      <c r="AM26" s="522"/>
      <c r="AN26" s="524" t="str">
        <f ca="1">IF(AND('Mapa final'!$K$22="Alta",'Mapa final'!$O$22="Mayor"),CONCATENATE("R",'Mapa final'!$A$22),"")</f>
        <v>R6</v>
      </c>
      <c r="AO26" s="522"/>
      <c r="AP26" s="522" t="str">
        <f ca="1">IF(AND('Mapa final'!$K$25="Alta",'Mapa final'!$O$25="Mayor"),CONCATENATE("R",'Mapa final'!$A$25),"")</f>
        <v/>
      </c>
      <c r="AQ26" s="522"/>
      <c r="AR26" s="522" t="str">
        <f ca="1">IF(AND('Mapa final'!$K$28="Alta",'Mapa final'!$O$28="Mayor"),CONCATENATE("R",'Mapa final'!$A$28),"")</f>
        <v/>
      </c>
      <c r="AS26" s="522"/>
      <c r="AT26" s="522" t="str">
        <f ca="1">IF(AND('Mapa final'!$K$31="Alta",'Mapa final'!$O$31="Mayor"),CONCATENATE("R",'Mapa final'!$A$31),"")</f>
        <v/>
      </c>
      <c r="AU26" s="522"/>
      <c r="AV26" s="522" t="str">
        <f ca="1">IF(AND('Mapa final'!$K$34="Alta",'Mapa final'!$O$34="Mayor"),CONCATENATE("R",'Mapa final'!$A$34),"")</f>
        <v/>
      </c>
      <c r="AW26" s="523"/>
      <c r="AX26" s="517" t="str">
        <f ca="1">IF(AND('Mapa final'!$K$22="Alta",'Mapa final'!$O$22="Catastrófico"),CONCATENATE("R",'Mapa final'!$A$22),"")</f>
        <v/>
      </c>
      <c r="AY26" s="517"/>
      <c r="AZ26" s="517" t="str">
        <f ca="1">IF(AND('Mapa final'!$K$25="Alta",'Mapa final'!$O$25="Catastrófico"),CONCATENATE("R",'Mapa final'!$A$25),"")</f>
        <v/>
      </c>
      <c r="BA26" s="517"/>
      <c r="BB26" s="517" t="str">
        <f ca="1">IF(AND('Mapa final'!$K$28="Alta",'Mapa final'!$O$28="Catastrófico"),CONCATENATE("R",'Mapa final'!$A$28),"")</f>
        <v/>
      </c>
      <c r="BC26" s="517"/>
      <c r="BD26" s="517" t="str">
        <f ca="1">IF(AND('Mapa final'!$K$31="Alta",'Mapa final'!$O$31="Catastrófico"),CONCATENATE("R",'Mapa final'!$A$31),"")</f>
        <v/>
      </c>
      <c r="BE26" s="517"/>
      <c r="BF26" s="517" t="str">
        <f ca="1">IF(AND('Mapa final'!$K$34="Alta",'Mapa final'!$O$34="Catastrófico"),CONCATENATE("R",'Mapa final'!$A$34),"")</f>
        <v/>
      </c>
      <c r="BG26" s="517"/>
      <c r="BH26" s="38"/>
      <c r="BI26" s="560"/>
      <c r="BJ26" s="561"/>
      <c r="BK26" s="561"/>
      <c r="BL26" s="561"/>
      <c r="BM26" s="561"/>
      <c r="BN26" s="562"/>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row>
    <row r="27" spans="1:100" ht="15" customHeight="1" x14ac:dyDescent="0.25">
      <c r="A27" s="38"/>
      <c r="B27" s="355"/>
      <c r="C27" s="356"/>
      <c r="D27" s="357"/>
      <c r="E27" s="595"/>
      <c r="F27" s="596"/>
      <c r="G27" s="596"/>
      <c r="H27" s="596"/>
      <c r="I27" s="596"/>
      <c r="J27" s="521"/>
      <c r="K27" s="520"/>
      <c r="L27" s="520"/>
      <c r="M27" s="520"/>
      <c r="N27" s="520"/>
      <c r="O27" s="520"/>
      <c r="P27" s="520"/>
      <c r="Q27" s="520"/>
      <c r="R27" s="520"/>
      <c r="S27" s="525"/>
      <c r="T27" s="521"/>
      <c r="U27" s="520"/>
      <c r="V27" s="520"/>
      <c r="W27" s="520"/>
      <c r="X27" s="520"/>
      <c r="Y27" s="520"/>
      <c r="Z27" s="520"/>
      <c r="AA27" s="520"/>
      <c r="AB27" s="520"/>
      <c r="AC27" s="520"/>
      <c r="AD27" s="524"/>
      <c r="AE27" s="522"/>
      <c r="AF27" s="522"/>
      <c r="AG27" s="522"/>
      <c r="AH27" s="522"/>
      <c r="AI27" s="522"/>
      <c r="AJ27" s="522"/>
      <c r="AK27" s="522"/>
      <c r="AL27" s="522"/>
      <c r="AM27" s="522"/>
      <c r="AN27" s="524"/>
      <c r="AO27" s="522"/>
      <c r="AP27" s="522"/>
      <c r="AQ27" s="522"/>
      <c r="AR27" s="522"/>
      <c r="AS27" s="522"/>
      <c r="AT27" s="522"/>
      <c r="AU27" s="522"/>
      <c r="AV27" s="522"/>
      <c r="AW27" s="523"/>
      <c r="AX27" s="517"/>
      <c r="AY27" s="517"/>
      <c r="AZ27" s="517"/>
      <c r="BA27" s="517"/>
      <c r="BB27" s="517"/>
      <c r="BC27" s="517"/>
      <c r="BD27" s="517"/>
      <c r="BE27" s="517"/>
      <c r="BF27" s="517"/>
      <c r="BG27" s="517"/>
      <c r="BH27" s="38"/>
      <c r="BI27" s="560"/>
      <c r="BJ27" s="561"/>
      <c r="BK27" s="561"/>
      <c r="BL27" s="561"/>
      <c r="BM27" s="561"/>
      <c r="BN27" s="562"/>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row>
    <row r="28" spans="1:100" ht="15" customHeight="1" x14ac:dyDescent="0.25">
      <c r="A28" s="38"/>
      <c r="B28" s="355"/>
      <c r="C28" s="356"/>
      <c r="D28" s="357"/>
      <c r="E28" s="595"/>
      <c r="F28" s="596"/>
      <c r="G28" s="596"/>
      <c r="H28" s="596"/>
      <c r="I28" s="596"/>
      <c r="J28" s="521" t="str">
        <f ca="1">IF(AND('Mapa final'!$K$37="Alta",'Mapa final'!$O$37="Leve"),CONCATENATE("R",'Mapa final'!$A$37),"")</f>
        <v/>
      </c>
      <c r="K28" s="520"/>
      <c r="L28" s="520" t="str">
        <f ca="1">IF(AND('Mapa final'!$K$41="Alta",'Mapa final'!$O$41="Leve"),CONCATENATE("R",'Mapa final'!$A$41),"")</f>
        <v/>
      </c>
      <c r="M28" s="520"/>
      <c r="N28" s="520" t="str">
        <f ca="1">IF(AND('Mapa final'!$K$44="Alta",'Mapa final'!$O$44="Leve"),CONCATENATE("R",'Mapa final'!$A$44),"")</f>
        <v/>
      </c>
      <c r="O28" s="520"/>
      <c r="P28" s="520" t="str">
        <f ca="1">IF(AND('Mapa final'!$K$49="Alta",'Mapa final'!$O$49="Leve"),CONCATENATE("R",'Mapa final'!$A$49),"")</f>
        <v/>
      </c>
      <c r="Q28" s="520"/>
      <c r="R28" s="520" t="str">
        <f ca="1">IF(AND('Mapa final'!$K$52="Alta",'Mapa final'!$O$52="Leve"),CONCATENATE("R",'Mapa final'!$A$52),"")</f>
        <v/>
      </c>
      <c r="S28" s="525"/>
      <c r="T28" s="521" t="str">
        <f ca="1">IF(AND('Mapa final'!$K$37="Alta",'Mapa final'!$O$37="Menor"),CONCATENATE("R",'Mapa final'!$A$37),"")</f>
        <v/>
      </c>
      <c r="U28" s="520"/>
      <c r="V28" s="520" t="str">
        <f ca="1">IF(AND('Mapa final'!$K$41="Alta",'Mapa final'!$O$41="Menor"),CONCATENATE("R",'Mapa final'!$A$41),"")</f>
        <v/>
      </c>
      <c r="W28" s="520"/>
      <c r="X28" s="520" t="str">
        <f ca="1">IF(AND('Mapa final'!$K$44="Alta",'Mapa final'!$O$44="Menor"),CONCATENATE("R",'Mapa final'!$A$44),"")</f>
        <v/>
      </c>
      <c r="Y28" s="520"/>
      <c r="Z28" s="520" t="str">
        <f ca="1">IF(AND('Mapa final'!$K$49="Alta",'Mapa final'!$O$49="Menor"),CONCATENATE("R",'Mapa final'!$A$49),"")</f>
        <v/>
      </c>
      <c r="AA28" s="520"/>
      <c r="AB28" s="520" t="str">
        <f ca="1">IF(AND('Mapa final'!$K$52="Alta",'Mapa final'!$O$52="Menor"),CONCATENATE("R",'Mapa final'!$A$52),"")</f>
        <v/>
      </c>
      <c r="AC28" s="520"/>
      <c r="AD28" s="524" t="str">
        <f ca="1">IF(AND('Mapa final'!$K$37="Alta",'Mapa final'!$O$37="Moderado"),CONCATENATE("R",'Mapa final'!$A$37),"")</f>
        <v/>
      </c>
      <c r="AE28" s="522"/>
      <c r="AF28" s="522" t="str">
        <f ca="1">IF(AND('Mapa final'!$K$41="Alta",'Mapa final'!$O$41="Moderado"),CONCATENATE("R",'Mapa final'!$A$41),"")</f>
        <v/>
      </c>
      <c r="AG28" s="522"/>
      <c r="AH28" s="522" t="str">
        <f ca="1">IF(AND('Mapa final'!$K$44="Alta",'Mapa final'!$O$44="Moderado"),CONCATENATE("R",'Mapa final'!$A$44),"")</f>
        <v/>
      </c>
      <c r="AI28" s="522"/>
      <c r="AJ28" s="522" t="str">
        <f ca="1">IF(AND('Mapa final'!$K$49="Alta",'Mapa final'!$O$49="Moderado"),CONCATENATE("R",'Mapa final'!$A$49),"")</f>
        <v/>
      </c>
      <c r="AK28" s="522"/>
      <c r="AL28" s="522" t="str">
        <f ca="1">IF(AND('Mapa final'!$K$52="Alta",'Mapa final'!$O$52="Moderado"),CONCATENATE("R",'Mapa final'!$A$52),"")</f>
        <v/>
      </c>
      <c r="AM28" s="522"/>
      <c r="AN28" s="524" t="str">
        <f ca="1">IF(AND('Mapa final'!$K$37="Alta",'Mapa final'!$O$37="Mayor"),CONCATENATE("R",'Mapa final'!$A$37),"")</f>
        <v/>
      </c>
      <c r="AO28" s="522"/>
      <c r="AP28" s="522" t="str">
        <f ca="1">IF(AND('Mapa final'!$K$41="Alta",'Mapa final'!$O$41="Mayor"),CONCATENATE("R",'Mapa final'!$A$41),"")</f>
        <v/>
      </c>
      <c r="AQ28" s="522"/>
      <c r="AR28" s="522" t="str">
        <f ca="1">IF(AND('Mapa final'!$K$44="Alta",'Mapa final'!$O$44="Mayor"),CONCATENATE("R",'Mapa final'!$A$44),"")</f>
        <v/>
      </c>
      <c r="AS28" s="522"/>
      <c r="AT28" s="522" t="str">
        <f ca="1">IF(AND('Mapa final'!$K$49="Alta",'Mapa final'!$O$49="Mayor"),CONCATENATE("R",'Mapa final'!$A$49),"")</f>
        <v/>
      </c>
      <c r="AU28" s="522"/>
      <c r="AV28" s="522" t="str">
        <f ca="1">IF(AND('Mapa final'!$K$52="Alta",'Mapa final'!$O$52="Mayor"),CONCATENATE("R",'Mapa final'!$A$52),"")</f>
        <v/>
      </c>
      <c r="AW28" s="523"/>
      <c r="AX28" s="517" t="str">
        <f ca="1">IF(AND('Mapa final'!$K$37="Alta",'Mapa final'!$O$37="Catastrófico"),CONCATENATE("R",'Mapa final'!$A$37),"")</f>
        <v/>
      </c>
      <c r="AY28" s="517"/>
      <c r="AZ28" s="517" t="str">
        <f ca="1">IF(AND('Mapa final'!$K$41="Alta",'Mapa final'!$O$41="Catastrófico"),CONCATENATE("R",'Mapa final'!$A$41),"")</f>
        <v/>
      </c>
      <c r="BA28" s="517"/>
      <c r="BB28" s="517" t="str">
        <f ca="1">IF(AND('Mapa final'!$K$44="Alta",'Mapa final'!$O$44="Catastrófico"),CONCATENATE("R",'Mapa final'!$A$44),"")</f>
        <v/>
      </c>
      <c r="BC28" s="517"/>
      <c r="BD28" s="517" t="str">
        <f ca="1">IF(AND('Mapa final'!$K$49="Alta",'Mapa final'!$O$49="Catastrófico"),CONCATENATE("R",'Mapa final'!$A$49),"")</f>
        <v/>
      </c>
      <c r="BE28" s="517"/>
      <c r="BF28" s="517" t="str">
        <f ca="1">IF(AND('Mapa final'!$K$52="Alta",'Mapa final'!$O$52="Catastrófico"),CONCATENATE("R",'Mapa final'!$A$52),"")</f>
        <v/>
      </c>
      <c r="BG28" s="517"/>
      <c r="BH28" s="38"/>
      <c r="BI28" s="560"/>
      <c r="BJ28" s="561"/>
      <c r="BK28" s="561"/>
      <c r="BL28" s="561"/>
      <c r="BM28" s="561"/>
      <c r="BN28" s="562"/>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row>
    <row r="29" spans="1:100" ht="15" customHeight="1" x14ac:dyDescent="0.25">
      <c r="A29" s="38"/>
      <c r="B29" s="355"/>
      <c r="C29" s="356"/>
      <c r="D29" s="357"/>
      <c r="E29" s="595"/>
      <c r="F29" s="596"/>
      <c r="G29" s="596"/>
      <c r="H29" s="596"/>
      <c r="I29" s="596"/>
      <c r="J29" s="521"/>
      <c r="K29" s="520"/>
      <c r="L29" s="520"/>
      <c r="M29" s="520"/>
      <c r="N29" s="520"/>
      <c r="O29" s="520"/>
      <c r="P29" s="520"/>
      <c r="Q29" s="520"/>
      <c r="R29" s="520"/>
      <c r="S29" s="525"/>
      <c r="T29" s="521"/>
      <c r="U29" s="520"/>
      <c r="V29" s="520"/>
      <c r="W29" s="520"/>
      <c r="X29" s="520"/>
      <c r="Y29" s="520"/>
      <c r="Z29" s="520"/>
      <c r="AA29" s="520"/>
      <c r="AB29" s="520"/>
      <c r="AC29" s="520"/>
      <c r="AD29" s="524"/>
      <c r="AE29" s="522"/>
      <c r="AF29" s="522"/>
      <c r="AG29" s="522"/>
      <c r="AH29" s="522"/>
      <c r="AI29" s="522"/>
      <c r="AJ29" s="522"/>
      <c r="AK29" s="522"/>
      <c r="AL29" s="522"/>
      <c r="AM29" s="522"/>
      <c r="AN29" s="524"/>
      <c r="AO29" s="522"/>
      <c r="AP29" s="522"/>
      <c r="AQ29" s="522"/>
      <c r="AR29" s="522"/>
      <c r="AS29" s="522"/>
      <c r="AT29" s="522"/>
      <c r="AU29" s="522"/>
      <c r="AV29" s="522"/>
      <c r="AW29" s="523"/>
      <c r="AX29" s="517"/>
      <c r="AY29" s="517"/>
      <c r="AZ29" s="517"/>
      <c r="BA29" s="517"/>
      <c r="BB29" s="517"/>
      <c r="BC29" s="517"/>
      <c r="BD29" s="517"/>
      <c r="BE29" s="517"/>
      <c r="BF29" s="517"/>
      <c r="BG29" s="517"/>
      <c r="BH29" s="38"/>
      <c r="BI29" s="560"/>
      <c r="BJ29" s="561"/>
      <c r="BK29" s="561"/>
      <c r="BL29" s="561"/>
      <c r="BM29" s="561"/>
      <c r="BN29" s="562"/>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row>
    <row r="30" spans="1:100" ht="15" customHeight="1" x14ac:dyDescent="0.25">
      <c r="A30" s="38"/>
      <c r="B30" s="355"/>
      <c r="C30" s="356"/>
      <c r="D30" s="357"/>
      <c r="E30" s="595"/>
      <c r="F30" s="596"/>
      <c r="G30" s="596"/>
      <c r="H30" s="596"/>
      <c r="I30" s="596"/>
      <c r="J30" s="521" t="str">
        <f ca="1">IF(AND('Mapa final'!$K$55="Alta",'Mapa final'!$O$55="Leve"),CONCATENATE("R",'Mapa final'!$A$55),"")</f>
        <v/>
      </c>
      <c r="K30" s="520"/>
      <c r="L30" s="520" t="str">
        <f ca="1">IF(AND('Mapa final'!$K$58="Alta",'Mapa final'!$O$58="Leve"),CONCATENATE("R",'Mapa final'!$A$58),"")</f>
        <v/>
      </c>
      <c r="M30" s="520"/>
      <c r="N30" s="520" t="str">
        <f ca="1">IF(AND('Mapa final'!$K$61="Alta",'Mapa final'!$O$61="Leve"),CONCATENATE("R",'Mapa final'!$A$61),"")</f>
        <v/>
      </c>
      <c r="O30" s="520"/>
      <c r="P30" s="520" t="str">
        <f ca="1">IF(AND('Mapa final'!$K$64="Alta",'Mapa final'!$O$64="Leve"),CONCATENATE("R",'Mapa final'!$A$64),"")</f>
        <v/>
      </c>
      <c r="Q30" s="520"/>
      <c r="R30" s="520" t="str">
        <f ca="1">IF(AND('Mapa final'!$K$67="Alta",'Mapa final'!$O$67="Leve"),CONCATENATE("R",'Mapa final'!$A$67),"")</f>
        <v/>
      </c>
      <c r="S30" s="525"/>
      <c r="T30" s="521" t="str">
        <f ca="1">IF(AND('Mapa final'!$K$55="Alta",'Mapa final'!$O$55="Menor"),CONCATENATE("R",'Mapa final'!$A$55),"")</f>
        <v/>
      </c>
      <c r="U30" s="520"/>
      <c r="V30" s="520" t="str">
        <f ca="1">IF(AND('Mapa final'!$K$58="Alta",'Mapa final'!$O$58="Menor"),CONCATENATE("R",'Mapa final'!$A$58),"")</f>
        <v/>
      </c>
      <c r="W30" s="520"/>
      <c r="X30" s="520" t="str">
        <f ca="1">IF(AND('Mapa final'!$K$61="Alta",'Mapa final'!$O$61="Menor"),CONCATENATE("R",'Mapa final'!$A$61),"")</f>
        <v/>
      </c>
      <c r="Y30" s="520"/>
      <c r="Z30" s="520" t="str">
        <f ca="1">IF(AND('Mapa final'!$K$64="Alta",'Mapa final'!$O$64="Menor"),CONCATENATE("R",'Mapa final'!$A$64),"")</f>
        <v/>
      </c>
      <c r="AA30" s="520"/>
      <c r="AB30" s="520" t="str">
        <f ca="1">IF(AND('Mapa final'!$K$67="Alta",'Mapa final'!$O$67="Menor"),CONCATENATE("R",'Mapa final'!$A$67),"")</f>
        <v/>
      </c>
      <c r="AC30" s="520"/>
      <c r="AD30" s="524" t="str">
        <f ca="1">IF(AND('Mapa final'!$K$55="Alta",'Mapa final'!$O$55="Moderado"),CONCATENATE("R",'Mapa final'!$A$55),"")</f>
        <v/>
      </c>
      <c r="AE30" s="522"/>
      <c r="AF30" s="522" t="str">
        <f ca="1">IF(AND('Mapa final'!$K$58="Alta",'Mapa final'!$O$58="Moderado"),CONCATENATE("R",'Mapa final'!$A$58),"")</f>
        <v/>
      </c>
      <c r="AG30" s="522"/>
      <c r="AH30" s="522" t="str">
        <f ca="1">IF(AND('Mapa final'!$K$61="Alta",'Mapa final'!$O$61="Moderado"),CONCATENATE("R",'Mapa final'!$A$61),"")</f>
        <v/>
      </c>
      <c r="AI30" s="522"/>
      <c r="AJ30" s="522" t="str">
        <f ca="1">IF(AND('Mapa final'!$K$64="Alta",'Mapa final'!$O$64="Moderado"),CONCATENATE("R",'Mapa final'!$A$64),"")</f>
        <v/>
      </c>
      <c r="AK30" s="522"/>
      <c r="AL30" s="522" t="str">
        <f ca="1">IF(AND('Mapa final'!$K$67="Alta",'Mapa final'!$O$67="Moderado"),CONCATENATE("R",'Mapa final'!$A$67),"")</f>
        <v>R20</v>
      </c>
      <c r="AM30" s="522"/>
      <c r="AN30" s="524" t="str">
        <f ca="1">IF(AND('Mapa final'!$K$55="Alta",'Mapa final'!$O$55="Mayor"),CONCATENATE("R",'Mapa final'!$A$55),"")</f>
        <v/>
      </c>
      <c r="AO30" s="522"/>
      <c r="AP30" s="522" t="str">
        <f ca="1">IF(AND('Mapa final'!$K$58="Alta",'Mapa final'!$O$58="Mayor"),CONCATENATE("R",'Mapa final'!$A$58),"")</f>
        <v/>
      </c>
      <c r="AQ30" s="522"/>
      <c r="AR30" s="522" t="str">
        <f ca="1">IF(AND('Mapa final'!$K$61="Alta",'Mapa final'!$O$61="Mayor"),CONCATENATE("R",'Mapa final'!$A$61),"")</f>
        <v/>
      </c>
      <c r="AS30" s="522"/>
      <c r="AT30" s="522" t="str">
        <f ca="1">IF(AND('Mapa final'!$K$64="Alta",'Mapa final'!$O$64="Mayor"),CONCATENATE("R",'Mapa final'!$A$64),"")</f>
        <v/>
      </c>
      <c r="AU30" s="522"/>
      <c r="AV30" s="522" t="str">
        <f ca="1">IF(AND('Mapa final'!$K$67="Alta",'Mapa final'!$O$67="Mayor"),CONCATENATE("R",'Mapa final'!$A$67),"")</f>
        <v/>
      </c>
      <c r="AW30" s="523"/>
      <c r="AX30" s="517" t="str">
        <f ca="1">IF(AND('Mapa final'!$K$55="Alta",'Mapa final'!$O$55="Catastrófico"),CONCATENATE("R",'Mapa final'!$A$55),"")</f>
        <v/>
      </c>
      <c r="AY30" s="517"/>
      <c r="AZ30" s="517" t="str">
        <f ca="1">IF(AND('Mapa final'!$K$58="Alta",'Mapa final'!$O$58="Catastrófico"),CONCATENATE("R",'Mapa final'!$A$58),"")</f>
        <v/>
      </c>
      <c r="BA30" s="517"/>
      <c r="BB30" s="517" t="str">
        <f ca="1">IF(AND('Mapa final'!$K$61="Alta",'Mapa final'!$O$61="Catastrófico"),CONCATENATE("R",'Mapa final'!$A$61),"")</f>
        <v/>
      </c>
      <c r="BC30" s="517"/>
      <c r="BD30" s="517" t="str">
        <f ca="1">IF(AND('Mapa final'!$K$64="Alta",'Mapa final'!$O$64="Catastrófico"),CONCATENATE("R",'Mapa final'!$A$64),"")</f>
        <v/>
      </c>
      <c r="BE30" s="517"/>
      <c r="BF30" s="517" t="str">
        <f ca="1">IF(AND('Mapa final'!$K$67="Alta",'Mapa final'!$O$67="Catastrófico"),CONCATENATE("R",'Mapa final'!$A$67),"")</f>
        <v/>
      </c>
      <c r="BG30" s="517"/>
      <c r="BH30" s="38"/>
      <c r="BI30" s="560"/>
      <c r="BJ30" s="561"/>
      <c r="BK30" s="561"/>
      <c r="BL30" s="561"/>
      <c r="BM30" s="561"/>
      <c r="BN30" s="562"/>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row>
    <row r="31" spans="1:100" ht="15" customHeight="1" thickBot="1" x14ac:dyDescent="0.3">
      <c r="A31" s="38"/>
      <c r="B31" s="355"/>
      <c r="C31" s="356"/>
      <c r="D31" s="357"/>
      <c r="E31" s="595"/>
      <c r="F31" s="596"/>
      <c r="G31" s="596"/>
      <c r="H31" s="596"/>
      <c r="I31" s="596"/>
      <c r="J31" s="521"/>
      <c r="K31" s="520"/>
      <c r="L31" s="520"/>
      <c r="M31" s="520"/>
      <c r="N31" s="520"/>
      <c r="O31" s="520"/>
      <c r="P31" s="520"/>
      <c r="Q31" s="520"/>
      <c r="R31" s="520"/>
      <c r="S31" s="525"/>
      <c r="T31" s="521"/>
      <c r="U31" s="520"/>
      <c r="V31" s="520"/>
      <c r="W31" s="520"/>
      <c r="X31" s="520"/>
      <c r="Y31" s="520"/>
      <c r="Z31" s="520"/>
      <c r="AA31" s="520"/>
      <c r="AB31" s="520"/>
      <c r="AC31" s="520"/>
      <c r="AD31" s="524"/>
      <c r="AE31" s="522"/>
      <c r="AF31" s="522"/>
      <c r="AG31" s="522"/>
      <c r="AH31" s="522"/>
      <c r="AI31" s="522"/>
      <c r="AJ31" s="522"/>
      <c r="AK31" s="522"/>
      <c r="AL31" s="522"/>
      <c r="AM31" s="522"/>
      <c r="AN31" s="524"/>
      <c r="AO31" s="522"/>
      <c r="AP31" s="522"/>
      <c r="AQ31" s="522"/>
      <c r="AR31" s="522"/>
      <c r="AS31" s="522"/>
      <c r="AT31" s="522"/>
      <c r="AU31" s="522"/>
      <c r="AV31" s="522"/>
      <c r="AW31" s="523"/>
      <c r="AX31" s="517"/>
      <c r="AY31" s="517"/>
      <c r="AZ31" s="517"/>
      <c r="BA31" s="517"/>
      <c r="BB31" s="517"/>
      <c r="BC31" s="517"/>
      <c r="BD31" s="517"/>
      <c r="BE31" s="517"/>
      <c r="BF31" s="517"/>
      <c r="BG31" s="517"/>
      <c r="BH31" s="38"/>
      <c r="BI31" s="563"/>
      <c r="BJ31" s="564"/>
      <c r="BK31" s="564"/>
      <c r="BL31" s="564"/>
      <c r="BM31" s="564"/>
      <c r="BN31" s="565"/>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row>
    <row r="32" spans="1:100" ht="15" customHeight="1" x14ac:dyDescent="0.25">
      <c r="A32" s="38"/>
      <c r="B32" s="355"/>
      <c r="C32" s="356"/>
      <c r="D32" s="357"/>
      <c r="E32" s="595"/>
      <c r="F32" s="596"/>
      <c r="G32" s="596"/>
      <c r="H32" s="596"/>
      <c r="I32" s="596"/>
      <c r="J32" s="521" t="str">
        <f ca="1">IF(AND('Mapa final'!$K$70="Alta",'Mapa final'!$O$70="Leve"),CONCATENATE("R",'Mapa final'!$A$70),"")</f>
        <v/>
      </c>
      <c r="K32" s="520"/>
      <c r="L32" s="520" t="str">
        <f ca="1">IF(AND('Mapa final'!$K$73="Alta",'Mapa final'!$O$73="Leve"),CONCATENATE("R",'Mapa final'!$A$73),"")</f>
        <v/>
      </c>
      <c r="M32" s="520"/>
      <c r="N32" s="520" t="str">
        <f ca="1">IF(AND('Mapa final'!$K$76="Alta",'Mapa final'!$O$76="Leve"),CONCATENATE("R",'Mapa final'!$A$76),"")</f>
        <v/>
      </c>
      <c r="O32" s="520"/>
      <c r="P32" s="520" t="str">
        <f ca="1">IF(AND('Mapa final'!$K$79="Alta",'Mapa final'!$O$79="Leve"),CONCATENATE("R",'Mapa final'!$A$79),"")</f>
        <v/>
      </c>
      <c r="Q32" s="520"/>
      <c r="R32" s="520" t="str">
        <f ca="1">IF(AND('Mapa final'!$K$82="Alta",'Mapa final'!$O$82="Leve"),CONCATENATE("R",'Mapa final'!$A$82),"")</f>
        <v/>
      </c>
      <c r="S32" s="525"/>
      <c r="T32" s="521" t="str">
        <f ca="1">IF(AND('Mapa final'!$K$70="Alta",'Mapa final'!$O$70="Menor"),CONCATENATE("R",'Mapa final'!$A$70),"")</f>
        <v/>
      </c>
      <c r="U32" s="520"/>
      <c r="V32" s="520" t="str">
        <f ca="1">IF(AND('Mapa final'!$K$73="Alta",'Mapa final'!$O$73="Menor"),CONCATENATE("R",'Mapa final'!$A$73),"")</f>
        <v/>
      </c>
      <c r="W32" s="520"/>
      <c r="X32" s="520" t="str">
        <f ca="1">IF(AND('Mapa final'!$K$76="Alta",'Mapa final'!$O$76="Menor"),CONCATENATE("R",'Mapa final'!$A$76),"")</f>
        <v/>
      </c>
      <c r="Y32" s="520"/>
      <c r="Z32" s="520" t="str">
        <f ca="1">IF(AND('Mapa final'!$K$79="Alta",'Mapa final'!$O$79="Menor"),CONCATENATE("R",'Mapa final'!$A$79),"")</f>
        <v/>
      </c>
      <c r="AA32" s="520"/>
      <c r="AB32" s="520" t="str">
        <f ca="1">IF(AND('Mapa final'!$K$82="Alta",'Mapa final'!$O$82="Menor"),CONCATENATE("R",'Mapa final'!$A$82),"")</f>
        <v/>
      </c>
      <c r="AC32" s="520"/>
      <c r="AD32" s="524" t="str">
        <f ca="1">IF(AND('Mapa final'!$K$70="Alta",'Mapa final'!$O$70="Moderado"),CONCATENATE("R",'Mapa final'!$A$70),"")</f>
        <v/>
      </c>
      <c r="AE32" s="522"/>
      <c r="AF32" s="522" t="str">
        <f ca="1">IF(AND('Mapa final'!$K$73="Alta",'Mapa final'!$O$73="Moderado"),CONCATENATE("R",'Mapa final'!$A$73),"")</f>
        <v/>
      </c>
      <c r="AG32" s="522"/>
      <c r="AH32" s="522" t="str">
        <f ca="1">IF(AND('Mapa final'!$K$76="Alta",'Mapa final'!$O$76="Moderado"),CONCATENATE("R",'Mapa final'!$A$76),"")</f>
        <v/>
      </c>
      <c r="AI32" s="522"/>
      <c r="AJ32" s="522" t="str">
        <f ca="1">IF(AND('Mapa final'!$K$79="Alta",'Mapa final'!$O$79="Moderado"),CONCATENATE("R",'Mapa final'!$A$79),"")</f>
        <v/>
      </c>
      <c r="AK32" s="522"/>
      <c r="AL32" s="522" t="str">
        <f ca="1">IF(AND('Mapa final'!$K$82="Alta",'Mapa final'!$O$82="Moderado"),CONCATENATE("R",'Mapa final'!$A$82),"")</f>
        <v/>
      </c>
      <c r="AM32" s="522"/>
      <c r="AN32" s="524" t="str">
        <f ca="1">IF(AND('Mapa final'!$K$70="Alta",'Mapa final'!$O$70="Mayor"),CONCATENATE("R",'Mapa final'!$A$70),"")</f>
        <v/>
      </c>
      <c r="AO32" s="522"/>
      <c r="AP32" s="522" t="str">
        <f ca="1">IF(AND('Mapa final'!$K$73="Alta",'Mapa final'!$O$73="Mayor"),CONCATENATE("R",'Mapa final'!$A$73),"")</f>
        <v/>
      </c>
      <c r="AQ32" s="522"/>
      <c r="AR32" s="522" t="str">
        <f ca="1">IF(AND('Mapa final'!$K$76="Alta",'Mapa final'!$O$76="Mayor"),CONCATENATE("R",'Mapa final'!$A$76),"")</f>
        <v/>
      </c>
      <c r="AS32" s="522"/>
      <c r="AT32" s="522" t="str">
        <f ca="1">IF(AND('Mapa final'!$K$79="Alta",'Mapa final'!$O$79="Mayor"),CONCATENATE("R",'Mapa final'!$A$79),"")</f>
        <v/>
      </c>
      <c r="AU32" s="522"/>
      <c r="AV32" s="522" t="str">
        <f ca="1">IF(AND('Mapa final'!$K$82="Alta",'Mapa final'!$O$82="Mayor"),CONCATENATE("R",'Mapa final'!$A$82),"")</f>
        <v/>
      </c>
      <c r="AW32" s="523"/>
      <c r="AX32" s="517" t="str">
        <f ca="1">IF(AND('Mapa final'!$K$70="Alta",'Mapa final'!$O$70="Catastrófico"),CONCATENATE("R",'Mapa final'!$A$70),"")</f>
        <v/>
      </c>
      <c r="AY32" s="517"/>
      <c r="AZ32" s="517" t="str">
        <f ca="1">IF(AND('Mapa final'!$K$73="Alta",'Mapa final'!$O$73="Catastrófico"),CONCATENATE("R",'Mapa final'!$A$73),"")</f>
        <v/>
      </c>
      <c r="BA32" s="517"/>
      <c r="BB32" s="517" t="str">
        <f ca="1">IF(AND('Mapa final'!$K$76="Alta",'Mapa final'!$O$76="Catastrófico"),CONCATENATE("R",'Mapa final'!$A$76),"")</f>
        <v/>
      </c>
      <c r="BC32" s="517"/>
      <c r="BD32" s="517" t="str">
        <f ca="1">IF(AND('Mapa final'!$K$79="Alta",'Mapa final'!$O$79="Catastrófico"),CONCATENATE("R",'Mapa final'!$A$79),"")</f>
        <v/>
      </c>
      <c r="BE32" s="517"/>
      <c r="BF32" s="517" t="str">
        <f ca="1">IF(AND('Mapa final'!$K$82="Alta",'Mapa final'!$O$82="Catastrófico"),CONCATENATE("R",'Mapa final'!$A$82),"")</f>
        <v/>
      </c>
      <c r="BG32" s="517"/>
      <c r="BH32" s="38"/>
      <c r="BI32" s="566" t="s">
        <v>74</v>
      </c>
      <c r="BJ32" s="567"/>
      <c r="BK32" s="567"/>
      <c r="BL32" s="567"/>
      <c r="BM32" s="567"/>
      <c r="BN32" s="56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row>
    <row r="33" spans="1:100" ht="15" customHeight="1" x14ac:dyDescent="0.25">
      <c r="A33" s="38"/>
      <c r="B33" s="355"/>
      <c r="C33" s="356"/>
      <c r="D33" s="357"/>
      <c r="E33" s="595"/>
      <c r="F33" s="596"/>
      <c r="G33" s="596"/>
      <c r="H33" s="596"/>
      <c r="I33" s="596"/>
      <c r="J33" s="521"/>
      <c r="K33" s="520"/>
      <c r="L33" s="520"/>
      <c r="M33" s="520"/>
      <c r="N33" s="520"/>
      <c r="O33" s="520"/>
      <c r="P33" s="520"/>
      <c r="Q33" s="520"/>
      <c r="R33" s="520"/>
      <c r="S33" s="525"/>
      <c r="T33" s="521"/>
      <c r="U33" s="520"/>
      <c r="V33" s="520"/>
      <c r="W33" s="520"/>
      <c r="X33" s="520"/>
      <c r="Y33" s="520"/>
      <c r="Z33" s="520"/>
      <c r="AA33" s="520"/>
      <c r="AB33" s="520"/>
      <c r="AC33" s="520"/>
      <c r="AD33" s="524"/>
      <c r="AE33" s="522"/>
      <c r="AF33" s="522"/>
      <c r="AG33" s="522"/>
      <c r="AH33" s="522"/>
      <c r="AI33" s="522"/>
      <c r="AJ33" s="522"/>
      <c r="AK33" s="522"/>
      <c r="AL33" s="522"/>
      <c r="AM33" s="522"/>
      <c r="AN33" s="524"/>
      <c r="AO33" s="522"/>
      <c r="AP33" s="522"/>
      <c r="AQ33" s="522"/>
      <c r="AR33" s="522"/>
      <c r="AS33" s="522"/>
      <c r="AT33" s="522"/>
      <c r="AU33" s="522"/>
      <c r="AV33" s="522"/>
      <c r="AW33" s="523"/>
      <c r="AX33" s="517"/>
      <c r="AY33" s="517"/>
      <c r="AZ33" s="517"/>
      <c r="BA33" s="517"/>
      <c r="BB33" s="517"/>
      <c r="BC33" s="517"/>
      <c r="BD33" s="517"/>
      <c r="BE33" s="517"/>
      <c r="BF33" s="517"/>
      <c r="BG33" s="517"/>
      <c r="BH33" s="38"/>
      <c r="BI33" s="569"/>
      <c r="BJ33" s="570"/>
      <c r="BK33" s="570"/>
      <c r="BL33" s="570"/>
      <c r="BM33" s="570"/>
      <c r="BN33" s="571"/>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row>
    <row r="34" spans="1:100" ht="15" customHeight="1" x14ac:dyDescent="0.25">
      <c r="A34" s="38"/>
      <c r="B34" s="355"/>
      <c r="C34" s="356"/>
      <c r="D34" s="357"/>
      <c r="E34" s="595"/>
      <c r="F34" s="596"/>
      <c r="G34" s="596"/>
      <c r="H34" s="596"/>
      <c r="I34" s="596"/>
      <c r="J34" s="521" t="str">
        <f ca="1">IF(AND('Mapa final'!$K$85="Alta",'Mapa final'!$O$85="Leve"),CONCATENATE("R",'Mapa final'!$A$85),"")</f>
        <v/>
      </c>
      <c r="K34" s="520"/>
      <c r="L34" s="520" t="str">
        <f ca="1">IF(AND('Mapa final'!$K$88="Alta",'Mapa final'!$O$88="Leve"),CONCATENATE("R",'Mapa final'!$A$88),"")</f>
        <v/>
      </c>
      <c r="M34" s="520"/>
      <c r="N34" s="520" t="str">
        <f ca="1">IF(AND('Mapa final'!$K$91="Alta",'Mapa final'!$O$91="Leve"),CONCATENATE("R",'Mapa final'!$A$91),"")</f>
        <v/>
      </c>
      <c r="O34" s="520"/>
      <c r="P34" s="520" t="str">
        <f ca="1">IF(AND('Mapa final'!$K$94="Alta",'Mapa final'!$O$94="Leve"),CONCATENATE("R",'Mapa final'!$A$94),"")</f>
        <v/>
      </c>
      <c r="Q34" s="520"/>
      <c r="R34" s="520" t="str">
        <f ca="1">IF(AND('Mapa final'!$K$97="Alta",'Mapa final'!$O$97="Leve"),CONCATENATE("R",'Mapa final'!$A$97),"")</f>
        <v/>
      </c>
      <c r="S34" s="525"/>
      <c r="T34" s="521" t="str">
        <f ca="1">IF(AND('Mapa final'!$K$85="Alta",'Mapa final'!$O$85="Menor"),CONCATENATE("R",'Mapa final'!$A$85),"")</f>
        <v/>
      </c>
      <c r="U34" s="520"/>
      <c r="V34" s="520" t="str">
        <f ca="1">IF(AND('Mapa final'!$K$88="Alta",'Mapa final'!$O$88="Menor"),CONCATENATE("R",'Mapa final'!$A$88),"")</f>
        <v/>
      </c>
      <c r="W34" s="520"/>
      <c r="X34" s="520" t="str">
        <f ca="1">IF(AND('Mapa final'!$K$91="Alta",'Mapa final'!$O$91="Menor"),CONCATENATE("R",'Mapa final'!$A$91),"")</f>
        <v/>
      </c>
      <c r="Y34" s="520"/>
      <c r="Z34" s="520" t="str">
        <f ca="1">IF(AND('Mapa final'!$K$94="Alta",'Mapa final'!$O$94="Menor"),CONCATENATE("R",'Mapa final'!$A$94),"")</f>
        <v/>
      </c>
      <c r="AA34" s="520"/>
      <c r="AB34" s="520" t="str">
        <f ca="1">IF(AND('Mapa final'!$K$97="Alta",'Mapa final'!$O$97="Menor"),CONCATENATE("R",'Mapa final'!$A$97),"")</f>
        <v/>
      </c>
      <c r="AC34" s="520"/>
      <c r="AD34" s="524" t="str">
        <f ca="1">IF(AND('Mapa final'!$K$85="Alta",'Mapa final'!$O$85="Moderado"),CONCATENATE("R",'Mapa final'!$A$85),"")</f>
        <v/>
      </c>
      <c r="AE34" s="522"/>
      <c r="AF34" s="522" t="str">
        <f ca="1">IF(AND('Mapa final'!$K$88="Alta",'Mapa final'!$O$88="Moderado"),CONCATENATE("R",'Mapa final'!$A$88),"")</f>
        <v/>
      </c>
      <c r="AG34" s="522"/>
      <c r="AH34" s="522" t="str">
        <f ca="1">IF(AND('Mapa final'!$K$91="Alta",'Mapa final'!$O$91="Moderado"),CONCATENATE("R",'Mapa final'!$A$91),"")</f>
        <v/>
      </c>
      <c r="AI34" s="522"/>
      <c r="AJ34" s="522" t="str">
        <f ca="1">IF(AND('Mapa final'!$K$94="Alta",'Mapa final'!$O$94="Moderado"),CONCATENATE("R",'Mapa final'!$A$94),"")</f>
        <v/>
      </c>
      <c r="AK34" s="522"/>
      <c r="AL34" s="522" t="str">
        <f ca="1">IF(AND('Mapa final'!$K$97="Alta",'Mapa final'!$O$97="Moderado"),CONCATENATE("R",'Mapa final'!$A$97),"")</f>
        <v/>
      </c>
      <c r="AM34" s="522"/>
      <c r="AN34" s="524" t="str">
        <f ca="1">IF(AND('Mapa final'!$K$85="Alta",'Mapa final'!$O$85="Mayor"),CONCATENATE("R",'Mapa final'!$A$85),"")</f>
        <v>R26</v>
      </c>
      <c r="AO34" s="522"/>
      <c r="AP34" s="522" t="str">
        <f ca="1">IF(AND('Mapa final'!$K$88="Alta",'Mapa final'!$O$88="Mayor"),CONCATENATE("R",'Mapa final'!$A$88),"")</f>
        <v/>
      </c>
      <c r="AQ34" s="522"/>
      <c r="AR34" s="522" t="str">
        <f ca="1">IF(AND('Mapa final'!$K$91="Alta",'Mapa final'!$O$91="Mayor"),CONCATENATE("R",'Mapa final'!$A$91),"")</f>
        <v/>
      </c>
      <c r="AS34" s="522"/>
      <c r="AT34" s="522" t="str">
        <f ca="1">IF(AND('Mapa final'!$K$94="Alta",'Mapa final'!$O$94="Mayor"),CONCATENATE("R",'Mapa final'!$A$94),"")</f>
        <v/>
      </c>
      <c r="AU34" s="522"/>
      <c r="AV34" s="522" t="str">
        <f ca="1">IF(AND('Mapa final'!$K$97="Alta",'Mapa final'!$O$97="Mayor"),CONCATENATE("R",'Mapa final'!$A$97),"")</f>
        <v/>
      </c>
      <c r="AW34" s="523"/>
      <c r="AX34" s="517" t="str">
        <f ca="1">IF(AND('Mapa final'!$K$85="Alta",'Mapa final'!$O$85="Catastrófico"),CONCATENATE("R",'Mapa final'!$A$85),"")</f>
        <v/>
      </c>
      <c r="AY34" s="517"/>
      <c r="AZ34" s="517" t="str">
        <f ca="1">IF(AND('Mapa final'!$K$88="Alta",'Mapa final'!$O$88="Catastrófico"),CONCATENATE("R",'Mapa final'!$A$88),"")</f>
        <v/>
      </c>
      <c r="BA34" s="517"/>
      <c r="BB34" s="517" t="str">
        <f ca="1">IF(AND('Mapa final'!$K$91="Alta",'Mapa final'!$O$91="Catastrófico"),CONCATENATE("R",'Mapa final'!$A$91),"")</f>
        <v/>
      </c>
      <c r="BC34" s="517"/>
      <c r="BD34" s="517" t="str">
        <f ca="1">IF(AND('Mapa final'!$K$94="Alta",'Mapa final'!$O$94="Catastrófico"),CONCATENATE("R",'Mapa final'!$A$94),"")</f>
        <v/>
      </c>
      <c r="BE34" s="517"/>
      <c r="BF34" s="517" t="str">
        <f ca="1">IF(AND('Mapa final'!$K$97="Alta",'Mapa final'!$O$97="Catastrófico"),CONCATENATE("R",'Mapa final'!$A$97),"")</f>
        <v/>
      </c>
      <c r="BG34" s="517"/>
      <c r="BH34" s="38"/>
      <c r="BI34" s="569"/>
      <c r="BJ34" s="570"/>
      <c r="BK34" s="570"/>
      <c r="BL34" s="570"/>
      <c r="BM34" s="570"/>
      <c r="BN34" s="571"/>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row>
    <row r="35" spans="1:100" ht="15" customHeight="1" x14ac:dyDescent="0.25">
      <c r="A35" s="38"/>
      <c r="B35" s="355"/>
      <c r="C35" s="356"/>
      <c r="D35" s="357"/>
      <c r="E35" s="595"/>
      <c r="F35" s="596"/>
      <c r="G35" s="596"/>
      <c r="H35" s="596"/>
      <c r="I35" s="596"/>
      <c r="J35" s="521"/>
      <c r="K35" s="520"/>
      <c r="L35" s="520"/>
      <c r="M35" s="520"/>
      <c r="N35" s="520"/>
      <c r="O35" s="520"/>
      <c r="P35" s="520"/>
      <c r="Q35" s="520"/>
      <c r="R35" s="520"/>
      <c r="S35" s="525"/>
      <c r="T35" s="521"/>
      <c r="U35" s="520"/>
      <c r="V35" s="520"/>
      <c r="W35" s="520"/>
      <c r="X35" s="520"/>
      <c r="Y35" s="520"/>
      <c r="Z35" s="520"/>
      <c r="AA35" s="520"/>
      <c r="AB35" s="520"/>
      <c r="AC35" s="520"/>
      <c r="AD35" s="524"/>
      <c r="AE35" s="522"/>
      <c r="AF35" s="522"/>
      <c r="AG35" s="522"/>
      <c r="AH35" s="522"/>
      <c r="AI35" s="522"/>
      <c r="AJ35" s="522"/>
      <c r="AK35" s="522"/>
      <c r="AL35" s="522"/>
      <c r="AM35" s="522"/>
      <c r="AN35" s="524"/>
      <c r="AO35" s="522"/>
      <c r="AP35" s="522"/>
      <c r="AQ35" s="522"/>
      <c r="AR35" s="522"/>
      <c r="AS35" s="522"/>
      <c r="AT35" s="522"/>
      <c r="AU35" s="522"/>
      <c r="AV35" s="522"/>
      <c r="AW35" s="523"/>
      <c r="AX35" s="517"/>
      <c r="AY35" s="517"/>
      <c r="AZ35" s="517"/>
      <c r="BA35" s="517"/>
      <c r="BB35" s="517"/>
      <c r="BC35" s="517"/>
      <c r="BD35" s="517"/>
      <c r="BE35" s="517"/>
      <c r="BF35" s="517"/>
      <c r="BG35" s="517"/>
      <c r="BH35" s="38"/>
      <c r="BI35" s="569"/>
      <c r="BJ35" s="570"/>
      <c r="BK35" s="570"/>
      <c r="BL35" s="570"/>
      <c r="BM35" s="570"/>
      <c r="BN35" s="571"/>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row>
    <row r="36" spans="1:100" ht="15" customHeight="1" x14ac:dyDescent="0.25">
      <c r="A36" s="38"/>
      <c r="B36" s="355"/>
      <c r="C36" s="356"/>
      <c r="D36" s="357"/>
      <c r="E36" s="595"/>
      <c r="F36" s="596"/>
      <c r="G36" s="596"/>
      <c r="H36" s="596"/>
      <c r="I36" s="596"/>
      <c r="J36" s="521" t="str">
        <f ca="1">IF(AND('Mapa final'!$K$100="Alta",'Mapa final'!$O$100="Leve"),CONCATENATE("R",'Mapa final'!$A$100),"")</f>
        <v/>
      </c>
      <c r="K36" s="520"/>
      <c r="L36" s="520" t="str">
        <f ca="1">IF(AND('Mapa final'!$K$103="Alta",'Mapa final'!$O$103="Leve"),CONCATENATE("R",'Mapa final'!$A$103),"")</f>
        <v/>
      </c>
      <c r="M36" s="520"/>
      <c r="N36" s="520" t="str">
        <f ca="1">IF(AND('Mapa final'!$K$106="Alta",'Mapa final'!$O$106="Leve"),CONCATENATE("R",'Mapa final'!$A$106),"")</f>
        <v/>
      </c>
      <c r="O36" s="520"/>
      <c r="P36" s="520" t="str">
        <f ca="1">IF(AND('Mapa final'!$K$109="Alta",'Mapa final'!$O$109="Leve"),CONCATENATE("R",'Mapa final'!$A$109),"")</f>
        <v/>
      </c>
      <c r="Q36" s="520"/>
      <c r="R36" s="520" t="str">
        <f ca="1">IF(AND('Mapa final'!$K$112="Alta",'Mapa final'!$O$112="Leve"),CONCATENATE("R",'Mapa final'!$A$112),"")</f>
        <v/>
      </c>
      <c r="S36" s="525"/>
      <c r="T36" s="521" t="str">
        <f ca="1">IF(AND('Mapa final'!$K$100="Alta",'Mapa final'!$O$100="Menor"),CONCATENATE("R",'Mapa final'!$A$100),"")</f>
        <v/>
      </c>
      <c r="U36" s="520"/>
      <c r="V36" s="520" t="str">
        <f ca="1">IF(AND('Mapa final'!$K$103="Alta",'Mapa final'!$O$103="Menor"),CONCATENATE("R",'Mapa final'!$A$103),"")</f>
        <v/>
      </c>
      <c r="W36" s="520"/>
      <c r="X36" s="520" t="str">
        <f ca="1">IF(AND('Mapa final'!$K$106="Alta",'Mapa final'!$O$106="Menor"),CONCATENATE("R",'Mapa final'!$A$106),"")</f>
        <v/>
      </c>
      <c r="Y36" s="520"/>
      <c r="Z36" s="520" t="str">
        <f ca="1">IF(AND('Mapa final'!$K$109="Alta",'Mapa final'!$O$109="Menor"),CONCATENATE("R",'Mapa final'!$A$109),"")</f>
        <v/>
      </c>
      <c r="AA36" s="520"/>
      <c r="AB36" s="520" t="str">
        <f ca="1">IF(AND('Mapa final'!$K$112="Alta",'Mapa final'!$O$112="Menor"),CONCATENATE("R",'Mapa final'!$A$112),"")</f>
        <v/>
      </c>
      <c r="AC36" s="520"/>
      <c r="AD36" s="524" t="str">
        <f ca="1">IF(AND('Mapa final'!$K$100="Alta",'Mapa final'!$O$100="Moderado"),CONCATENATE("R",'Mapa final'!$A$100),"")</f>
        <v/>
      </c>
      <c r="AE36" s="522"/>
      <c r="AF36" s="522" t="str">
        <f ca="1">IF(AND('Mapa final'!$K$103="Alta",'Mapa final'!$O$103="Moderado"),CONCATENATE("R",'Mapa final'!$A$103),"")</f>
        <v/>
      </c>
      <c r="AG36" s="522"/>
      <c r="AH36" s="522" t="str">
        <f ca="1">IF(AND('Mapa final'!$K$106="Alta",'Mapa final'!$O$106="Moderado"),CONCATENATE("R",'Mapa final'!$A$106),"")</f>
        <v/>
      </c>
      <c r="AI36" s="522"/>
      <c r="AJ36" s="522" t="str">
        <f ca="1">IF(AND('Mapa final'!$K$109="Alta",'Mapa final'!$O$109="Moderado"),CONCATENATE("R",'Mapa final'!$A$109),"")</f>
        <v/>
      </c>
      <c r="AK36" s="522"/>
      <c r="AL36" s="522" t="str">
        <f ca="1">IF(AND('Mapa final'!$K$112="Alta",'Mapa final'!$O$112="Moderado"),CONCATENATE("R",'Mapa final'!$A$112),"")</f>
        <v/>
      </c>
      <c r="AM36" s="522"/>
      <c r="AN36" s="524" t="str">
        <f ca="1">IF(AND('Mapa final'!$K$100="Alta",'Mapa final'!$O$100="Mayor"),CONCATENATE("R",'Mapa final'!$A$100),"")</f>
        <v/>
      </c>
      <c r="AO36" s="522"/>
      <c r="AP36" s="522" t="str">
        <f ca="1">IF(AND('Mapa final'!$K$103="Alta",'Mapa final'!$O$103="Mayor"),CONCATENATE("R",'Mapa final'!$A$103),"")</f>
        <v/>
      </c>
      <c r="AQ36" s="522"/>
      <c r="AR36" s="522" t="str">
        <f ca="1">IF(AND('Mapa final'!$K$106="Alta",'Mapa final'!$O$106="Mayor"),CONCATENATE("R",'Mapa final'!$A$106),"")</f>
        <v/>
      </c>
      <c r="AS36" s="522"/>
      <c r="AT36" s="522" t="str">
        <f ca="1">IF(AND('Mapa final'!$K$109="Alta",'Mapa final'!$O$109="Mayor"),CONCATENATE("R",'Mapa final'!$A$109),"")</f>
        <v/>
      </c>
      <c r="AU36" s="522"/>
      <c r="AV36" s="522" t="str">
        <f ca="1">IF(AND('Mapa final'!$K$112="Alta",'Mapa final'!$O$112="Mayor"),CONCATENATE("R",'Mapa final'!$A$112),"")</f>
        <v/>
      </c>
      <c r="AW36" s="523"/>
      <c r="AX36" s="517" t="str">
        <f ca="1">IF(AND('Mapa final'!$K$100="Alta",'Mapa final'!$O$100="Catastrófico"),CONCATENATE("R",'Mapa final'!$A$100),"")</f>
        <v/>
      </c>
      <c r="AY36" s="517"/>
      <c r="AZ36" s="517" t="str">
        <f ca="1">IF(AND('Mapa final'!$K$103="Alta",'Mapa final'!$O$103="Catastrófico"),CONCATENATE("R",'Mapa final'!$A$103),"")</f>
        <v/>
      </c>
      <c r="BA36" s="517"/>
      <c r="BB36" s="517" t="str">
        <f ca="1">IF(AND('Mapa final'!$K$106="Alta",'Mapa final'!$O$106="Catastrófico"),CONCATENATE("R",'Mapa final'!$A$106),"")</f>
        <v/>
      </c>
      <c r="BC36" s="517"/>
      <c r="BD36" s="517" t="str">
        <f ca="1">IF(AND('Mapa final'!$K$109="Alta",'Mapa final'!$O$109="Catastrófico"),CONCATENATE("R",'Mapa final'!$A$109),"")</f>
        <v/>
      </c>
      <c r="BE36" s="517"/>
      <c r="BF36" s="517" t="str">
        <f ca="1">IF(AND('Mapa final'!$K$112="Alta",'Mapa final'!$O$112="Catastrófico"),CONCATENATE("R",'Mapa final'!$A$112),"")</f>
        <v/>
      </c>
      <c r="BG36" s="517"/>
      <c r="BH36" s="38"/>
      <c r="BI36" s="569"/>
      <c r="BJ36" s="570"/>
      <c r="BK36" s="570"/>
      <c r="BL36" s="570"/>
      <c r="BM36" s="570"/>
      <c r="BN36" s="571"/>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row>
    <row r="37" spans="1:100" ht="15" customHeight="1" x14ac:dyDescent="0.25">
      <c r="A37" s="38"/>
      <c r="B37" s="355"/>
      <c r="C37" s="356"/>
      <c r="D37" s="357"/>
      <c r="E37" s="595"/>
      <c r="F37" s="596"/>
      <c r="G37" s="596"/>
      <c r="H37" s="596"/>
      <c r="I37" s="596"/>
      <c r="J37" s="521"/>
      <c r="K37" s="520"/>
      <c r="L37" s="520"/>
      <c r="M37" s="520"/>
      <c r="N37" s="520"/>
      <c r="O37" s="520"/>
      <c r="P37" s="520"/>
      <c r="Q37" s="520"/>
      <c r="R37" s="520"/>
      <c r="S37" s="525"/>
      <c r="T37" s="521"/>
      <c r="U37" s="520"/>
      <c r="V37" s="520"/>
      <c r="W37" s="520"/>
      <c r="X37" s="520"/>
      <c r="Y37" s="520"/>
      <c r="Z37" s="520"/>
      <c r="AA37" s="520"/>
      <c r="AB37" s="520"/>
      <c r="AC37" s="520"/>
      <c r="AD37" s="524"/>
      <c r="AE37" s="522"/>
      <c r="AF37" s="522"/>
      <c r="AG37" s="522"/>
      <c r="AH37" s="522"/>
      <c r="AI37" s="522"/>
      <c r="AJ37" s="522"/>
      <c r="AK37" s="522"/>
      <c r="AL37" s="522"/>
      <c r="AM37" s="522"/>
      <c r="AN37" s="524"/>
      <c r="AO37" s="522"/>
      <c r="AP37" s="522"/>
      <c r="AQ37" s="522"/>
      <c r="AR37" s="522"/>
      <c r="AS37" s="522"/>
      <c r="AT37" s="522"/>
      <c r="AU37" s="522"/>
      <c r="AV37" s="522"/>
      <c r="AW37" s="523"/>
      <c r="AX37" s="517"/>
      <c r="AY37" s="517"/>
      <c r="AZ37" s="517"/>
      <c r="BA37" s="517"/>
      <c r="BB37" s="517"/>
      <c r="BC37" s="517"/>
      <c r="BD37" s="517"/>
      <c r="BE37" s="517"/>
      <c r="BF37" s="517"/>
      <c r="BG37" s="517"/>
      <c r="BH37" s="38"/>
      <c r="BI37" s="569"/>
      <c r="BJ37" s="570"/>
      <c r="BK37" s="570"/>
      <c r="BL37" s="570"/>
      <c r="BM37" s="570"/>
      <c r="BN37" s="571"/>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row>
    <row r="38" spans="1:100" ht="15" customHeight="1" x14ac:dyDescent="0.25">
      <c r="A38" s="38"/>
      <c r="B38" s="355"/>
      <c r="C38" s="356"/>
      <c r="D38" s="357"/>
      <c r="E38" s="595"/>
      <c r="F38" s="596"/>
      <c r="G38" s="596"/>
      <c r="H38" s="596"/>
      <c r="I38" s="596"/>
      <c r="J38" s="521" t="str">
        <f ca="1">IF(AND('Mapa final'!$K$115="Alta",'Mapa final'!$O$115="Leve"),CONCATENATE("R",'Mapa final'!$A$115),"")</f>
        <v/>
      </c>
      <c r="K38" s="520"/>
      <c r="L38" s="520" t="str">
        <f ca="1">IF(AND('Mapa final'!$K$118="Alta",'Mapa final'!$O$118="Leve"),CONCATENATE("R",'Mapa final'!$A$118),"")</f>
        <v/>
      </c>
      <c r="M38" s="520"/>
      <c r="N38" s="520" t="str">
        <f ca="1">IF(AND('Mapa final'!$K$121="Alta",'Mapa final'!$O$121="Leve"),CONCATENATE("R",'Mapa final'!$A$121),"")</f>
        <v/>
      </c>
      <c r="O38" s="520"/>
      <c r="P38" s="520" t="str">
        <f ca="1">IF(AND('Mapa final'!$K$124="Alta",'Mapa final'!$O$124="Leve"),CONCATENATE("R",'Mapa final'!$A$124),"")</f>
        <v/>
      </c>
      <c r="Q38" s="520"/>
      <c r="R38" s="520" t="str">
        <f ca="1">IF(AND('Mapa final'!$K$127="Alta",'Mapa final'!$O$127="Leve"),CONCATENATE("R",'Mapa final'!$A$127),"")</f>
        <v/>
      </c>
      <c r="S38" s="525"/>
      <c r="T38" s="521" t="str">
        <f ca="1">IF(AND('Mapa final'!$K$115="Alta",'Mapa final'!$O$115="Menor"),CONCATENATE("R",'Mapa final'!$A$115),"")</f>
        <v/>
      </c>
      <c r="U38" s="520"/>
      <c r="V38" s="520" t="str">
        <f ca="1">IF(AND('Mapa final'!$K$118="Alta",'Mapa final'!$O$118="Menor"),CONCATENATE("R",'Mapa final'!$A$118),"")</f>
        <v/>
      </c>
      <c r="W38" s="520"/>
      <c r="X38" s="520" t="str">
        <f ca="1">IF(AND('Mapa final'!$K$121="Alta",'Mapa final'!$O$121="Menor"),CONCATENATE("R",'Mapa final'!$A$121),"")</f>
        <v/>
      </c>
      <c r="Y38" s="520"/>
      <c r="Z38" s="520" t="str">
        <f ca="1">IF(AND('Mapa final'!$K$124="Alta",'Mapa final'!$O$124="Menor"),CONCATENATE("R",'Mapa final'!$A$124),"")</f>
        <v/>
      </c>
      <c r="AA38" s="520"/>
      <c r="AB38" s="520" t="str">
        <f ca="1">IF(AND('Mapa final'!$K$127="Alta",'Mapa final'!$O$127="Menor"),CONCATENATE("R",'Mapa final'!$A$127),"")</f>
        <v/>
      </c>
      <c r="AC38" s="520"/>
      <c r="AD38" s="524" t="str">
        <f ca="1">IF(AND('Mapa final'!$K$115="Alta",'Mapa final'!$O$115="Moderado"),CONCATENATE("R",'Mapa final'!$A$115),"")</f>
        <v>R36</v>
      </c>
      <c r="AE38" s="522"/>
      <c r="AF38" s="522" t="str">
        <f ca="1">IF(AND('Mapa final'!$K$118="Alta",'Mapa final'!$O$118="Moderado"),CONCATENATE("R",'Mapa final'!$A$118),"")</f>
        <v/>
      </c>
      <c r="AG38" s="522"/>
      <c r="AH38" s="522" t="str">
        <f ca="1">IF(AND('Mapa final'!$K$121="Alta",'Mapa final'!$O$121="Moderado"),CONCATENATE("R",'Mapa final'!$A$121),"")</f>
        <v/>
      </c>
      <c r="AI38" s="522"/>
      <c r="AJ38" s="522" t="str">
        <f ca="1">IF(AND('Mapa final'!$K$124="Alta",'Mapa final'!$O$124="Moderado"),CONCATENATE("R",'Mapa final'!$A$124),"")</f>
        <v/>
      </c>
      <c r="AK38" s="522"/>
      <c r="AL38" s="522" t="str">
        <f ca="1">IF(AND('Mapa final'!$K$127="Alta",'Mapa final'!$O$127="Moderado"),CONCATENATE("R",'Mapa final'!$A$127),"")</f>
        <v/>
      </c>
      <c r="AM38" s="522"/>
      <c r="AN38" s="524" t="str">
        <f ca="1">IF(AND('Mapa final'!$K$115="Alta",'Mapa final'!$O$115="Mayor"),CONCATENATE("R",'Mapa final'!$A$115),"")</f>
        <v/>
      </c>
      <c r="AO38" s="522"/>
      <c r="AP38" s="522" t="str">
        <f ca="1">IF(AND('Mapa final'!$K$118="Alta",'Mapa final'!$O$118="Mayor"),CONCATENATE("R",'Mapa final'!$A$118),"")</f>
        <v/>
      </c>
      <c r="AQ38" s="522"/>
      <c r="AR38" s="522" t="str">
        <f ca="1">IF(AND('Mapa final'!$K$121="Alta",'Mapa final'!$O$121="Mayor"),CONCATENATE("R",'Mapa final'!$A$121),"")</f>
        <v/>
      </c>
      <c r="AS38" s="522"/>
      <c r="AT38" s="522" t="str">
        <f ca="1">IF(AND('Mapa final'!$K$124="Alta",'Mapa final'!$O$124="Mayor"),CONCATENATE("R",'Mapa final'!$A$124),"")</f>
        <v/>
      </c>
      <c r="AU38" s="522"/>
      <c r="AV38" s="522" t="str">
        <f ca="1">IF(AND('Mapa final'!$K$127="Alta",'Mapa final'!$O$127="Mayor"),CONCATENATE("R",'Mapa final'!$A$127),"")</f>
        <v/>
      </c>
      <c r="AW38" s="523"/>
      <c r="AX38" s="517" t="str">
        <f ca="1">IF(AND('Mapa final'!$K$115="Alta",'Mapa final'!$O$115="Catastrófico"),CONCATENATE("R",'Mapa final'!$A$115),"")</f>
        <v/>
      </c>
      <c r="AY38" s="517"/>
      <c r="AZ38" s="517" t="str">
        <f ca="1">IF(AND('Mapa final'!$K$118="Alta",'Mapa final'!$O$118="Catastrófico"),CONCATENATE("R",'Mapa final'!$A$118),"")</f>
        <v/>
      </c>
      <c r="BA38" s="517"/>
      <c r="BB38" s="517" t="str">
        <f ca="1">IF(AND('Mapa final'!$K$121="Alta",'Mapa final'!$O$121="Catastrófico"),CONCATENATE("R",'Mapa final'!$A$121),"")</f>
        <v/>
      </c>
      <c r="BC38" s="517"/>
      <c r="BD38" s="517" t="str">
        <f ca="1">IF(AND('Mapa final'!$K$124="Alta",'Mapa final'!$O$124="Catastrófico"),CONCATENATE("R",'Mapa final'!$A$124),"")</f>
        <v/>
      </c>
      <c r="BE38" s="517"/>
      <c r="BF38" s="517" t="str">
        <f ca="1">IF(AND('Mapa final'!$K$127="Alta",'Mapa final'!$O$127="Catastrófico"),CONCATENATE("R",'Mapa final'!$A$127),"")</f>
        <v/>
      </c>
      <c r="BG38" s="517"/>
      <c r="BH38" s="38"/>
      <c r="BI38" s="569"/>
      <c r="BJ38" s="570"/>
      <c r="BK38" s="570"/>
      <c r="BL38" s="570"/>
      <c r="BM38" s="570"/>
      <c r="BN38" s="571"/>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row>
    <row r="39" spans="1:100" ht="15" customHeight="1" x14ac:dyDescent="0.25">
      <c r="A39" s="38"/>
      <c r="B39" s="355"/>
      <c r="C39" s="356"/>
      <c r="D39" s="357"/>
      <c r="E39" s="595"/>
      <c r="F39" s="596"/>
      <c r="G39" s="596"/>
      <c r="H39" s="596"/>
      <c r="I39" s="596"/>
      <c r="J39" s="521"/>
      <c r="K39" s="520"/>
      <c r="L39" s="520"/>
      <c r="M39" s="520"/>
      <c r="N39" s="520"/>
      <c r="O39" s="520"/>
      <c r="P39" s="520"/>
      <c r="Q39" s="520"/>
      <c r="R39" s="520"/>
      <c r="S39" s="525"/>
      <c r="T39" s="521"/>
      <c r="U39" s="520"/>
      <c r="V39" s="520"/>
      <c r="W39" s="520"/>
      <c r="X39" s="520"/>
      <c r="Y39" s="520"/>
      <c r="Z39" s="520"/>
      <c r="AA39" s="520"/>
      <c r="AB39" s="520"/>
      <c r="AC39" s="520"/>
      <c r="AD39" s="524"/>
      <c r="AE39" s="522"/>
      <c r="AF39" s="522"/>
      <c r="AG39" s="522"/>
      <c r="AH39" s="522"/>
      <c r="AI39" s="522"/>
      <c r="AJ39" s="522"/>
      <c r="AK39" s="522"/>
      <c r="AL39" s="522"/>
      <c r="AM39" s="522"/>
      <c r="AN39" s="524"/>
      <c r="AO39" s="522"/>
      <c r="AP39" s="522"/>
      <c r="AQ39" s="522"/>
      <c r="AR39" s="522"/>
      <c r="AS39" s="522"/>
      <c r="AT39" s="522"/>
      <c r="AU39" s="522"/>
      <c r="AV39" s="522"/>
      <c r="AW39" s="523"/>
      <c r="AX39" s="517"/>
      <c r="AY39" s="517"/>
      <c r="AZ39" s="517"/>
      <c r="BA39" s="517"/>
      <c r="BB39" s="517"/>
      <c r="BC39" s="517"/>
      <c r="BD39" s="517"/>
      <c r="BE39" s="517"/>
      <c r="BF39" s="517"/>
      <c r="BG39" s="517"/>
      <c r="BH39" s="38"/>
      <c r="BI39" s="569"/>
      <c r="BJ39" s="570"/>
      <c r="BK39" s="570"/>
      <c r="BL39" s="570"/>
      <c r="BM39" s="570"/>
      <c r="BN39" s="571"/>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row>
    <row r="40" spans="1:100" ht="15" customHeight="1" x14ac:dyDescent="0.25">
      <c r="A40" s="38"/>
      <c r="B40" s="355"/>
      <c r="C40" s="356"/>
      <c r="D40" s="357"/>
      <c r="E40" s="595"/>
      <c r="F40" s="596"/>
      <c r="G40" s="596"/>
      <c r="H40" s="596"/>
      <c r="I40" s="596"/>
      <c r="J40" s="521" t="str">
        <f ca="1">IF(AND('Mapa final'!$K$130="Alta",'Mapa final'!$O$130="Leve"),CONCATENATE("R",'Mapa final'!$A$130),"")</f>
        <v/>
      </c>
      <c r="K40" s="520"/>
      <c r="L40" s="520" t="str">
        <f ca="1">IF(AND('Mapa final'!$K$133="Alta",'Mapa final'!$O$133="Leve"),CONCATENATE("R",'Mapa final'!$A$133),"")</f>
        <v/>
      </c>
      <c r="M40" s="520"/>
      <c r="N40" s="520" t="str">
        <f ca="1">IF(AND('Mapa final'!$K$136="Alta",'Mapa final'!$O$136="Leve"),CONCATENATE("R",'Mapa final'!$A$136),"")</f>
        <v/>
      </c>
      <c r="O40" s="520"/>
      <c r="P40" s="520" t="str">
        <f>IF(AND('Mapa final'!$K$139="Alta",'Mapa final'!$O$139="Leve"),CONCATENATE("R",'Mapa final'!$A$139),"")</f>
        <v/>
      </c>
      <c r="Q40" s="520"/>
      <c r="R40" s="520" t="str">
        <f>IF(AND('Mapa final'!$K$142="Alta",'Mapa final'!$O$142="Leve"),CONCATENATE("R",'Mapa final'!$A$142),"")</f>
        <v/>
      </c>
      <c r="S40" s="525"/>
      <c r="T40" s="521" t="str">
        <f ca="1">IF(AND('Mapa final'!$K$130="Alta",'Mapa final'!$O$130="Menor"),CONCATENATE("R",'Mapa final'!$A$130),"")</f>
        <v/>
      </c>
      <c r="U40" s="520"/>
      <c r="V40" s="520" t="str">
        <f ca="1">IF(AND('Mapa final'!$K$133="Alta",'Mapa final'!$O$133="Menor"),CONCATENATE("R",'Mapa final'!$A$133),"")</f>
        <v/>
      </c>
      <c r="W40" s="520"/>
      <c r="X40" s="520" t="str">
        <f ca="1">IF(AND('Mapa final'!$K$136="Alta",'Mapa final'!$O$136="Menor"),CONCATENATE("R",'Mapa final'!$A$136),"")</f>
        <v/>
      </c>
      <c r="Y40" s="520"/>
      <c r="Z40" s="520" t="str">
        <f>IF(AND('Mapa final'!$K$139="Alta",'Mapa final'!$O$139="Menor"),CONCATENATE("R",'Mapa final'!$A$139),"")</f>
        <v/>
      </c>
      <c r="AA40" s="520"/>
      <c r="AB40" s="520" t="str">
        <f>IF(AND('Mapa final'!$K$142="Alta",'Mapa final'!$O$142="Menor"),CONCATENATE("R",'Mapa final'!$A$142),"")</f>
        <v/>
      </c>
      <c r="AC40" s="520"/>
      <c r="AD40" s="524" t="str">
        <f ca="1">IF(AND('Mapa final'!$K$130="Alta",'Mapa final'!$O$130="Moderado"),CONCATENATE("R",'Mapa final'!$A$130),"")</f>
        <v/>
      </c>
      <c r="AE40" s="522"/>
      <c r="AF40" s="522" t="str">
        <f ca="1">IF(AND('Mapa final'!$K$133="Alta",'Mapa final'!$O$133="Moderado"),CONCATENATE("R",'Mapa final'!$A$133),"")</f>
        <v/>
      </c>
      <c r="AG40" s="522"/>
      <c r="AH40" s="522" t="str">
        <f ca="1">IF(AND('Mapa final'!$K$136="Alta",'Mapa final'!$O$136="Moderado"),CONCATENATE("R",'Mapa final'!$A$136),"")</f>
        <v/>
      </c>
      <c r="AI40" s="522"/>
      <c r="AJ40" s="522" t="str">
        <f>IF(AND('Mapa final'!$K$139="Alta",'Mapa final'!$O$139="Moderado"),CONCATENATE("R",'Mapa final'!$A$139),"")</f>
        <v/>
      </c>
      <c r="AK40" s="522"/>
      <c r="AL40" s="522" t="str">
        <f>IF(AND('Mapa final'!$K$142="Alta",'Mapa final'!$O$142="Moderado"),CONCATENATE("R",'Mapa final'!$A$142),"")</f>
        <v/>
      </c>
      <c r="AM40" s="522"/>
      <c r="AN40" s="524" t="str">
        <f ca="1">IF(AND('Mapa final'!$K$130="Alta",'Mapa final'!$O$130="Mayor"),CONCATENATE("R",'Mapa final'!$A$130),"")</f>
        <v/>
      </c>
      <c r="AO40" s="522"/>
      <c r="AP40" s="522" t="str">
        <f ca="1">IF(AND('Mapa final'!$K$133="Alta",'Mapa final'!$O$133="Mayor"),CONCATENATE("R",'Mapa final'!$A$133),"")</f>
        <v/>
      </c>
      <c r="AQ40" s="522"/>
      <c r="AR40" s="522" t="str">
        <f ca="1">IF(AND('Mapa final'!$K$136="Alta",'Mapa final'!$O$136="Mayor"),CONCATENATE("R",'Mapa final'!$A$136),"")</f>
        <v/>
      </c>
      <c r="AS40" s="522"/>
      <c r="AT40" s="522" t="str">
        <f>IF(AND('Mapa final'!$K$139="Alta",'Mapa final'!$O$139="Mayor"),CONCATENATE("R",'Mapa final'!$A$139),"")</f>
        <v/>
      </c>
      <c r="AU40" s="522"/>
      <c r="AV40" s="522" t="str">
        <f>IF(AND('Mapa final'!$K$142="Alta",'Mapa final'!$O$142="Mayor"),CONCATENATE("R",'Mapa final'!$A$142),"")</f>
        <v/>
      </c>
      <c r="AW40" s="523"/>
      <c r="AX40" s="517" t="str">
        <f ca="1">IF(AND('Mapa final'!$K$130="Alta",'Mapa final'!$O$130="Catastrófico"),CONCATENATE("R",'Mapa final'!$A$130),"")</f>
        <v/>
      </c>
      <c r="AY40" s="517"/>
      <c r="AZ40" s="517" t="str">
        <f ca="1">IF(AND('Mapa final'!$K$133="Alta",'Mapa final'!$O$133="Catastrófico"),CONCATENATE("R",'Mapa final'!$A$133),"")</f>
        <v/>
      </c>
      <c r="BA40" s="517"/>
      <c r="BB40" s="517" t="str">
        <f ca="1">IF(AND('Mapa final'!$K$136="Alta",'Mapa final'!$O$136="Catastrófico"),CONCATENATE("R",'Mapa final'!$A$136),"")</f>
        <v/>
      </c>
      <c r="BC40" s="517"/>
      <c r="BD40" s="517" t="str">
        <f>IF(AND('Mapa final'!$K$139="Alta",'Mapa final'!$O$139="Catastrófico"),CONCATENATE("R",'Mapa final'!$A$139),"")</f>
        <v/>
      </c>
      <c r="BE40" s="517"/>
      <c r="BF40" s="517" t="str">
        <f>IF(AND('Mapa final'!$K$142="Alta",'Mapa final'!$O$142="Catastrófico"),CONCATENATE("R",'Mapa final'!$A$142),"")</f>
        <v/>
      </c>
      <c r="BG40" s="517"/>
      <c r="BH40" s="38"/>
      <c r="BI40" s="569"/>
      <c r="BJ40" s="570"/>
      <c r="BK40" s="570"/>
      <c r="BL40" s="570"/>
      <c r="BM40" s="570"/>
      <c r="BN40" s="571"/>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row>
    <row r="41" spans="1:100" ht="15" customHeight="1" thickBot="1" x14ac:dyDescent="0.3">
      <c r="A41" s="38"/>
      <c r="B41" s="355"/>
      <c r="C41" s="356"/>
      <c r="D41" s="357"/>
      <c r="E41" s="595"/>
      <c r="F41" s="596"/>
      <c r="G41" s="596"/>
      <c r="H41" s="596"/>
      <c r="I41" s="596"/>
      <c r="J41" s="540"/>
      <c r="K41" s="537"/>
      <c r="L41" s="537"/>
      <c r="M41" s="537"/>
      <c r="N41" s="537"/>
      <c r="O41" s="537"/>
      <c r="P41" s="537"/>
      <c r="Q41" s="537"/>
      <c r="R41" s="537"/>
      <c r="S41" s="556"/>
      <c r="T41" s="540"/>
      <c r="U41" s="537"/>
      <c r="V41" s="537"/>
      <c r="W41" s="537"/>
      <c r="X41" s="537"/>
      <c r="Y41" s="537"/>
      <c r="Z41" s="537"/>
      <c r="AA41" s="537"/>
      <c r="AB41" s="537"/>
      <c r="AC41" s="537"/>
      <c r="AD41" s="541"/>
      <c r="AE41" s="527"/>
      <c r="AF41" s="527"/>
      <c r="AG41" s="527"/>
      <c r="AH41" s="527"/>
      <c r="AI41" s="527"/>
      <c r="AJ41" s="527"/>
      <c r="AK41" s="527"/>
      <c r="AL41" s="527"/>
      <c r="AM41" s="527"/>
      <c r="AN41" s="524"/>
      <c r="AO41" s="522"/>
      <c r="AP41" s="522"/>
      <c r="AQ41" s="522"/>
      <c r="AR41" s="522"/>
      <c r="AS41" s="522"/>
      <c r="AT41" s="522"/>
      <c r="AU41" s="522"/>
      <c r="AV41" s="522"/>
      <c r="AW41" s="523"/>
      <c r="AX41" s="517"/>
      <c r="AY41" s="517"/>
      <c r="AZ41" s="517"/>
      <c r="BA41" s="517"/>
      <c r="BB41" s="517"/>
      <c r="BC41" s="517"/>
      <c r="BD41" s="517"/>
      <c r="BE41" s="517"/>
      <c r="BF41" s="517"/>
      <c r="BG41" s="517"/>
      <c r="BH41" s="38"/>
      <c r="BI41" s="569"/>
      <c r="BJ41" s="570"/>
      <c r="BK41" s="570"/>
      <c r="BL41" s="570"/>
      <c r="BM41" s="570"/>
      <c r="BN41" s="571"/>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row>
    <row r="42" spans="1:100" ht="15" customHeight="1" x14ac:dyDescent="0.25">
      <c r="A42" s="38"/>
      <c r="B42" s="355"/>
      <c r="C42" s="356"/>
      <c r="D42" s="357"/>
      <c r="E42" s="593" t="s">
        <v>108</v>
      </c>
      <c r="F42" s="594"/>
      <c r="G42" s="594"/>
      <c r="H42" s="594"/>
      <c r="I42" s="594"/>
      <c r="J42" s="528" t="str">
        <f ca="1">IF(AND('Mapa final'!$K$7="Media",'Mapa final'!$O$7="Leve"),CONCATENATE("R",'Mapa final'!$A$7),"")</f>
        <v/>
      </c>
      <c r="K42" s="529"/>
      <c r="L42" s="529" t="str">
        <f ca="1">IF(AND('Mapa final'!$K$10="Media",'Mapa final'!$O$10="Leve"),CONCATENATE("R",'Mapa final'!$A$10),"")</f>
        <v/>
      </c>
      <c r="M42" s="529"/>
      <c r="N42" s="529" t="str">
        <f ca="1">IF(AND('Mapa final'!$K$13="Media",'Mapa final'!$O$13="Leve"),CONCATENATE("R",'Mapa final'!$A$13),"")</f>
        <v/>
      </c>
      <c r="O42" s="529"/>
      <c r="P42" s="529" t="str">
        <f ca="1">IF(AND('Mapa final'!$K$16="Media",'Mapa final'!$O$16="Leve"),CONCATENATE("R",'Mapa final'!$A$16),"")</f>
        <v/>
      </c>
      <c r="Q42" s="529"/>
      <c r="R42" s="529" t="str">
        <f ca="1">IF(AND('Mapa final'!$K$19="Media",'Mapa final'!$O$19="Leve"),CONCATENATE("R",'Mapa final'!$A$19),"")</f>
        <v/>
      </c>
      <c r="S42" s="538"/>
      <c r="T42" s="528" t="str">
        <f ca="1">IF(AND('Mapa final'!$K$7="Media",'Mapa final'!$O$7="Menor"),CONCATENATE("R",'Mapa final'!$A$7),"")</f>
        <v/>
      </c>
      <c r="U42" s="529"/>
      <c r="V42" s="529" t="str">
        <f ca="1">IF(AND('Mapa final'!$K$10="Media",'Mapa final'!$O$10="Menor"),CONCATENATE("R",'Mapa final'!$A$10),"")</f>
        <v/>
      </c>
      <c r="W42" s="529"/>
      <c r="X42" s="529" t="str">
        <f ca="1">IF(AND('Mapa final'!$K$13="Media",'Mapa final'!$O$13="Menor"),CONCATENATE("R",'Mapa final'!$A$13),"")</f>
        <v/>
      </c>
      <c r="Y42" s="529"/>
      <c r="Z42" s="529" t="str">
        <f ca="1">IF(AND('Mapa final'!$K$16="Media",'Mapa final'!$O$16="Menor"),CONCATENATE("R",'Mapa final'!$A$16),"")</f>
        <v>R4</v>
      </c>
      <c r="AA42" s="529"/>
      <c r="AB42" s="529" t="str">
        <f ca="1">IF(AND('Mapa final'!$K$19="Media",'Mapa final'!$O$19="Menor"),CONCATENATE("R",'Mapa final'!$A$19),"")</f>
        <v/>
      </c>
      <c r="AC42" s="538"/>
      <c r="AD42" s="528" t="str">
        <f ca="1">IF(AND('Mapa final'!$K$7="Media",'Mapa final'!$O$7="Moderado"),CONCATENATE("R",'Mapa final'!$A$7),"")</f>
        <v>R1</v>
      </c>
      <c r="AE42" s="529"/>
      <c r="AF42" s="529" t="str">
        <f ca="1">IF(AND('Mapa final'!$K$10="Media",'Mapa final'!$O$10="Moderado"),CONCATENATE("R",'Mapa final'!$A$10),"")</f>
        <v>R2</v>
      </c>
      <c r="AG42" s="529"/>
      <c r="AH42" s="529" t="str">
        <f ca="1">IF(AND('Mapa final'!$K$13="Media",'Mapa final'!$O$13="Moderado"),CONCATENATE("R",'Mapa final'!$A$13),"")</f>
        <v/>
      </c>
      <c r="AI42" s="529"/>
      <c r="AJ42" s="529" t="str">
        <f ca="1">IF(AND('Mapa final'!$K$16="Media",'Mapa final'!$O$16="Moderado"),CONCATENATE("R",'Mapa final'!$A$16),"")</f>
        <v/>
      </c>
      <c r="AK42" s="529"/>
      <c r="AL42" s="529" t="str">
        <f ca="1">IF(AND('Mapa final'!$K$19="Media",'Mapa final'!$O$19="Moderado"),CONCATENATE("R",'Mapa final'!$A$19),"")</f>
        <v/>
      </c>
      <c r="AM42" s="529"/>
      <c r="AN42" s="539" t="str">
        <f ca="1">IF(AND('Mapa final'!$K$7="Media",'Mapa final'!$O$7="Mayor"),CONCATENATE("R",'Mapa final'!$A$7),"")</f>
        <v/>
      </c>
      <c r="AO42" s="526"/>
      <c r="AP42" s="526" t="str">
        <f ca="1">IF(AND('Mapa final'!$K$10="Media",'Mapa final'!$O$10="Mayor"),CONCATENATE("R",'Mapa final'!$A$10),"")</f>
        <v/>
      </c>
      <c r="AQ42" s="526"/>
      <c r="AR42" s="526" t="str">
        <f ca="1">IF(AND('Mapa final'!$K$13="Media",'Mapa final'!$O$13="Mayor"),CONCATENATE("R",'Mapa final'!$A$13),"")</f>
        <v/>
      </c>
      <c r="AS42" s="526"/>
      <c r="AT42" s="526" t="str">
        <f ca="1">IF(AND('Mapa final'!$K$16="Media",'Mapa final'!$O$16="Mayor"),CONCATENATE("R",'Mapa final'!$A$16),"")</f>
        <v/>
      </c>
      <c r="AU42" s="526"/>
      <c r="AV42" s="526" t="str">
        <f ca="1">IF(AND('Mapa final'!$K$19="Media",'Mapa final'!$O$19="Mayor"),CONCATENATE("R",'Mapa final'!$A$19),"")</f>
        <v/>
      </c>
      <c r="AW42" s="536"/>
      <c r="AX42" s="548" t="str">
        <f ca="1">IF(AND('Mapa final'!$K$7="Media",'Mapa final'!$O$7="Catastrófico"),CONCATENATE("R",'Mapa final'!$A$7),"")</f>
        <v/>
      </c>
      <c r="AY42" s="549"/>
      <c r="AZ42" s="549" t="str">
        <f ca="1">IF(AND('Mapa final'!$K$10="Media",'Mapa final'!$O$10="Catastrófico"),CONCATENATE("R",'Mapa final'!$A$10),"")</f>
        <v/>
      </c>
      <c r="BA42" s="549"/>
      <c r="BB42" s="549" t="str">
        <f ca="1">IF(AND('Mapa final'!$K$13="Media",'Mapa final'!$O$13="Catastrófico"),CONCATENATE("R",'Mapa final'!$A$13),"")</f>
        <v/>
      </c>
      <c r="BC42" s="549"/>
      <c r="BD42" s="549" t="str">
        <f ca="1">IF(AND('Mapa final'!$K$16="Media",'Mapa final'!$O$16="Catastrófico"),CONCATENATE("R",'Mapa final'!$A$16),"")</f>
        <v/>
      </c>
      <c r="BE42" s="549"/>
      <c r="BF42" s="549" t="str">
        <f ca="1">IF(AND('Mapa final'!$K$19="Media",'Mapa final'!$O$19="Catastrófico"),CONCATENATE("R",'Mapa final'!$A$19),"")</f>
        <v/>
      </c>
      <c r="BG42" s="550"/>
      <c r="BH42" s="38"/>
      <c r="BI42" s="569"/>
      <c r="BJ42" s="570"/>
      <c r="BK42" s="570"/>
      <c r="BL42" s="570"/>
      <c r="BM42" s="570"/>
      <c r="BN42" s="571"/>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row>
    <row r="43" spans="1:100" ht="15" customHeight="1" x14ac:dyDescent="0.25">
      <c r="A43" s="38"/>
      <c r="B43" s="355"/>
      <c r="C43" s="356"/>
      <c r="D43" s="357"/>
      <c r="E43" s="595"/>
      <c r="F43" s="596"/>
      <c r="G43" s="596"/>
      <c r="H43" s="596"/>
      <c r="I43" s="596"/>
      <c r="J43" s="521"/>
      <c r="K43" s="520"/>
      <c r="L43" s="520"/>
      <c r="M43" s="520"/>
      <c r="N43" s="520"/>
      <c r="O43" s="520"/>
      <c r="P43" s="520"/>
      <c r="Q43" s="520"/>
      <c r="R43" s="520"/>
      <c r="S43" s="525"/>
      <c r="T43" s="521"/>
      <c r="U43" s="520"/>
      <c r="V43" s="520"/>
      <c r="W43" s="520"/>
      <c r="X43" s="520"/>
      <c r="Y43" s="520"/>
      <c r="Z43" s="520"/>
      <c r="AA43" s="520"/>
      <c r="AB43" s="520"/>
      <c r="AC43" s="525"/>
      <c r="AD43" s="521"/>
      <c r="AE43" s="520"/>
      <c r="AF43" s="520"/>
      <c r="AG43" s="520"/>
      <c r="AH43" s="520"/>
      <c r="AI43" s="520"/>
      <c r="AJ43" s="520"/>
      <c r="AK43" s="520"/>
      <c r="AL43" s="520"/>
      <c r="AM43" s="520"/>
      <c r="AN43" s="524"/>
      <c r="AO43" s="522"/>
      <c r="AP43" s="522"/>
      <c r="AQ43" s="522"/>
      <c r="AR43" s="522"/>
      <c r="AS43" s="522"/>
      <c r="AT43" s="522"/>
      <c r="AU43" s="522"/>
      <c r="AV43" s="522"/>
      <c r="AW43" s="523"/>
      <c r="AX43" s="519"/>
      <c r="AY43" s="517"/>
      <c r="AZ43" s="517"/>
      <c r="BA43" s="517"/>
      <c r="BB43" s="517"/>
      <c r="BC43" s="517"/>
      <c r="BD43" s="517"/>
      <c r="BE43" s="517"/>
      <c r="BF43" s="517"/>
      <c r="BG43" s="518"/>
      <c r="BH43" s="38"/>
      <c r="BI43" s="569"/>
      <c r="BJ43" s="570"/>
      <c r="BK43" s="570"/>
      <c r="BL43" s="570"/>
      <c r="BM43" s="570"/>
      <c r="BN43" s="571"/>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row>
    <row r="44" spans="1:100" ht="15" customHeight="1" x14ac:dyDescent="0.25">
      <c r="A44" s="38"/>
      <c r="B44" s="355"/>
      <c r="C44" s="356"/>
      <c r="D44" s="357"/>
      <c r="E44" s="595"/>
      <c r="F44" s="596"/>
      <c r="G44" s="596"/>
      <c r="H44" s="596"/>
      <c r="I44" s="596"/>
      <c r="J44" s="521" t="str">
        <f ca="1">IF(AND('Mapa final'!$K$22="Media",'Mapa final'!$O$22="Leve"),CONCATENATE("R",'Mapa final'!$A$22),"")</f>
        <v/>
      </c>
      <c r="K44" s="520"/>
      <c r="L44" s="520" t="str">
        <f ca="1">IF(AND('Mapa final'!$K$25="Media",'Mapa final'!$O$25="Leve"),CONCATENATE("R",'Mapa final'!$A$25),"")</f>
        <v/>
      </c>
      <c r="M44" s="520"/>
      <c r="N44" s="520" t="str">
        <f ca="1">IF(AND('Mapa final'!$K$28="Media",'Mapa final'!$O$28="Leve"),CONCATENATE("R",'Mapa final'!$A$28),"")</f>
        <v/>
      </c>
      <c r="O44" s="520"/>
      <c r="P44" s="520" t="str">
        <f ca="1">IF(AND('Mapa final'!$K$31="Media",'Mapa final'!$O$31="Leve"),CONCATENATE("R",'Mapa final'!$A$31),"")</f>
        <v/>
      </c>
      <c r="Q44" s="520"/>
      <c r="R44" s="520" t="str">
        <f ca="1">IF(AND('Mapa final'!$K$34="Media",'Mapa final'!$O$34="Leve"),CONCATENATE("R",'Mapa final'!$A$34),"")</f>
        <v/>
      </c>
      <c r="S44" s="525"/>
      <c r="T44" s="521" t="str">
        <f ca="1">IF(AND('Mapa final'!$K$22="Media",'Mapa final'!$O$22="Menor"),CONCATENATE("R",'Mapa final'!$A$22),"")</f>
        <v/>
      </c>
      <c r="U44" s="520"/>
      <c r="V44" s="520" t="str">
        <f ca="1">IF(AND('Mapa final'!$K$25="Media",'Mapa final'!$O$25="Menor"),CONCATENATE("R",'Mapa final'!$A$25),"")</f>
        <v/>
      </c>
      <c r="W44" s="520"/>
      <c r="X44" s="520" t="str">
        <f ca="1">IF(AND('Mapa final'!$K$28="Media",'Mapa final'!$O$28="Menor"),CONCATENATE("R",'Mapa final'!$A$28),"")</f>
        <v/>
      </c>
      <c r="Y44" s="520"/>
      <c r="Z44" s="520" t="str">
        <f ca="1">IF(AND('Mapa final'!$K$31="Media",'Mapa final'!$O$31="Menor"),CONCATENATE("R",'Mapa final'!$A$31),"")</f>
        <v/>
      </c>
      <c r="AA44" s="520"/>
      <c r="AB44" s="520" t="str">
        <f ca="1">IF(AND('Mapa final'!$K$34="Media",'Mapa final'!$O$34="Menor"),CONCATENATE("R",'Mapa final'!$A$34),"")</f>
        <v/>
      </c>
      <c r="AC44" s="525"/>
      <c r="AD44" s="521" t="str">
        <f ca="1">IF(AND('Mapa final'!$K$22="Media",'Mapa final'!$O$22="Moderado"),CONCATENATE("R",'Mapa final'!$A$22),"")</f>
        <v/>
      </c>
      <c r="AE44" s="520"/>
      <c r="AF44" s="520" t="str">
        <f ca="1">IF(AND('Mapa final'!$K$25="Media",'Mapa final'!$O$25="Moderado"),CONCATENATE("R",'Mapa final'!$A$25),"")</f>
        <v/>
      </c>
      <c r="AG44" s="520"/>
      <c r="AH44" s="520" t="str">
        <f ca="1">IF(AND('Mapa final'!$K$28="Media",'Mapa final'!$O$28="Moderado"),CONCATENATE("R",'Mapa final'!$A$28),"")</f>
        <v/>
      </c>
      <c r="AI44" s="520"/>
      <c r="AJ44" s="520" t="str">
        <f ca="1">IF(AND('Mapa final'!$K$31="Media",'Mapa final'!$O$31="Moderado"),CONCATENATE("R",'Mapa final'!$A$31),"")</f>
        <v/>
      </c>
      <c r="AK44" s="520"/>
      <c r="AL44" s="520" t="str">
        <f ca="1">IF(AND('Mapa final'!$K$34="Media",'Mapa final'!$O$34="Moderado"),CONCATENATE("R",'Mapa final'!$A$34),"")</f>
        <v>R10</v>
      </c>
      <c r="AM44" s="520"/>
      <c r="AN44" s="524" t="str">
        <f ca="1">IF(AND('Mapa final'!$K$22="Media",'Mapa final'!$O$22="Mayor"),CONCATENATE("R",'Mapa final'!$A$22),"")</f>
        <v/>
      </c>
      <c r="AO44" s="522"/>
      <c r="AP44" s="522" t="str">
        <f ca="1">IF(AND('Mapa final'!$K$25="Media",'Mapa final'!$O$25="Mayor"),CONCATENATE("R",'Mapa final'!$A$25),"")</f>
        <v/>
      </c>
      <c r="AQ44" s="522"/>
      <c r="AR44" s="522" t="str">
        <f ca="1">IF(AND('Mapa final'!$K$28="Media",'Mapa final'!$O$28="Mayor"),CONCATENATE("R",'Mapa final'!$A$28),"")</f>
        <v/>
      </c>
      <c r="AS44" s="522"/>
      <c r="AT44" s="522" t="str">
        <f ca="1">IF(AND('Mapa final'!$K$31="Media",'Mapa final'!$O$31="Mayor"),CONCATENATE("R",'Mapa final'!$A$31),"")</f>
        <v/>
      </c>
      <c r="AU44" s="522"/>
      <c r="AV44" s="522" t="str">
        <f ca="1">IF(AND('Mapa final'!$K$34="Media",'Mapa final'!$O$34="Mayor"),CONCATENATE("R",'Mapa final'!$A$34),"")</f>
        <v/>
      </c>
      <c r="AW44" s="523"/>
      <c r="AX44" s="519" t="str">
        <f ca="1">IF(AND('Mapa final'!$K$22="Media",'Mapa final'!$O$22="Catastrófico"),CONCATENATE("R",'Mapa final'!$A$22),"")</f>
        <v/>
      </c>
      <c r="AY44" s="517"/>
      <c r="AZ44" s="517" t="str">
        <f ca="1">IF(AND('Mapa final'!$K$25="Media",'Mapa final'!$O$25="Catastrófico"),CONCATENATE("R",'Mapa final'!$A$25),"")</f>
        <v/>
      </c>
      <c r="BA44" s="517"/>
      <c r="BB44" s="517" t="str">
        <f ca="1">IF(AND('Mapa final'!$K$28="Media",'Mapa final'!$O$28="Catastrófico"),CONCATENATE("R",'Mapa final'!$A$28),"")</f>
        <v/>
      </c>
      <c r="BC44" s="517"/>
      <c r="BD44" s="517" t="str">
        <f ca="1">IF(AND('Mapa final'!$K$31="Media",'Mapa final'!$O$31="Catastrófico"),CONCATENATE("R",'Mapa final'!$A$31),"")</f>
        <v/>
      </c>
      <c r="BE44" s="517"/>
      <c r="BF44" s="517" t="str">
        <f ca="1">IF(AND('Mapa final'!$K$34="Media",'Mapa final'!$O$34="Catastrófico"),CONCATENATE("R",'Mapa final'!$A$34),"")</f>
        <v/>
      </c>
      <c r="BG44" s="518"/>
      <c r="BH44" s="38"/>
      <c r="BI44" s="569"/>
      <c r="BJ44" s="570"/>
      <c r="BK44" s="570"/>
      <c r="BL44" s="570"/>
      <c r="BM44" s="570"/>
      <c r="BN44" s="571"/>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row>
    <row r="45" spans="1:100" ht="15" customHeight="1" x14ac:dyDescent="0.25">
      <c r="A45" s="38"/>
      <c r="B45" s="355"/>
      <c r="C45" s="356"/>
      <c r="D45" s="357"/>
      <c r="E45" s="595"/>
      <c r="F45" s="596"/>
      <c r="G45" s="596"/>
      <c r="H45" s="596"/>
      <c r="I45" s="596"/>
      <c r="J45" s="521"/>
      <c r="K45" s="520"/>
      <c r="L45" s="520"/>
      <c r="M45" s="520"/>
      <c r="N45" s="520"/>
      <c r="O45" s="520"/>
      <c r="P45" s="520"/>
      <c r="Q45" s="520"/>
      <c r="R45" s="520"/>
      <c r="S45" s="525"/>
      <c r="T45" s="521"/>
      <c r="U45" s="520"/>
      <c r="V45" s="520"/>
      <c r="W45" s="520"/>
      <c r="X45" s="520"/>
      <c r="Y45" s="520"/>
      <c r="Z45" s="520"/>
      <c r="AA45" s="520"/>
      <c r="AB45" s="520"/>
      <c r="AC45" s="525"/>
      <c r="AD45" s="521"/>
      <c r="AE45" s="520"/>
      <c r="AF45" s="520"/>
      <c r="AG45" s="520"/>
      <c r="AH45" s="520"/>
      <c r="AI45" s="520"/>
      <c r="AJ45" s="520"/>
      <c r="AK45" s="520"/>
      <c r="AL45" s="520"/>
      <c r="AM45" s="520"/>
      <c r="AN45" s="524"/>
      <c r="AO45" s="522"/>
      <c r="AP45" s="522"/>
      <c r="AQ45" s="522"/>
      <c r="AR45" s="522"/>
      <c r="AS45" s="522"/>
      <c r="AT45" s="522"/>
      <c r="AU45" s="522"/>
      <c r="AV45" s="522"/>
      <c r="AW45" s="523"/>
      <c r="AX45" s="519"/>
      <c r="AY45" s="517"/>
      <c r="AZ45" s="517"/>
      <c r="BA45" s="517"/>
      <c r="BB45" s="517"/>
      <c r="BC45" s="517"/>
      <c r="BD45" s="517"/>
      <c r="BE45" s="517"/>
      <c r="BF45" s="517"/>
      <c r="BG45" s="518"/>
      <c r="BH45" s="38"/>
      <c r="BI45" s="569"/>
      <c r="BJ45" s="570"/>
      <c r="BK45" s="570"/>
      <c r="BL45" s="570"/>
      <c r="BM45" s="570"/>
      <c r="BN45" s="571"/>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row>
    <row r="46" spans="1:100" ht="15" customHeight="1" x14ac:dyDescent="0.25">
      <c r="A46" s="38"/>
      <c r="B46" s="355"/>
      <c r="C46" s="356"/>
      <c r="D46" s="357"/>
      <c r="E46" s="595"/>
      <c r="F46" s="596"/>
      <c r="G46" s="596"/>
      <c r="H46" s="596"/>
      <c r="I46" s="596"/>
      <c r="J46" s="521" t="str">
        <f ca="1">IF(AND('Mapa final'!$K$37="Media",'Mapa final'!$O$37="Leve"),CONCATENATE("R",'Mapa final'!$A$37),"")</f>
        <v/>
      </c>
      <c r="K46" s="520"/>
      <c r="L46" s="520" t="str">
        <f ca="1">IF(AND('Mapa final'!$K$41="Media",'Mapa final'!$O$41="Leve"),CONCATENATE("R",'Mapa final'!$A$41),"")</f>
        <v/>
      </c>
      <c r="M46" s="520"/>
      <c r="N46" s="520" t="str">
        <f ca="1">IF(AND('Mapa final'!$K$44="Media",'Mapa final'!$O$44="Leve"),CONCATENATE("R",'Mapa final'!$A$44),"")</f>
        <v/>
      </c>
      <c r="O46" s="520"/>
      <c r="P46" s="520" t="str">
        <f ca="1">IF(AND('Mapa final'!$K$49="Media",'Mapa final'!$O$49="Leve"),CONCATENATE("R",'Mapa final'!$A$49),"")</f>
        <v/>
      </c>
      <c r="Q46" s="520"/>
      <c r="R46" s="520" t="str">
        <f ca="1">IF(AND('Mapa final'!$K$52="Media",'Mapa final'!$O$52="Leve"),CONCATENATE("R",'Mapa final'!$A$52),"")</f>
        <v/>
      </c>
      <c r="S46" s="525"/>
      <c r="T46" s="521" t="str">
        <f ca="1">IF(AND('Mapa final'!$K$37="Media",'Mapa final'!$O$37="Menor"),CONCATENATE("R",'Mapa final'!$A$37),"")</f>
        <v/>
      </c>
      <c r="U46" s="520"/>
      <c r="V46" s="520" t="str">
        <f ca="1">IF(AND('Mapa final'!$K$41="Media",'Mapa final'!$O$41="Menor"),CONCATENATE("R",'Mapa final'!$A$41),"")</f>
        <v/>
      </c>
      <c r="W46" s="520"/>
      <c r="X46" s="520" t="str">
        <f ca="1">IF(AND('Mapa final'!$K$44="Media",'Mapa final'!$O$44="Menor"),CONCATENATE("R",'Mapa final'!$A$44),"")</f>
        <v/>
      </c>
      <c r="Y46" s="520"/>
      <c r="Z46" s="520" t="str">
        <f ca="1">IF(AND('Mapa final'!$K$49="Media",'Mapa final'!$O$49="Menor"),CONCATENATE("R",'Mapa final'!$A$49),"")</f>
        <v/>
      </c>
      <c r="AA46" s="520"/>
      <c r="AB46" s="520" t="str">
        <f ca="1">IF(AND('Mapa final'!$K$52="Media",'Mapa final'!$O$52="Menor"),CONCATENATE("R",'Mapa final'!$A$52),"")</f>
        <v/>
      </c>
      <c r="AC46" s="525"/>
      <c r="AD46" s="521" t="str">
        <f ca="1">IF(AND('Mapa final'!$K$37="Media",'Mapa final'!$O$37="Moderado"),CONCATENATE("R",'Mapa final'!$A$37),"")</f>
        <v>R11</v>
      </c>
      <c r="AE46" s="520"/>
      <c r="AF46" s="520" t="str">
        <f ca="1">IF(AND('Mapa final'!$K$41="Media",'Mapa final'!$O$41="Moderado"),CONCATENATE("R",'Mapa final'!$A$41),"")</f>
        <v>R12</v>
      </c>
      <c r="AG46" s="520"/>
      <c r="AH46" s="520" t="str">
        <f ca="1">IF(AND('Mapa final'!$K$44="Media",'Mapa final'!$O$44="Moderado"),CONCATENATE("R",'Mapa final'!$A$44),"")</f>
        <v>R13</v>
      </c>
      <c r="AI46" s="520"/>
      <c r="AJ46" s="520" t="str">
        <f ca="1">IF(AND('Mapa final'!$K$49="Media",'Mapa final'!$O$49="Moderado"),CONCATENATE("R",'Mapa final'!$A$49),"")</f>
        <v/>
      </c>
      <c r="AK46" s="520"/>
      <c r="AL46" s="520" t="str">
        <f ca="1">IF(AND('Mapa final'!$K$52="Media",'Mapa final'!$O$52="Moderado"),CONCATENATE("R",'Mapa final'!$A$52),"")</f>
        <v/>
      </c>
      <c r="AM46" s="520"/>
      <c r="AN46" s="524" t="str">
        <f ca="1">IF(AND('Mapa final'!$K$37="Media",'Mapa final'!$O$37="Mayor"),CONCATENATE("R",'Mapa final'!$A$37),"")</f>
        <v/>
      </c>
      <c r="AO46" s="522"/>
      <c r="AP46" s="522" t="str">
        <f ca="1">IF(AND('Mapa final'!$K$41="Media",'Mapa final'!$O$41="Mayor"),CONCATENATE("R",'Mapa final'!$A$41),"")</f>
        <v/>
      </c>
      <c r="AQ46" s="522"/>
      <c r="AR46" s="522" t="str">
        <f ca="1">IF(AND('Mapa final'!$K$44="Media",'Mapa final'!$O$44="Mayor"),CONCATENATE("R",'Mapa final'!$A$44),"")</f>
        <v/>
      </c>
      <c r="AS46" s="522"/>
      <c r="AT46" s="522" t="str">
        <f ca="1">IF(AND('Mapa final'!$K$49="Media",'Mapa final'!$O$49="Mayor"),CONCATENATE("R",'Mapa final'!$A$49),"")</f>
        <v/>
      </c>
      <c r="AU46" s="522"/>
      <c r="AV46" s="522" t="str">
        <f ca="1">IF(AND('Mapa final'!$K$52="Media",'Mapa final'!$O$52="Mayor"),CONCATENATE("R",'Mapa final'!$A$52),"")</f>
        <v/>
      </c>
      <c r="AW46" s="523"/>
      <c r="AX46" s="519" t="str">
        <f ca="1">IF(AND('Mapa final'!$K$37="Media",'Mapa final'!$O$37="Catastrófico"),CONCATENATE("R",'Mapa final'!$A$37),"")</f>
        <v/>
      </c>
      <c r="AY46" s="517"/>
      <c r="AZ46" s="517" t="str">
        <f ca="1">IF(AND('Mapa final'!$K$41="Media",'Mapa final'!$O$41="Catastrófico"),CONCATENATE("R",'Mapa final'!$A$41),"")</f>
        <v/>
      </c>
      <c r="BA46" s="517"/>
      <c r="BB46" s="517" t="str">
        <f ca="1">IF(AND('Mapa final'!$K$44="Media",'Mapa final'!$O$44="Catastrófico"),CONCATENATE("R",'Mapa final'!$A$44),"")</f>
        <v/>
      </c>
      <c r="BC46" s="517"/>
      <c r="BD46" s="517" t="str">
        <f ca="1">IF(AND('Mapa final'!$K$49="Media",'Mapa final'!$O$49="Catastrófico"),CONCATENATE("R",'Mapa final'!$A$49),"")</f>
        <v/>
      </c>
      <c r="BE46" s="517"/>
      <c r="BF46" s="517" t="str">
        <f ca="1">IF(AND('Mapa final'!$K$52="Media",'Mapa final'!$O$52="Catastrófico"),CONCATENATE("R",'Mapa final'!$A$52),"")</f>
        <v/>
      </c>
      <c r="BG46" s="518"/>
      <c r="BH46" s="38"/>
      <c r="BI46" s="569"/>
      <c r="BJ46" s="570"/>
      <c r="BK46" s="570"/>
      <c r="BL46" s="570"/>
      <c r="BM46" s="570"/>
      <c r="BN46" s="571"/>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row>
    <row r="47" spans="1:100" ht="15" customHeight="1" x14ac:dyDescent="0.25">
      <c r="A47" s="38"/>
      <c r="B47" s="355"/>
      <c r="C47" s="356"/>
      <c r="D47" s="357"/>
      <c r="E47" s="595"/>
      <c r="F47" s="596"/>
      <c r="G47" s="596"/>
      <c r="H47" s="596"/>
      <c r="I47" s="596"/>
      <c r="J47" s="521"/>
      <c r="K47" s="520"/>
      <c r="L47" s="520"/>
      <c r="M47" s="520"/>
      <c r="N47" s="520"/>
      <c r="O47" s="520"/>
      <c r="P47" s="520"/>
      <c r="Q47" s="520"/>
      <c r="R47" s="520"/>
      <c r="S47" s="525"/>
      <c r="T47" s="521"/>
      <c r="U47" s="520"/>
      <c r="V47" s="520"/>
      <c r="W47" s="520"/>
      <c r="X47" s="520"/>
      <c r="Y47" s="520"/>
      <c r="Z47" s="520"/>
      <c r="AA47" s="520"/>
      <c r="AB47" s="520"/>
      <c r="AC47" s="525"/>
      <c r="AD47" s="521"/>
      <c r="AE47" s="520"/>
      <c r="AF47" s="520"/>
      <c r="AG47" s="520"/>
      <c r="AH47" s="520"/>
      <c r="AI47" s="520"/>
      <c r="AJ47" s="520"/>
      <c r="AK47" s="520"/>
      <c r="AL47" s="520"/>
      <c r="AM47" s="520"/>
      <c r="AN47" s="524"/>
      <c r="AO47" s="522"/>
      <c r="AP47" s="522"/>
      <c r="AQ47" s="522"/>
      <c r="AR47" s="522"/>
      <c r="AS47" s="522"/>
      <c r="AT47" s="522"/>
      <c r="AU47" s="522"/>
      <c r="AV47" s="522"/>
      <c r="AW47" s="523"/>
      <c r="AX47" s="519"/>
      <c r="AY47" s="517"/>
      <c r="AZ47" s="517"/>
      <c r="BA47" s="517"/>
      <c r="BB47" s="517"/>
      <c r="BC47" s="517"/>
      <c r="BD47" s="517"/>
      <c r="BE47" s="517"/>
      <c r="BF47" s="517"/>
      <c r="BG47" s="518"/>
      <c r="BH47" s="38"/>
      <c r="BI47" s="569"/>
      <c r="BJ47" s="570"/>
      <c r="BK47" s="570"/>
      <c r="BL47" s="570"/>
      <c r="BM47" s="570"/>
      <c r="BN47" s="571"/>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row>
    <row r="48" spans="1:100" ht="15" customHeight="1" x14ac:dyDescent="0.25">
      <c r="A48" s="38"/>
      <c r="B48" s="355"/>
      <c r="C48" s="356"/>
      <c r="D48" s="357"/>
      <c r="E48" s="595"/>
      <c r="F48" s="596"/>
      <c r="G48" s="596"/>
      <c r="H48" s="596"/>
      <c r="I48" s="596"/>
      <c r="J48" s="521" t="str">
        <f ca="1">IF(AND('Mapa final'!$K$55="Media",'Mapa final'!$O$55="Leve"),CONCATENATE("R",'Mapa final'!$A$55),"")</f>
        <v/>
      </c>
      <c r="K48" s="520"/>
      <c r="L48" s="520" t="str">
        <f ca="1">IF(AND('Mapa final'!$K$58="Media",'Mapa final'!$O$58="Leve"),CONCATENATE("R",'Mapa final'!$A$58),"")</f>
        <v/>
      </c>
      <c r="M48" s="520"/>
      <c r="N48" s="520" t="str">
        <f ca="1">IF(AND('Mapa final'!$K$61="Media",'Mapa final'!$O$61="Leve"),CONCATENATE("R",'Mapa final'!$A$61),"")</f>
        <v/>
      </c>
      <c r="O48" s="520"/>
      <c r="P48" s="520" t="str">
        <f ca="1">IF(AND('Mapa final'!$K$64="Media",'Mapa final'!$O$64="Leve"),CONCATENATE("R",'Mapa final'!$A$64),"")</f>
        <v/>
      </c>
      <c r="Q48" s="520"/>
      <c r="R48" s="520" t="str">
        <f ca="1">IF(AND('Mapa final'!$K$67="Media",'Mapa final'!$O$67="Leve"),CONCATENATE("R",'Mapa final'!$A$67),"")</f>
        <v/>
      </c>
      <c r="S48" s="525"/>
      <c r="T48" s="521" t="str">
        <f ca="1">IF(AND('Mapa final'!$K$55="Media",'Mapa final'!$O$55="Menor"),CONCATENATE("R",'Mapa final'!$A$55),"")</f>
        <v/>
      </c>
      <c r="U48" s="520"/>
      <c r="V48" s="520" t="str">
        <f ca="1">IF(AND('Mapa final'!$K$58="Media",'Mapa final'!$O$58="Menor"),CONCATENATE("R",'Mapa final'!$A$58),"")</f>
        <v/>
      </c>
      <c r="W48" s="520"/>
      <c r="X48" s="520" t="str">
        <f ca="1">IF(AND('Mapa final'!$K$61="Media",'Mapa final'!$O$61="Menor"),CONCATENATE("R",'Mapa final'!$A$61),"")</f>
        <v/>
      </c>
      <c r="Y48" s="520"/>
      <c r="Z48" s="520" t="str">
        <f ca="1">IF(AND('Mapa final'!$K$64="Media",'Mapa final'!$O$64="Menor"),CONCATENATE("R",'Mapa final'!$A$64),"")</f>
        <v/>
      </c>
      <c r="AA48" s="520"/>
      <c r="AB48" s="520" t="str">
        <f ca="1">IF(AND('Mapa final'!$K$67="Media",'Mapa final'!$O$67="Menor"),CONCATENATE("R",'Mapa final'!$A$67),"")</f>
        <v/>
      </c>
      <c r="AC48" s="525"/>
      <c r="AD48" s="521" t="str">
        <f ca="1">IF(AND('Mapa final'!$K$55="Media",'Mapa final'!$O$55="Moderado"),CONCATENATE("R",'Mapa final'!$A$55),"")</f>
        <v/>
      </c>
      <c r="AE48" s="520"/>
      <c r="AF48" s="520" t="str">
        <f ca="1">IF(AND('Mapa final'!$K$58="Media",'Mapa final'!$O$58="Moderado"),CONCATENATE("R",'Mapa final'!$A$58),"")</f>
        <v/>
      </c>
      <c r="AG48" s="520"/>
      <c r="AH48" s="520" t="str">
        <f ca="1">IF(AND('Mapa final'!$K$61="Media",'Mapa final'!$O$61="Moderado"),CONCATENATE("R",'Mapa final'!$A$61),"")</f>
        <v/>
      </c>
      <c r="AI48" s="520"/>
      <c r="AJ48" s="520" t="str">
        <f ca="1">IF(AND('Mapa final'!$K$64="Media",'Mapa final'!$O$64="Moderado"),CONCATENATE("R",'Mapa final'!$A$64),"")</f>
        <v/>
      </c>
      <c r="AK48" s="520"/>
      <c r="AL48" s="520" t="str">
        <f ca="1">IF(AND('Mapa final'!$K$67="Media",'Mapa final'!$O$67="Moderado"),CONCATENATE("R",'Mapa final'!$A$67),"")</f>
        <v/>
      </c>
      <c r="AM48" s="520"/>
      <c r="AN48" s="524" t="str">
        <f ca="1">IF(AND('Mapa final'!$K$55="Media",'Mapa final'!$O$55="Mayor"),CONCATENATE("R",'Mapa final'!$A$55),"")</f>
        <v/>
      </c>
      <c r="AO48" s="522"/>
      <c r="AP48" s="522" t="str">
        <f ca="1">IF(AND('Mapa final'!$K$58="Media",'Mapa final'!$O$58="Mayor"),CONCATENATE("R",'Mapa final'!$A$58),"")</f>
        <v/>
      </c>
      <c r="AQ48" s="522"/>
      <c r="AR48" s="522" t="str">
        <f ca="1">IF(AND('Mapa final'!$K$61="Media",'Mapa final'!$O$61="Mayor"),CONCATENATE("R",'Mapa final'!$A$61),"")</f>
        <v>R18</v>
      </c>
      <c r="AS48" s="522"/>
      <c r="AT48" s="522" t="str">
        <f ca="1">IF(AND('Mapa final'!$K$64="Media",'Mapa final'!$O$64="Mayor"),CONCATENATE("R",'Mapa final'!$A$64),"")</f>
        <v>R19</v>
      </c>
      <c r="AU48" s="522"/>
      <c r="AV48" s="522" t="str">
        <f ca="1">IF(AND('Mapa final'!$K$67="Media",'Mapa final'!$O$67="Mayor"),CONCATENATE("R",'Mapa final'!$A$67),"")</f>
        <v/>
      </c>
      <c r="AW48" s="523"/>
      <c r="AX48" s="519" t="str">
        <f ca="1">IF(AND('Mapa final'!$K$55="Media",'Mapa final'!$O$55="Catastrófico"),CONCATENATE("R",'Mapa final'!$A$55),"")</f>
        <v/>
      </c>
      <c r="AY48" s="517"/>
      <c r="AZ48" s="517" t="str">
        <f ca="1">IF(AND('Mapa final'!$K$58="Media",'Mapa final'!$O$58="Catastrófico"),CONCATENATE("R",'Mapa final'!$A$58),"")</f>
        <v/>
      </c>
      <c r="BA48" s="517"/>
      <c r="BB48" s="517" t="str">
        <f ca="1">IF(AND('Mapa final'!$K$61="Media",'Mapa final'!$O$61="Catastrófico"),CONCATENATE("R",'Mapa final'!$A$61),"")</f>
        <v/>
      </c>
      <c r="BC48" s="517"/>
      <c r="BD48" s="517" t="str">
        <f ca="1">IF(AND('Mapa final'!$K$64="Media",'Mapa final'!$O$64="Catastrófico"),CONCATENATE("R",'Mapa final'!$A$64),"")</f>
        <v/>
      </c>
      <c r="BE48" s="517"/>
      <c r="BF48" s="517" t="str">
        <f ca="1">IF(AND('Mapa final'!$K$67="Media",'Mapa final'!$O$67="Catastrófico"),CONCATENATE("R",'Mapa final'!$A$67),"")</f>
        <v/>
      </c>
      <c r="BG48" s="518"/>
      <c r="BH48" s="38"/>
      <c r="BI48" s="569"/>
      <c r="BJ48" s="570"/>
      <c r="BK48" s="570"/>
      <c r="BL48" s="570"/>
      <c r="BM48" s="570"/>
      <c r="BN48" s="571"/>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row>
    <row r="49" spans="1:100" ht="15" customHeight="1" thickBot="1" x14ac:dyDescent="0.3">
      <c r="A49" s="38"/>
      <c r="B49" s="355"/>
      <c r="C49" s="356"/>
      <c r="D49" s="357"/>
      <c r="E49" s="595"/>
      <c r="F49" s="596"/>
      <c r="G49" s="596"/>
      <c r="H49" s="596"/>
      <c r="I49" s="596"/>
      <c r="J49" s="521"/>
      <c r="K49" s="520"/>
      <c r="L49" s="520"/>
      <c r="M49" s="520"/>
      <c r="N49" s="520"/>
      <c r="O49" s="520"/>
      <c r="P49" s="520"/>
      <c r="Q49" s="520"/>
      <c r="R49" s="520"/>
      <c r="S49" s="525"/>
      <c r="T49" s="521"/>
      <c r="U49" s="520"/>
      <c r="V49" s="520"/>
      <c r="W49" s="520"/>
      <c r="X49" s="520"/>
      <c r="Y49" s="520"/>
      <c r="Z49" s="520"/>
      <c r="AA49" s="520"/>
      <c r="AB49" s="520"/>
      <c r="AC49" s="525"/>
      <c r="AD49" s="521"/>
      <c r="AE49" s="520"/>
      <c r="AF49" s="520"/>
      <c r="AG49" s="520"/>
      <c r="AH49" s="520"/>
      <c r="AI49" s="520"/>
      <c r="AJ49" s="520"/>
      <c r="AK49" s="520"/>
      <c r="AL49" s="520"/>
      <c r="AM49" s="520"/>
      <c r="AN49" s="524"/>
      <c r="AO49" s="522"/>
      <c r="AP49" s="522"/>
      <c r="AQ49" s="522"/>
      <c r="AR49" s="522"/>
      <c r="AS49" s="522"/>
      <c r="AT49" s="522"/>
      <c r="AU49" s="522"/>
      <c r="AV49" s="522"/>
      <c r="AW49" s="523"/>
      <c r="AX49" s="519"/>
      <c r="AY49" s="517"/>
      <c r="AZ49" s="517"/>
      <c r="BA49" s="517"/>
      <c r="BB49" s="517"/>
      <c r="BC49" s="517"/>
      <c r="BD49" s="517"/>
      <c r="BE49" s="517"/>
      <c r="BF49" s="517"/>
      <c r="BG49" s="518"/>
      <c r="BH49" s="38"/>
      <c r="BI49" s="572"/>
      <c r="BJ49" s="573"/>
      <c r="BK49" s="573"/>
      <c r="BL49" s="573"/>
      <c r="BM49" s="573"/>
      <c r="BN49" s="574"/>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row>
    <row r="50" spans="1:100" ht="15" customHeight="1" x14ac:dyDescent="0.25">
      <c r="A50" s="38"/>
      <c r="B50" s="355"/>
      <c r="C50" s="356"/>
      <c r="D50" s="357"/>
      <c r="E50" s="595"/>
      <c r="F50" s="596"/>
      <c r="G50" s="596"/>
      <c r="H50" s="596"/>
      <c r="I50" s="596"/>
      <c r="J50" s="521" t="str">
        <f ca="1">IF(AND('Mapa final'!$K$70="Media",'Mapa final'!$O$70="Leve"),CONCATENATE("R",'Mapa final'!$A$70),"")</f>
        <v/>
      </c>
      <c r="K50" s="520"/>
      <c r="L50" s="520" t="str">
        <f ca="1">IF(AND('Mapa final'!$K$73="Media",'Mapa final'!$O$73="Leve"),CONCATENATE("R",'Mapa final'!$A$73),"")</f>
        <v/>
      </c>
      <c r="M50" s="520"/>
      <c r="N50" s="520" t="str">
        <f ca="1">IF(AND('Mapa final'!$K$76="Media",'Mapa final'!$O$76="Leve"),CONCATENATE("R",'Mapa final'!$A$76),"")</f>
        <v/>
      </c>
      <c r="O50" s="520"/>
      <c r="P50" s="520" t="str">
        <f ca="1">IF(AND('Mapa final'!$K$79="Media",'Mapa final'!$O$79="Leve"),CONCATENATE("R",'Mapa final'!$A$79),"")</f>
        <v/>
      </c>
      <c r="Q50" s="520"/>
      <c r="R50" s="520" t="str">
        <f ca="1">IF(AND('Mapa final'!$K$82="Media",'Mapa final'!$O$82="Leve"),CONCATENATE("R",'Mapa final'!$A$82),"")</f>
        <v/>
      </c>
      <c r="S50" s="525"/>
      <c r="T50" s="521" t="str">
        <f ca="1">IF(AND('Mapa final'!$K$70="Media",'Mapa final'!$O$70="Menor"),CONCATENATE("R",'Mapa final'!$A$70),"")</f>
        <v>R21</v>
      </c>
      <c r="U50" s="520"/>
      <c r="V50" s="520" t="str">
        <f ca="1">IF(AND('Mapa final'!$K$73="Media",'Mapa final'!$O$73="Menor"),CONCATENATE("R",'Mapa final'!$A$73),"")</f>
        <v>R22</v>
      </c>
      <c r="W50" s="520"/>
      <c r="X50" s="520" t="str">
        <f ca="1">IF(AND('Mapa final'!$K$76="Media",'Mapa final'!$O$76="Menor"),CONCATENATE("R",'Mapa final'!$A$76),"")</f>
        <v>R23</v>
      </c>
      <c r="Y50" s="520"/>
      <c r="Z50" s="520" t="str">
        <f ca="1">IF(AND('Mapa final'!$K$79="Media",'Mapa final'!$O$79="Menor"),CONCATENATE("R",'Mapa final'!$A$79),"")</f>
        <v/>
      </c>
      <c r="AA50" s="520"/>
      <c r="AB50" s="520" t="str">
        <f ca="1">IF(AND('Mapa final'!$K$82="Media",'Mapa final'!$O$82="Menor"),CONCATENATE("R",'Mapa final'!$A$82),"")</f>
        <v/>
      </c>
      <c r="AC50" s="525"/>
      <c r="AD50" s="521" t="str">
        <f ca="1">IF(AND('Mapa final'!$K$70="Media",'Mapa final'!$O$70="Moderado"),CONCATENATE("R",'Mapa final'!$A$70),"")</f>
        <v/>
      </c>
      <c r="AE50" s="520"/>
      <c r="AF50" s="520" t="str">
        <f ca="1">IF(AND('Mapa final'!$K$73="Media",'Mapa final'!$O$73="Moderado"),CONCATENATE("R",'Mapa final'!$A$73),"")</f>
        <v/>
      </c>
      <c r="AG50" s="520"/>
      <c r="AH50" s="520" t="str">
        <f ca="1">IF(AND('Mapa final'!$K$76="Media",'Mapa final'!$O$76="Moderado"),CONCATENATE("R",'Mapa final'!$A$76),"")</f>
        <v/>
      </c>
      <c r="AI50" s="520"/>
      <c r="AJ50" s="520" t="str">
        <f ca="1">IF(AND('Mapa final'!$K$79="Media",'Mapa final'!$O$79="Moderado"),CONCATENATE("R",'Mapa final'!$A$79),"")</f>
        <v>R24</v>
      </c>
      <c r="AK50" s="520"/>
      <c r="AL50" s="520" t="str">
        <f ca="1">IF(AND('Mapa final'!$K$82="Media",'Mapa final'!$O$82="Moderado"),CONCATENATE("R",'Mapa final'!$A$82),"")</f>
        <v/>
      </c>
      <c r="AM50" s="520"/>
      <c r="AN50" s="524" t="str">
        <f ca="1">IF(AND('Mapa final'!$K$70="Media",'Mapa final'!$O$70="Mayor"),CONCATENATE("R",'Mapa final'!$A$70),"")</f>
        <v/>
      </c>
      <c r="AO50" s="522"/>
      <c r="AP50" s="522" t="str">
        <f ca="1">IF(AND('Mapa final'!$K$73="Media",'Mapa final'!$O$73="Mayor"),CONCATENATE("R",'Mapa final'!$A$73),"")</f>
        <v/>
      </c>
      <c r="AQ50" s="522"/>
      <c r="AR50" s="522" t="str">
        <f ca="1">IF(AND('Mapa final'!$K$76="Media",'Mapa final'!$O$76="Mayor"),CONCATENATE("R",'Mapa final'!$A$76),"")</f>
        <v/>
      </c>
      <c r="AS50" s="522"/>
      <c r="AT50" s="522" t="str">
        <f ca="1">IF(AND('Mapa final'!$K$79="Media",'Mapa final'!$O$79="Mayor"),CONCATENATE("R",'Mapa final'!$A$79),"")</f>
        <v/>
      </c>
      <c r="AU50" s="522"/>
      <c r="AV50" s="522" t="str">
        <f ca="1">IF(AND('Mapa final'!$K$82="Media",'Mapa final'!$O$82="Mayor"),CONCATENATE("R",'Mapa final'!$A$82),"")</f>
        <v/>
      </c>
      <c r="AW50" s="523"/>
      <c r="AX50" s="519" t="str">
        <f ca="1">IF(AND('Mapa final'!$K$70="Media",'Mapa final'!$O$70="Catastrófico"),CONCATENATE("R",'Mapa final'!$A$70),"")</f>
        <v/>
      </c>
      <c r="AY50" s="517"/>
      <c r="AZ50" s="517" t="str">
        <f ca="1">IF(AND('Mapa final'!$K$73="Media",'Mapa final'!$O$73="Catastrófico"),CONCATENATE("R",'Mapa final'!$A$73),"")</f>
        <v/>
      </c>
      <c r="BA50" s="517"/>
      <c r="BB50" s="517" t="str">
        <f ca="1">IF(AND('Mapa final'!$K$76="Media",'Mapa final'!$O$76="Catastrófico"),CONCATENATE("R",'Mapa final'!$A$76),"")</f>
        <v/>
      </c>
      <c r="BC50" s="517"/>
      <c r="BD50" s="517" t="str">
        <f ca="1">IF(AND('Mapa final'!$K$79="Media",'Mapa final'!$O$79="Catastrófico"),CONCATENATE("R",'Mapa final'!$A$79),"")</f>
        <v/>
      </c>
      <c r="BE50" s="517"/>
      <c r="BF50" s="517" t="str">
        <f ca="1">IF(AND('Mapa final'!$K$82="Media",'Mapa final'!$O$82="Catastrófico"),CONCATENATE("R",'Mapa final'!$A$82),"")</f>
        <v/>
      </c>
      <c r="BG50" s="518"/>
      <c r="BH50" s="38"/>
      <c r="BI50" s="575" t="s">
        <v>75</v>
      </c>
      <c r="BJ50" s="576"/>
      <c r="BK50" s="576"/>
      <c r="BL50" s="576"/>
      <c r="BM50" s="576"/>
      <c r="BN50" s="577"/>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row>
    <row r="51" spans="1:100" ht="15" customHeight="1" x14ac:dyDescent="0.25">
      <c r="A51" s="38"/>
      <c r="B51" s="355"/>
      <c r="C51" s="356"/>
      <c r="D51" s="357"/>
      <c r="E51" s="595"/>
      <c r="F51" s="596"/>
      <c r="G51" s="596"/>
      <c r="H51" s="596"/>
      <c r="I51" s="596"/>
      <c r="J51" s="521"/>
      <c r="K51" s="520"/>
      <c r="L51" s="520"/>
      <c r="M51" s="520"/>
      <c r="N51" s="520"/>
      <c r="O51" s="520"/>
      <c r="P51" s="520"/>
      <c r="Q51" s="520"/>
      <c r="R51" s="520"/>
      <c r="S51" s="525"/>
      <c r="T51" s="521"/>
      <c r="U51" s="520"/>
      <c r="V51" s="520"/>
      <c r="W51" s="520"/>
      <c r="X51" s="520"/>
      <c r="Y51" s="520"/>
      <c r="Z51" s="520"/>
      <c r="AA51" s="520"/>
      <c r="AB51" s="520"/>
      <c r="AC51" s="525"/>
      <c r="AD51" s="521"/>
      <c r="AE51" s="520"/>
      <c r="AF51" s="520"/>
      <c r="AG51" s="520"/>
      <c r="AH51" s="520"/>
      <c r="AI51" s="520"/>
      <c r="AJ51" s="520"/>
      <c r="AK51" s="520"/>
      <c r="AL51" s="520"/>
      <c r="AM51" s="520"/>
      <c r="AN51" s="524"/>
      <c r="AO51" s="522"/>
      <c r="AP51" s="522"/>
      <c r="AQ51" s="522"/>
      <c r="AR51" s="522"/>
      <c r="AS51" s="522"/>
      <c r="AT51" s="522"/>
      <c r="AU51" s="522"/>
      <c r="AV51" s="522"/>
      <c r="AW51" s="523"/>
      <c r="AX51" s="519"/>
      <c r="AY51" s="517"/>
      <c r="AZ51" s="517"/>
      <c r="BA51" s="517"/>
      <c r="BB51" s="517"/>
      <c r="BC51" s="517"/>
      <c r="BD51" s="517"/>
      <c r="BE51" s="517"/>
      <c r="BF51" s="517"/>
      <c r="BG51" s="518"/>
      <c r="BH51" s="38"/>
      <c r="BI51" s="578"/>
      <c r="BJ51" s="579"/>
      <c r="BK51" s="579"/>
      <c r="BL51" s="579"/>
      <c r="BM51" s="579"/>
      <c r="BN51" s="580"/>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row>
    <row r="52" spans="1:100" ht="15" customHeight="1" x14ac:dyDescent="0.25">
      <c r="A52" s="38"/>
      <c r="B52" s="355"/>
      <c r="C52" s="356"/>
      <c r="D52" s="357"/>
      <c r="E52" s="595"/>
      <c r="F52" s="596"/>
      <c r="G52" s="596"/>
      <c r="H52" s="596"/>
      <c r="I52" s="596"/>
      <c r="J52" s="521" t="str">
        <f ca="1">IF(AND('Mapa final'!$K$85="Media",'Mapa final'!$O$85="Leve"),CONCATENATE("R",'Mapa final'!$A$85),"")</f>
        <v/>
      </c>
      <c r="K52" s="520"/>
      <c r="L52" s="520" t="str">
        <f ca="1">IF(AND('Mapa final'!$K$88="Media",'Mapa final'!$O$88="Leve"),CONCATENATE("R",'Mapa final'!$A$88),"")</f>
        <v/>
      </c>
      <c r="M52" s="520"/>
      <c r="N52" s="520" t="str">
        <f ca="1">IF(AND('Mapa final'!$K$91="Media",'Mapa final'!$O$91="Leve"),CONCATENATE("R",'Mapa final'!$A$91),"")</f>
        <v/>
      </c>
      <c r="O52" s="520"/>
      <c r="P52" s="520" t="str">
        <f ca="1">IF(AND('Mapa final'!$K$94="Media",'Mapa final'!$O$94="Leve"),CONCATENATE("R",'Mapa final'!$A$94),"")</f>
        <v/>
      </c>
      <c r="Q52" s="520"/>
      <c r="R52" s="520" t="str">
        <f ca="1">IF(AND('Mapa final'!$K$97="Media",'Mapa final'!$O$97="Leve"),CONCATENATE("R",'Mapa final'!$A$97),"")</f>
        <v/>
      </c>
      <c r="S52" s="525"/>
      <c r="T52" s="521" t="str">
        <f ca="1">IF(AND('Mapa final'!$K$85="Media",'Mapa final'!$O$85="Menor"),CONCATENATE("R",'Mapa final'!$A$85),"")</f>
        <v/>
      </c>
      <c r="U52" s="520"/>
      <c r="V52" s="520" t="str">
        <f ca="1">IF(AND('Mapa final'!$K$88="Media",'Mapa final'!$O$88="Menor"),CONCATENATE("R",'Mapa final'!$A$88),"")</f>
        <v/>
      </c>
      <c r="W52" s="520"/>
      <c r="X52" s="520" t="str">
        <f ca="1">IF(AND('Mapa final'!$K$91="Media",'Mapa final'!$O$91="Menor"),CONCATENATE("R",'Mapa final'!$A$91),"")</f>
        <v/>
      </c>
      <c r="Y52" s="520"/>
      <c r="Z52" s="520" t="str">
        <f ca="1">IF(AND('Mapa final'!$K$94="Media",'Mapa final'!$O$94="Menor"),CONCATENATE("R",'Mapa final'!$A$94),"")</f>
        <v/>
      </c>
      <c r="AA52" s="520"/>
      <c r="AB52" s="520" t="str">
        <f ca="1">IF(AND('Mapa final'!$K$97="Media",'Mapa final'!$O$97="Menor"),CONCATENATE("R",'Mapa final'!$A$97),"")</f>
        <v/>
      </c>
      <c r="AC52" s="525"/>
      <c r="AD52" s="521" t="str">
        <f ca="1">IF(AND('Mapa final'!$K$85="Media",'Mapa final'!$O$85="Moderado"),CONCATENATE("R",'Mapa final'!$A$85),"")</f>
        <v/>
      </c>
      <c r="AE52" s="520"/>
      <c r="AF52" s="520" t="str">
        <f ca="1">IF(AND('Mapa final'!$K$88="Media",'Mapa final'!$O$88="Moderado"),CONCATENATE("R",'Mapa final'!$A$88),"")</f>
        <v/>
      </c>
      <c r="AG52" s="520"/>
      <c r="AH52" s="520" t="str">
        <f ca="1">IF(AND('Mapa final'!$K$91="Media",'Mapa final'!$O$91="Moderado"),CONCATENATE("R",'Mapa final'!$A$91),"")</f>
        <v/>
      </c>
      <c r="AI52" s="520"/>
      <c r="AJ52" s="520" t="str">
        <f ca="1">IF(AND('Mapa final'!$K$94="Media",'Mapa final'!$O$94="Moderado"),CONCATENATE("R",'Mapa final'!$A$94),"")</f>
        <v/>
      </c>
      <c r="AK52" s="520"/>
      <c r="AL52" s="520" t="str">
        <f ca="1">IF(AND('Mapa final'!$K$97="Media",'Mapa final'!$O$97="Moderado"),CONCATENATE("R",'Mapa final'!$A$97),"")</f>
        <v/>
      </c>
      <c r="AM52" s="520"/>
      <c r="AN52" s="524" t="str">
        <f ca="1">IF(AND('Mapa final'!$K$85="Media",'Mapa final'!$O$85="Mayor"),CONCATENATE("R",'Mapa final'!$A$85),"")</f>
        <v/>
      </c>
      <c r="AO52" s="522"/>
      <c r="AP52" s="522" t="str">
        <f ca="1">IF(AND('Mapa final'!$K$88="Media",'Mapa final'!$O$88="Mayor"),CONCATENATE("R",'Mapa final'!$A$88),"")</f>
        <v/>
      </c>
      <c r="AQ52" s="522"/>
      <c r="AR52" s="522" t="str">
        <f ca="1">IF(AND('Mapa final'!$K$91="Media",'Mapa final'!$O$91="Mayor"),CONCATENATE("R",'Mapa final'!$A$91),"")</f>
        <v/>
      </c>
      <c r="AS52" s="522"/>
      <c r="AT52" s="522" t="str">
        <f ca="1">IF(AND('Mapa final'!$K$94="Media",'Mapa final'!$O$94="Mayor"),CONCATENATE("R",'Mapa final'!$A$94),"")</f>
        <v/>
      </c>
      <c r="AU52" s="522"/>
      <c r="AV52" s="522" t="str">
        <f ca="1">IF(AND('Mapa final'!$K$97="Media",'Mapa final'!$O$97="Mayor"),CONCATENATE("R",'Mapa final'!$A$97),"")</f>
        <v>R30</v>
      </c>
      <c r="AW52" s="523"/>
      <c r="AX52" s="519" t="str">
        <f ca="1">IF(AND('Mapa final'!$K$85="Media",'Mapa final'!$O$85="Catastrófico"),CONCATENATE("R",'Mapa final'!$A$85),"")</f>
        <v/>
      </c>
      <c r="AY52" s="517"/>
      <c r="AZ52" s="517" t="str">
        <f ca="1">IF(AND('Mapa final'!$K$88="Media",'Mapa final'!$O$88="Catastrófico"),CONCATENATE("R",'Mapa final'!$A$88),"")</f>
        <v/>
      </c>
      <c r="BA52" s="517"/>
      <c r="BB52" s="517" t="str">
        <f ca="1">IF(AND('Mapa final'!$K$91="Media",'Mapa final'!$O$91="Catastrófico"),CONCATENATE("R",'Mapa final'!$A$91),"")</f>
        <v/>
      </c>
      <c r="BC52" s="517"/>
      <c r="BD52" s="517" t="str">
        <f ca="1">IF(AND('Mapa final'!$K$94="Media",'Mapa final'!$O$94="Catastrófico"),CONCATENATE("R",'Mapa final'!$A$94),"")</f>
        <v/>
      </c>
      <c r="BE52" s="517"/>
      <c r="BF52" s="517" t="str">
        <f ca="1">IF(AND('Mapa final'!$K$97="Media",'Mapa final'!$O$97="Catastrófico"),CONCATENATE("R",'Mapa final'!$A$97),"")</f>
        <v/>
      </c>
      <c r="BG52" s="518"/>
      <c r="BH52" s="38"/>
      <c r="BI52" s="578"/>
      <c r="BJ52" s="579"/>
      <c r="BK52" s="579"/>
      <c r="BL52" s="579"/>
      <c r="BM52" s="579"/>
      <c r="BN52" s="580"/>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row>
    <row r="53" spans="1:100" ht="15" customHeight="1" x14ac:dyDescent="0.25">
      <c r="A53" s="38"/>
      <c r="B53" s="355"/>
      <c r="C53" s="356"/>
      <c r="D53" s="357"/>
      <c r="E53" s="595"/>
      <c r="F53" s="596"/>
      <c r="G53" s="596"/>
      <c r="H53" s="596"/>
      <c r="I53" s="596"/>
      <c r="J53" s="521"/>
      <c r="K53" s="520"/>
      <c r="L53" s="520"/>
      <c r="M53" s="520"/>
      <c r="N53" s="520"/>
      <c r="O53" s="520"/>
      <c r="P53" s="520"/>
      <c r="Q53" s="520"/>
      <c r="R53" s="520"/>
      <c r="S53" s="525"/>
      <c r="T53" s="521"/>
      <c r="U53" s="520"/>
      <c r="V53" s="520"/>
      <c r="W53" s="520"/>
      <c r="X53" s="520"/>
      <c r="Y53" s="520"/>
      <c r="Z53" s="520"/>
      <c r="AA53" s="520"/>
      <c r="AB53" s="520"/>
      <c r="AC53" s="525"/>
      <c r="AD53" s="521"/>
      <c r="AE53" s="520"/>
      <c r="AF53" s="520"/>
      <c r="AG53" s="520"/>
      <c r="AH53" s="520"/>
      <c r="AI53" s="520"/>
      <c r="AJ53" s="520"/>
      <c r="AK53" s="520"/>
      <c r="AL53" s="520"/>
      <c r="AM53" s="520"/>
      <c r="AN53" s="524"/>
      <c r="AO53" s="522"/>
      <c r="AP53" s="522"/>
      <c r="AQ53" s="522"/>
      <c r="AR53" s="522"/>
      <c r="AS53" s="522"/>
      <c r="AT53" s="522"/>
      <c r="AU53" s="522"/>
      <c r="AV53" s="522"/>
      <c r="AW53" s="523"/>
      <c r="AX53" s="519"/>
      <c r="AY53" s="517"/>
      <c r="AZ53" s="517"/>
      <c r="BA53" s="517"/>
      <c r="BB53" s="517"/>
      <c r="BC53" s="517"/>
      <c r="BD53" s="517"/>
      <c r="BE53" s="517"/>
      <c r="BF53" s="517"/>
      <c r="BG53" s="518"/>
      <c r="BH53" s="38"/>
      <c r="BI53" s="578"/>
      <c r="BJ53" s="579"/>
      <c r="BK53" s="579"/>
      <c r="BL53" s="579"/>
      <c r="BM53" s="579"/>
      <c r="BN53" s="580"/>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row>
    <row r="54" spans="1:100" ht="15" customHeight="1" x14ac:dyDescent="0.25">
      <c r="A54" s="38"/>
      <c r="B54" s="355"/>
      <c r="C54" s="356"/>
      <c r="D54" s="357"/>
      <c r="E54" s="595"/>
      <c r="F54" s="596"/>
      <c r="G54" s="596"/>
      <c r="H54" s="596"/>
      <c r="I54" s="596"/>
      <c r="J54" s="521" t="str">
        <f ca="1">IF(AND('Mapa final'!$K$100="Media",'Mapa final'!$O$100="Leve"),CONCATENATE("R",'Mapa final'!$A$100),"")</f>
        <v/>
      </c>
      <c r="K54" s="520"/>
      <c r="L54" s="520" t="str">
        <f ca="1">IF(AND('Mapa final'!$K$103="Media",'Mapa final'!$O$103="Leve"),CONCATENATE("R",'Mapa final'!$A$103),"")</f>
        <v/>
      </c>
      <c r="M54" s="520"/>
      <c r="N54" s="520" t="str">
        <f ca="1">IF(AND('Mapa final'!$K$106="Media",'Mapa final'!$O$106="Leve"),CONCATENATE("R",'Mapa final'!$A$106),"")</f>
        <v/>
      </c>
      <c r="O54" s="520"/>
      <c r="P54" s="520" t="str">
        <f ca="1">IF(AND('Mapa final'!$K$109="Media",'Mapa final'!$O$109="Leve"),CONCATENATE("R",'Mapa final'!$A$109),"")</f>
        <v/>
      </c>
      <c r="Q54" s="520"/>
      <c r="R54" s="520" t="str">
        <f ca="1">IF(AND('Mapa final'!$K$112="Media",'Mapa final'!$O$112="Leve"),CONCATENATE("R",'Mapa final'!$A$112),"")</f>
        <v/>
      </c>
      <c r="S54" s="525"/>
      <c r="T54" s="521" t="str">
        <f ca="1">IF(AND('Mapa final'!$K$100="Media",'Mapa final'!$O$100="Menor"),CONCATENATE("R",'Mapa final'!$A$100),"")</f>
        <v/>
      </c>
      <c r="U54" s="520"/>
      <c r="V54" s="520" t="str">
        <f ca="1">IF(AND('Mapa final'!$K$103="Media",'Mapa final'!$O$103="Menor"),CONCATENATE("R",'Mapa final'!$A$103),"")</f>
        <v/>
      </c>
      <c r="W54" s="520"/>
      <c r="X54" s="520" t="str">
        <f ca="1">IF(AND('Mapa final'!$K$106="Media",'Mapa final'!$O$106="Menor"),CONCATENATE("R",'Mapa final'!$A$106),"")</f>
        <v/>
      </c>
      <c r="Y54" s="520"/>
      <c r="Z54" s="520" t="str">
        <f ca="1">IF(AND('Mapa final'!$K$109="Media",'Mapa final'!$O$109="Menor"),CONCATENATE("R",'Mapa final'!$A$109),"")</f>
        <v/>
      </c>
      <c r="AA54" s="520"/>
      <c r="AB54" s="520" t="str">
        <f ca="1">IF(AND('Mapa final'!$K$112="Media",'Mapa final'!$O$112="Menor"),CONCATENATE("R",'Mapa final'!$A$112),"")</f>
        <v/>
      </c>
      <c r="AC54" s="525"/>
      <c r="AD54" s="521" t="str">
        <f ca="1">IF(AND('Mapa final'!$K$100="Media",'Mapa final'!$O$100="Moderado"),CONCATENATE("R",'Mapa final'!$A$100),"")</f>
        <v/>
      </c>
      <c r="AE54" s="520"/>
      <c r="AF54" s="520" t="str">
        <f ca="1">IF(AND('Mapa final'!$K$103="Media",'Mapa final'!$O$103="Moderado"),CONCATENATE("R",'Mapa final'!$A$103),"")</f>
        <v/>
      </c>
      <c r="AG54" s="520"/>
      <c r="AH54" s="520" t="str">
        <f ca="1">IF(AND('Mapa final'!$K$106="Media",'Mapa final'!$O$106="Moderado"),CONCATENATE("R",'Mapa final'!$A$106),"")</f>
        <v>R33</v>
      </c>
      <c r="AI54" s="520"/>
      <c r="AJ54" s="520" t="str">
        <f ca="1">IF(AND('Mapa final'!$K$109="Media",'Mapa final'!$O$109="Moderado"),CONCATENATE("R",'Mapa final'!$A$109),"")</f>
        <v>R34</v>
      </c>
      <c r="AK54" s="520"/>
      <c r="AL54" s="520" t="str">
        <f ca="1">IF(AND('Mapa final'!$K$112="Media",'Mapa final'!$O$112="Moderado"),CONCATENATE("R",'Mapa final'!$A$112),"")</f>
        <v/>
      </c>
      <c r="AM54" s="520"/>
      <c r="AN54" s="524" t="str">
        <f ca="1">IF(AND('Mapa final'!$K$100="Media",'Mapa final'!$O$100="Mayor"),CONCATENATE("R",'Mapa final'!$A$100),"")</f>
        <v/>
      </c>
      <c r="AO54" s="522"/>
      <c r="AP54" s="522" t="str">
        <f ca="1">IF(AND('Mapa final'!$K$103="Media",'Mapa final'!$O$103="Mayor"),CONCATENATE("R",'Mapa final'!$A$103),"")</f>
        <v/>
      </c>
      <c r="AQ54" s="522"/>
      <c r="AR54" s="522" t="str">
        <f ca="1">IF(AND('Mapa final'!$K$106="Media",'Mapa final'!$O$106="Mayor"),CONCATENATE("R",'Mapa final'!$A$106),"")</f>
        <v/>
      </c>
      <c r="AS54" s="522"/>
      <c r="AT54" s="522" t="str">
        <f ca="1">IF(AND('Mapa final'!$K$109="Media",'Mapa final'!$O$109="Mayor"),CONCATENATE("R",'Mapa final'!$A$109),"")</f>
        <v/>
      </c>
      <c r="AU54" s="522"/>
      <c r="AV54" s="522" t="str">
        <f ca="1">IF(AND('Mapa final'!$K$112="Media",'Mapa final'!$O$112="Mayor"),CONCATENATE("R",'Mapa final'!$A$112),"")</f>
        <v>R35</v>
      </c>
      <c r="AW54" s="523"/>
      <c r="AX54" s="519" t="str">
        <f ca="1">IF(AND('Mapa final'!$K$100="Media",'Mapa final'!$O$100="Catastrófico"),CONCATENATE("R",'Mapa final'!$A$100),"")</f>
        <v/>
      </c>
      <c r="AY54" s="517"/>
      <c r="AZ54" s="517" t="str">
        <f ca="1">IF(AND('Mapa final'!$K$103="Media",'Mapa final'!$O$103="Catastrófico"),CONCATENATE("R",'Mapa final'!$A$103),"")</f>
        <v/>
      </c>
      <c r="BA54" s="517"/>
      <c r="BB54" s="517" t="str">
        <f ca="1">IF(AND('Mapa final'!$K$106="Media",'Mapa final'!$O$106="Catastrófico"),CONCATENATE("R",'Mapa final'!$A$106),"")</f>
        <v/>
      </c>
      <c r="BC54" s="517"/>
      <c r="BD54" s="517" t="str">
        <f ca="1">IF(AND('Mapa final'!$K$109="Media",'Mapa final'!$O$109="Catastrófico"),CONCATENATE("R",'Mapa final'!$A$109),"")</f>
        <v/>
      </c>
      <c r="BE54" s="517"/>
      <c r="BF54" s="517" t="str">
        <f ca="1">IF(AND('Mapa final'!$K$112="Media",'Mapa final'!$O$112="Catastrófico"),CONCATENATE("R",'Mapa final'!$A$112),"")</f>
        <v/>
      </c>
      <c r="BG54" s="518"/>
      <c r="BH54" s="38"/>
      <c r="BI54" s="578"/>
      <c r="BJ54" s="579"/>
      <c r="BK54" s="579"/>
      <c r="BL54" s="579"/>
      <c r="BM54" s="579"/>
      <c r="BN54" s="580"/>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row>
    <row r="55" spans="1:100" ht="15" customHeight="1" x14ac:dyDescent="0.25">
      <c r="A55" s="38"/>
      <c r="B55" s="355"/>
      <c r="C55" s="356"/>
      <c r="D55" s="357"/>
      <c r="E55" s="595"/>
      <c r="F55" s="596"/>
      <c r="G55" s="596"/>
      <c r="H55" s="596"/>
      <c r="I55" s="596"/>
      <c r="J55" s="521"/>
      <c r="K55" s="520"/>
      <c r="L55" s="520"/>
      <c r="M55" s="520"/>
      <c r="N55" s="520"/>
      <c r="O55" s="520"/>
      <c r="P55" s="520"/>
      <c r="Q55" s="520"/>
      <c r="R55" s="520"/>
      <c r="S55" s="525"/>
      <c r="T55" s="521"/>
      <c r="U55" s="520"/>
      <c r="V55" s="520"/>
      <c r="W55" s="520"/>
      <c r="X55" s="520"/>
      <c r="Y55" s="520"/>
      <c r="Z55" s="520"/>
      <c r="AA55" s="520"/>
      <c r="AB55" s="520"/>
      <c r="AC55" s="525"/>
      <c r="AD55" s="521"/>
      <c r="AE55" s="520"/>
      <c r="AF55" s="520"/>
      <c r="AG55" s="520"/>
      <c r="AH55" s="520"/>
      <c r="AI55" s="520"/>
      <c r="AJ55" s="520"/>
      <c r="AK55" s="520"/>
      <c r="AL55" s="520"/>
      <c r="AM55" s="520"/>
      <c r="AN55" s="524"/>
      <c r="AO55" s="522"/>
      <c r="AP55" s="522"/>
      <c r="AQ55" s="522"/>
      <c r="AR55" s="522"/>
      <c r="AS55" s="522"/>
      <c r="AT55" s="522"/>
      <c r="AU55" s="522"/>
      <c r="AV55" s="522"/>
      <c r="AW55" s="523"/>
      <c r="AX55" s="519"/>
      <c r="AY55" s="517"/>
      <c r="AZ55" s="517"/>
      <c r="BA55" s="517"/>
      <c r="BB55" s="517"/>
      <c r="BC55" s="517"/>
      <c r="BD55" s="517"/>
      <c r="BE55" s="517"/>
      <c r="BF55" s="517"/>
      <c r="BG55" s="518"/>
      <c r="BH55" s="38"/>
      <c r="BI55" s="578"/>
      <c r="BJ55" s="579"/>
      <c r="BK55" s="579"/>
      <c r="BL55" s="579"/>
      <c r="BM55" s="579"/>
      <c r="BN55" s="580"/>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row>
    <row r="56" spans="1:100" ht="15" customHeight="1" x14ac:dyDescent="0.25">
      <c r="A56" s="38"/>
      <c r="B56" s="355"/>
      <c r="C56" s="356"/>
      <c r="D56" s="357"/>
      <c r="E56" s="595"/>
      <c r="F56" s="596"/>
      <c r="G56" s="596"/>
      <c r="H56" s="596"/>
      <c r="I56" s="596"/>
      <c r="J56" s="521" t="str">
        <f ca="1">IF(AND('Mapa final'!$K$115="Media",'Mapa final'!$O$115="Leve"),CONCATENATE("R",'Mapa final'!$A$115),"")</f>
        <v/>
      </c>
      <c r="K56" s="520"/>
      <c r="L56" s="520" t="str">
        <f ca="1">IF(AND('Mapa final'!$K$118="Media",'Mapa final'!$O$118="Leve"),CONCATENATE("R",'Mapa final'!$A$118),"")</f>
        <v/>
      </c>
      <c r="M56" s="520"/>
      <c r="N56" s="520" t="str">
        <f ca="1">IF(AND('Mapa final'!$K$121="Media",'Mapa final'!$O$121="Leve"),CONCATENATE("R",'Mapa final'!$A$121),"")</f>
        <v/>
      </c>
      <c r="O56" s="520"/>
      <c r="P56" s="520" t="str">
        <f ca="1">IF(AND('Mapa final'!$K$124="Media",'Mapa final'!$O$124="Leve"),CONCATENATE("R",'Mapa final'!$A$124),"")</f>
        <v/>
      </c>
      <c r="Q56" s="520"/>
      <c r="R56" s="520" t="str">
        <f ca="1">IF(AND('Mapa final'!$K$127="Media",'Mapa final'!$O$127="Leve"),CONCATENATE("R",'Mapa final'!$A$127),"")</f>
        <v/>
      </c>
      <c r="S56" s="525"/>
      <c r="T56" s="521" t="str">
        <f ca="1">IF(AND('Mapa final'!$K$115="Media",'Mapa final'!$O$115="Menor"),CONCATENATE("R",'Mapa final'!$A$115),"")</f>
        <v/>
      </c>
      <c r="U56" s="520"/>
      <c r="V56" s="520" t="str">
        <f ca="1">IF(AND('Mapa final'!$K$118="Media",'Mapa final'!$O$118="Menor"),CONCATENATE("R",'Mapa final'!$A$118),"")</f>
        <v/>
      </c>
      <c r="W56" s="520"/>
      <c r="X56" s="520" t="str">
        <f ca="1">IF(AND('Mapa final'!$K$121="Media",'Mapa final'!$O$121="Menor"),CONCATENATE("R",'Mapa final'!$A$121),"")</f>
        <v/>
      </c>
      <c r="Y56" s="520"/>
      <c r="Z56" s="520" t="str">
        <f ca="1">IF(AND('Mapa final'!$K$124="Media",'Mapa final'!$O$124="Menor"),CONCATENATE("R",'Mapa final'!$A$124),"")</f>
        <v/>
      </c>
      <c r="AA56" s="520"/>
      <c r="AB56" s="520" t="str">
        <f ca="1">IF(AND('Mapa final'!$K$127="Media",'Mapa final'!$O$127="Menor"),CONCATENATE("R",'Mapa final'!$A$127),"")</f>
        <v/>
      </c>
      <c r="AC56" s="525"/>
      <c r="AD56" s="521" t="str">
        <f ca="1">IF(AND('Mapa final'!$K$115="Media",'Mapa final'!$O$115="Moderado"),CONCATENATE("R",'Mapa final'!$A$115),"")</f>
        <v/>
      </c>
      <c r="AE56" s="520"/>
      <c r="AF56" s="520" t="str">
        <f ca="1">IF(AND('Mapa final'!$K$118="Media",'Mapa final'!$O$118="Moderado"),CONCATENATE("R",'Mapa final'!$A$118),"")</f>
        <v>R37</v>
      </c>
      <c r="AG56" s="520"/>
      <c r="AH56" s="520" t="str">
        <f ca="1">IF(AND('Mapa final'!$K$121="Media",'Mapa final'!$O$121="Moderado"),CONCATENATE("R",'Mapa final'!$A$121),"")</f>
        <v/>
      </c>
      <c r="AI56" s="520"/>
      <c r="AJ56" s="520" t="str">
        <f ca="1">IF(AND('Mapa final'!$K$124="Media",'Mapa final'!$O$124="Moderado"),CONCATENATE("R",'Mapa final'!$A$124),"")</f>
        <v/>
      </c>
      <c r="AK56" s="520"/>
      <c r="AL56" s="520" t="str">
        <f ca="1">IF(AND('Mapa final'!$K$127="Media",'Mapa final'!$O$127="Moderado"),CONCATENATE("R",'Mapa final'!$A$127),"")</f>
        <v/>
      </c>
      <c r="AM56" s="520"/>
      <c r="AN56" s="524" t="str">
        <f ca="1">IF(AND('Mapa final'!$K$115="Media",'Mapa final'!$O$115="Mayor"),CONCATENATE("R",'Mapa final'!$A$115),"")</f>
        <v/>
      </c>
      <c r="AO56" s="522"/>
      <c r="AP56" s="522" t="str">
        <f ca="1">IF(AND('Mapa final'!$K$118="Media",'Mapa final'!$O$118="Mayor"),CONCATENATE("R",'Mapa final'!$A$118),"")</f>
        <v/>
      </c>
      <c r="AQ56" s="522"/>
      <c r="AR56" s="522" t="str">
        <f ca="1">IF(AND('Mapa final'!$K$121="Media",'Mapa final'!$O$121="Mayor"),CONCATENATE("R",'Mapa final'!$A$121),"")</f>
        <v>R38</v>
      </c>
      <c r="AS56" s="522"/>
      <c r="AT56" s="522" t="str">
        <f ca="1">IF(AND('Mapa final'!$K$124="Media",'Mapa final'!$O$124="Mayor"),CONCATENATE("R",'Mapa final'!$A$124),"")</f>
        <v>R39</v>
      </c>
      <c r="AU56" s="522"/>
      <c r="AV56" s="522" t="str">
        <f ca="1">IF(AND('Mapa final'!$K$127="Media",'Mapa final'!$O$127="Mayor"),CONCATENATE("R",'Mapa final'!$A$127),"")</f>
        <v/>
      </c>
      <c r="AW56" s="523"/>
      <c r="AX56" s="519" t="str">
        <f ca="1">IF(AND('Mapa final'!$K$115="Media",'Mapa final'!$O$115="Catastrófico"),CONCATENATE("R",'Mapa final'!$A$115),"")</f>
        <v/>
      </c>
      <c r="AY56" s="517"/>
      <c r="AZ56" s="517" t="str">
        <f ca="1">IF(AND('Mapa final'!$K$118="Media",'Mapa final'!$O$118="Catastrófico"),CONCATENATE("R",'Mapa final'!$A$118),"")</f>
        <v/>
      </c>
      <c r="BA56" s="517"/>
      <c r="BB56" s="517" t="str">
        <f ca="1">IF(AND('Mapa final'!$K$121="Media",'Mapa final'!$O$121="Catastrófico"),CONCATENATE("R",'Mapa final'!$A$121),"")</f>
        <v/>
      </c>
      <c r="BC56" s="517"/>
      <c r="BD56" s="517" t="str">
        <f ca="1">IF(AND('Mapa final'!$K$124="Media",'Mapa final'!$O$124="Catastrófico"),CONCATENATE("R",'Mapa final'!$A$124),"")</f>
        <v/>
      </c>
      <c r="BE56" s="517"/>
      <c r="BF56" s="517" t="str">
        <f ca="1">IF(AND('Mapa final'!$K$127="Media",'Mapa final'!$O$127="Catastrófico"),CONCATENATE("R",'Mapa final'!$A$127),"")</f>
        <v/>
      </c>
      <c r="BG56" s="518"/>
      <c r="BH56" s="38"/>
      <c r="BI56" s="578"/>
      <c r="BJ56" s="579"/>
      <c r="BK56" s="579"/>
      <c r="BL56" s="579"/>
      <c r="BM56" s="579"/>
      <c r="BN56" s="580"/>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row>
    <row r="57" spans="1:100" ht="15" customHeight="1" x14ac:dyDescent="0.25">
      <c r="A57" s="38"/>
      <c r="B57" s="355"/>
      <c r="C57" s="356"/>
      <c r="D57" s="357"/>
      <c r="E57" s="595"/>
      <c r="F57" s="596"/>
      <c r="G57" s="596"/>
      <c r="H57" s="596"/>
      <c r="I57" s="596"/>
      <c r="J57" s="521"/>
      <c r="K57" s="520"/>
      <c r="L57" s="520"/>
      <c r="M57" s="520"/>
      <c r="N57" s="520"/>
      <c r="O57" s="520"/>
      <c r="P57" s="520"/>
      <c r="Q57" s="520"/>
      <c r="R57" s="520"/>
      <c r="S57" s="525"/>
      <c r="T57" s="521"/>
      <c r="U57" s="520"/>
      <c r="V57" s="520"/>
      <c r="W57" s="520"/>
      <c r="X57" s="520"/>
      <c r="Y57" s="520"/>
      <c r="Z57" s="520"/>
      <c r="AA57" s="520"/>
      <c r="AB57" s="520"/>
      <c r="AC57" s="525"/>
      <c r="AD57" s="521"/>
      <c r="AE57" s="520"/>
      <c r="AF57" s="520"/>
      <c r="AG57" s="520"/>
      <c r="AH57" s="520"/>
      <c r="AI57" s="520"/>
      <c r="AJ57" s="520"/>
      <c r="AK57" s="520"/>
      <c r="AL57" s="520"/>
      <c r="AM57" s="520"/>
      <c r="AN57" s="524"/>
      <c r="AO57" s="522"/>
      <c r="AP57" s="522"/>
      <c r="AQ57" s="522"/>
      <c r="AR57" s="522"/>
      <c r="AS57" s="522"/>
      <c r="AT57" s="522"/>
      <c r="AU57" s="522"/>
      <c r="AV57" s="522"/>
      <c r="AW57" s="523"/>
      <c r="AX57" s="519"/>
      <c r="AY57" s="517"/>
      <c r="AZ57" s="517"/>
      <c r="BA57" s="517"/>
      <c r="BB57" s="517"/>
      <c r="BC57" s="517"/>
      <c r="BD57" s="517"/>
      <c r="BE57" s="517"/>
      <c r="BF57" s="517"/>
      <c r="BG57" s="518"/>
      <c r="BH57" s="38"/>
      <c r="BI57" s="578"/>
      <c r="BJ57" s="579"/>
      <c r="BK57" s="579"/>
      <c r="BL57" s="579"/>
      <c r="BM57" s="579"/>
      <c r="BN57" s="580"/>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row>
    <row r="58" spans="1:100" ht="15" customHeight="1" x14ac:dyDescent="0.25">
      <c r="A58" s="38"/>
      <c r="B58" s="355"/>
      <c r="C58" s="356"/>
      <c r="D58" s="357"/>
      <c r="E58" s="595"/>
      <c r="F58" s="596"/>
      <c r="G58" s="596"/>
      <c r="H58" s="596"/>
      <c r="I58" s="596"/>
      <c r="J58" s="521" t="str">
        <f ca="1">IF(AND('Mapa final'!$K$130="Media",'Mapa final'!$O$130="Leve"),CONCATENATE("R",'Mapa final'!$A$130),"")</f>
        <v/>
      </c>
      <c r="K58" s="520"/>
      <c r="L58" s="520" t="str">
        <f ca="1">IF(AND('Mapa final'!$K$133="Media",'Mapa final'!$O$133="Leve"),CONCATENATE("R",'Mapa final'!$A$133),"")</f>
        <v/>
      </c>
      <c r="M58" s="520"/>
      <c r="N58" s="520" t="str">
        <f ca="1">IF(AND('Mapa final'!$K$136="Media",'Mapa final'!$O$136="Leve"),CONCATENATE("R",'Mapa final'!$A$136),"")</f>
        <v/>
      </c>
      <c r="O58" s="520"/>
      <c r="P58" s="520" t="str">
        <f>IF(AND('Mapa final'!$K$139="Media",'Mapa final'!$O$139="Leve"),CONCATENATE("R",'Mapa final'!$A$139),"")</f>
        <v/>
      </c>
      <c r="Q58" s="520"/>
      <c r="R58" s="520" t="str">
        <f>IF(AND('Mapa final'!$K$142="Media",'Mapa final'!$O$142="Leve"),CONCATENATE("R",'Mapa final'!$A$142),"")</f>
        <v/>
      </c>
      <c r="S58" s="525"/>
      <c r="T58" s="521" t="str">
        <f ca="1">IF(AND('Mapa final'!$K$130="Media",'Mapa final'!$O$130="Menor"),CONCATENATE("R",'Mapa final'!$A$130),"")</f>
        <v/>
      </c>
      <c r="U58" s="520"/>
      <c r="V58" s="520" t="str">
        <f ca="1">IF(AND('Mapa final'!$K$133="Media",'Mapa final'!$O$133="Menor"),CONCATENATE("R",'Mapa final'!$A$133),"")</f>
        <v/>
      </c>
      <c r="W58" s="520"/>
      <c r="X58" s="520" t="str">
        <f ca="1">IF(AND('Mapa final'!$K$136="Media",'Mapa final'!$O$136="Menor"),CONCATENATE("R",'Mapa final'!$A$136),"")</f>
        <v/>
      </c>
      <c r="Y58" s="520"/>
      <c r="Z58" s="520" t="str">
        <f>IF(AND('Mapa final'!$K$139="Media",'Mapa final'!$O$139="Menor"),CONCATENATE("R",'Mapa final'!$A$139),"")</f>
        <v/>
      </c>
      <c r="AA58" s="520"/>
      <c r="AB58" s="520" t="str">
        <f>IF(AND('Mapa final'!$K$142="Media",'Mapa final'!$O$142="Menor"),CONCATENATE("R",'Mapa final'!$A$142),"")</f>
        <v/>
      </c>
      <c r="AC58" s="525"/>
      <c r="AD58" s="521" t="str">
        <f ca="1">IF(AND('Mapa final'!$K$130="Media",'Mapa final'!$O$130="Moderado"),CONCATENATE("R",'Mapa final'!$A$130),"")</f>
        <v/>
      </c>
      <c r="AE58" s="520"/>
      <c r="AF58" s="520" t="str">
        <f ca="1">IF(AND('Mapa final'!$K$133="Media",'Mapa final'!$O$133="Moderado"),CONCATENATE("R",'Mapa final'!$A$133),"")</f>
        <v/>
      </c>
      <c r="AG58" s="520"/>
      <c r="AH58" s="520" t="str">
        <f ca="1">IF(AND('Mapa final'!$K$136="Media",'Mapa final'!$O$136="Moderado"),CONCATENATE("R",'Mapa final'!$A$136),"")</f>
        <v/>
      </c>
      <c r="AI58" s="520"/>
      <c r="AJ58" s="520" t="str">
        <f>IF(AND('Mapa final'!$K$139="Media",'Mapa final'!$O$139="Moderado"),CONCATENATE("R",'Mapa final'!$A$139),"")</f>
        <v/>
      </c>
      <c r="AK58" s="520"/>
      <c r="AL58" s="520" t="str">
        <f>IF(AND('Mapa final'!$K$142="Media",'Mapa final'!$O$142="Moderado"),CONCATENATE("R",'Mapa final'!$A$142),"")</f>
        <v/>
      </c>
      <c r="AM58" s="520"/>
      <c r="AN58" s="524" t="str">
        <f ca="1">IF(AND('Mapa final'!$K$130="Media",'Mapa final'!$O$130="Mayor"),CONCATENATE("R",'Mapa final'!$A$130),"")</f>
        <v/>
      </c>
      <c r="AO58" s="522"/>
      <c r="AP58" s="522" t="str">
        <f ca="1">IF(AND('Mapa final'!$K$133="Media",'Mapa final'!$O$133="Mayor"),CONCATENATE("R",'Mapa final'!$A$133),"")</f>
        <v/>
      </c>
      <c r="AQ58" s="522"/>
      <c r="AR58" s="522" t="str">
        <f ca="1">IF(AND('Mapa final'!$K$136="Media",'Mapa final'!$O$136="Mayor"),CONCATENATE("R",'Mapa final'!$A$136),"")</f>
        <v/>
      </c>
      <c r="AS58" s="522"/>
      <c r="AT58" s="522" t="str">
        <f>IF(AND('Mapa final'!$K$139="Media",'Mapa final'!$O$139="Mayor"),CONCATENATE("R",'Mapa final'!$A$139),"")</f>
        <v/>
      </c>
      <c r="AU58" s="522"/>
      <c r="AV58" s="522" t="str">
        <f>IF(AND('Mapa final'!$K$142="Media",'Mapa final'!$O$142="Mayor"),CONCATENATE("R",'Mapa final'!$A$142),"")</f>
        <v/>
      </c>
      <c r="AW58" s="523"/>
      <c r="AX58" s="519" t="str">
        <f ca="1">IF(AND('Mapa final'!$K$130="Media",'Mapa final'!$O$130="Catastrófico"),CONCATENATE("R",'Mapa final'!$A$130),"")</f>
        <v/>
      </c>
      <c r="AY58" s="517"/>
      <c r="AZ58" s="517" t="str">
        <f ca="1">IF(AND('Mapa final'!$K$133="Media",'Mapa final'!$O$133="Catastrófico"),CONCATENATE("R",'Mapa final'!$A$133),"")</f>
        <v/>
      </c>
      <c r="BA58" s="517"/>
      <c r="BB58" s="517" t="str">
        <f ca="1">IF(AND('Mapa final'!$K$136="Media",'Mapa final'!$O$136="Catastrófico"),CONCATENATE("R",'Mapa final'!$A$136),"")</f>
        <v/>
      </c>
      <c r="BC58" s="517"/>
      <c r="BD58" s="517" t="str">
        <f>IF(AND('Mapa final'!$K$139="Media",'Mapa final'!$O$139="Catastrófico"),CONCATENATE("R",'Mapa final'!$A$139),"")</f>
        <v/>
      </c>
      <c r="BE58" s="517"/>
      <c r="BF58" s="517" t="str">
        <f>IF(AND('Mapa final'!$K$142="Media",'Mapa final'!$O$142="Catastrófico"),CONCATENATE("R",'Mapa final'!$A$142),"")</f>
        <v/>
      </c>
      <c r="BG58" s="518"/>
      <c r="BH58" s="38"/>
      <c r="BI58" s="578"/>
      <c r="BJ58" s="579"/>
      <c r="BK58" s="579"/>
      <c r="BL58" s="579"/>
      <c r="BM58" s="579"/>
      <c r="BN58" s="580"/>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row>
    <row r="59" spans="1:100" ht="15" customHeight="1" thickBot="1" x14ac:dyDescent="0.3">
      <c r="A59" s="38"/>
      <c r="B59" s="355"/>
      <c r="C59" s="356"/>
      <c r="D59" s="357"/>
      <c r="E59" s="595"/>
      <c r="F59" s="596"/>
      <c r="G59" s="596"/>
      <c r="H59" s="596"/>
      <c r="I59" s="596"/>
      <c r="J59" s="521"/>
      <c r="K59" s="520"/>
      <c r="L59" s="520"/>
      <c r="M59" s="520"/>
      <c r="N59" s="520"/>
      <c r="O59" s="520"/>
      <c r="P59" s="520"/>
      <c r="Q59" s="520"/>
      <c r="R59" s="520"/>
      <c r="S59" s="525"/>
      <c r="T59" s="521"/>
      <c r="U59" s="520"/>
      <c r="V59" s="520"/>
      <c r="W59" s="520"/>
      <c r="X59" s="520"/>
      <c r="Y59" s="520"/>
      <c r="Z59" s="520"/>
      <c r="AA59" s="520"/>
      <c r="AB59" s="520"/>
      <c r="AC59" s="525"/>
      <c r="AD59" s="521"/>
      <c r="AE59" s="520"/>
      <c r="AF59" s="520"/>
      <c r="AG59" s="520"/>
      <c r="AH59" s="520"/>
      <c r="AI59" s="520"/>
      <c r="AJ59" s="520"/>
      <c r="AK59" s="520"/>
      <c r="AL59" s="520"/>
      <c r="AM59" s="520"/>
      <c r="AN59" s="541"/>
      <c r="AO59" s="527"/>
      <c r="AP59" s="527"/>
      <c r="AQ59" s="527"/>
      <c r="AR59" s="527"/>
      <c r="AS59" s="527"/>
      <c r="AT59" s="527"/>
      <c r="AU59" s="527"/>
      <c r="AV59" s="527"/>
      <c r="AW59" s="553"/>
      <c r="AX59" s="542"/>
      <c r="AY59" s="543"/>
      <c r="AZ59" s="543"/>
      <c r="BA59" s="543"/>
      <c r="BB59" s="543"/>
      <c r="BC59" s="543"/>
      <c r="BD59" s="543"/>
      <c r="BE59" s="543"/>
      <c r="BF59" s="543"/>
      <c r="BG59" s="544"/>
      <c r="BH59" s="38"/>
      <c r="BI59" s="578"/>
      <c r="BJ59" s="579"/>
      <c r="BK59" s="579"/>
      <c r="BL59" s="579"/>
      <c r="BM59" s="579"/>
      <c r="BN59" s="580"/>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row>
    <row r="60" spans="1:100" ht="15" customHeight="1" x14ac:dyDescent="0.25">
      <c r="A60" s="38"/>
      <c r="B60" s="355"/>
      <c r="C60" s="356"/>
      <c r="D60" s="357"/>
      <c r="E60" s="593" t="s">
        <v>105</v>
      </c>
      <c r="F60" s="594"/>
      <c r="G60" s="594"/>
      <c r="H60" s="594"/>
      <c r="I60" s="594"/>
      <c r="J60" s="555" t="str">
        <f ca="1">IF(AND('Mapa final'!$K$7="Baja",'Mapa final'!$O$7="Leve"),CONCATENATE("R",'Mapa final'!$A$7),"")</f>
        <v/>
      </c>
      <c r="K60" s="552"/>
      <c r="L60" s="552" t="str">
        <f ca="1">IF(AND('Mapa final'!$K$10="Baja",'Mapa final'!$O$10="Leve"),CONCATENATE("R",'Mapa final'!$A$10),"")</f>
        <v/>
      </c>
      <c r="M60" s="552"/>
      <c r="N60" s="552" t="str">
        <f ca="1">IF(AND('Mapa final'!$K$13="Baja",'Mapa final'!$O$13="Leve"),CONCATENATE("R",'Mapa final'!$A$13),"")</f>
        <v/>
      </c>
      <c r="O60" s="552"/>
      <c r="P60" s="552" t="str">
        <f ca="1">IF(AND('Mapa final'!$K$16="Baja",'Mapa final'!$O$16="Leve"),CONCATENATE("R",'Mapa final'!$A$16),"")</f>
        <v/>
      </c>
      <c r="Q60" s="552"/>
      <c r="R60" s="552" t="str">
        <f ca="1">IF(AND('Mapa final'!$K$19="Baja",'Mapa final'!$O$19="Leve"),CONCATENATE("R",'Mapa final'!$A$19),"")</f>
        <v/>
      </c>
      <c r="S60" s="552"/>
      <c r="T60" s="528" t="str">
        <f ca="1">IF(AND('Mapa final'!$K$7="Baja",'Mapa final'!$O$7="Menor"),CONCATENATE("R",'Mapa final'!$A$7),"")</f>
        <v/>
      </c>
      <c r="U60" s="529"/>
      <c r="V60" s="529" t="str">
        <f ca="1">IF(AND('Mapa final'!$K$10="Baja",'Mapa final'!$O$10="Menor"),CONCATENATE("R",'Mapa final'!$A$10),"")</f>
        <v/>
      </c>
      <c r="W60" s="529"/>
      <c r="X60" s="529" t="str">
        <f ca="1">IF(AND('Mapa final'!$K$13="Baja",'Mapa final'!$O$13="Menor"),CONCATENATE("R",'Mapa final'!$A$13),"")</f>
        <v/>
      </c>
      <c r="Y60" s="529"/>
      <c r="Z60" s="529" t="str">
        <f ca="1">IF(AND('Mapa final'!$K$16="Baja",'Mapa final'!$O$16="Menor"),CONCATENATE("R",'Mapa final'!$A$16),"")</f>
        <v/>
      </c>
      <c r="AA60" s="529"/>
      <c r="AB60" s="529" t="str">
        <f ca="1">IF(AND('Mapa final'!$K$19="Baja",'Mapa final'!$O$19="Menor"),CONCATENATE("R",'Mapa final'!$A$19),"")</f>
        <v/>
      </c>
      <c r="AC60" s="529"/>
      <c r="AD60" s="528" t="str">
        <f ca="1">IF(AND('Mapa final'!$K$7="Baja",'Mapa final'!$O$7="Moderado"),CONCATENATE("R",'Mapa final'!$A$7),"")</f>
        <v/>
      </c>
      <c r="AE60" s="529"/>
      <c r="AF60" s="529" t="str">
        <f ca="1">IF(AND('Mapa final'!$K$10="Baja",'Mapa final'!$O$10="Moderado"),CONCATENATE("R",'Mapa final'!$A$10),"")</f>
        <v/>
      </c>
      <c r="AG60" s="529"/>
      <c r="AH60" s="529" t="str">
        <f ca="1">IF(AND('Mapa final'!$K$13="Baja",'Mapa final'!$O$13="Moderado"),CONCATENATE("R",'Mapa final'!$A$13),"")</f>
        <v/>
      </c>
      <c r="AI60" s="529"/>
      <c r="AJ60" s="529" t="str">
        <f ca="1">IF(AND('Mapa final'!$K$16="Baja",'Mapa final'!$O$16="Moderado"),CONCATENATE("R",'Mapa final'!$A$16),"")</f>
        <v/>
      </c>
      <c r="AK60" s="529"/>
      <c r="AL60" s="529" t="str">
        <f ca="1">IF(AND('Mapa final'!$K$19="Baja",'Mapa final'!$O$19="Moderado"),CONCATENATE("R",'Mapa final'!$A$19),"")</f>
        <v/>
      </c>
      <c r="AM60" s="538"/>
      <c r="AN60" s="522" t="str">
        <f ca="1">IF(AND('Mapa final'!$K$7="Baja",'Mapa final'!$O$7="Mayor"),CONCATENATE("R",'Mapa final'!$A$7),"")</f>
        <v/>
      </c>
      <c r="AO60" s="522"/>
      <c r="AP60" s="522" t="str">
        <f ca="1">IF(AND('Mapa final'!$K$10="Baja",'Mapa final'!$O$10="Mayor"),CONCATENATE("R",'Mapa final'!$A$10),"")</f>
        <v/>
      </c>
      <c r="AQ60" s="522"/>
      <c r="AR60" s="522" t="str">
        <f ca="1">IF(AND('Mapa final'!$K$13="Baja",'Mapa final'!$O$13="Mayor"),CONCATENATE("R",'Mapa final'!$A$13),"")</f>
        <v/>
      </c>
      <c r="AS60" s="522"/>
      <c r="AT60" s="522" t="str">
        <f ca="1">IF(AND('Mapa final'!$K$16="Baja",'Mapa final'!$O$16="Mayor"),CONCATENATE("R",'Mapa final'!$A$16),"")</f>
        <v/>
      </c>
      <c r="AU60" s="522"/>
      <c r="AV60" s="522" t="str">
        <f ca="1">IF(AND('Mapa final'!$K$19="Baja",'Mapa final'!$O$19="Mayor"),CONCATENATE("R",'Mapa final'!$A$19),"")</f>
        <v/>
      </c>
      <c r="AW60" s="522"/>
      <c r="AX60" s="548" t="str">
        <f ca="1">IF(AND('Mapa final'!$K$7="Baja",'Mapa final'!$O$7="Catastrófico"),CONCATENATE("R",'Mapa final'!$A$7),"")</f>
        <v/>
      </c>
      <c r="AY60" s="549"/>
      <c r="AZ60" s="549" t="str">
        <f ca="1">IF(AND('Mapa final'!$K$10="Baja",'Mapa final'!$O$10="Catastrófico"),CONCATENATE("R",'Mapa final'!$A$10),"")</f>
        <v/>
      </c>
      <c r="BA60" s="549"/>
      <c r="BB60" s="549" t="str">
        <f ca="1">IF(AND('Mapa final'!$K$13="Baja",'Mapa final'!$O$13="Catastrófico"),CONCATENATE("R",'Mapa final'!$A$13),"")</f>
        <v/>
      </c>
      <c r="BC60" s="549"/>
      <c r="BD60" s="549" t="str">
        <f ca="1">IF(AND('Mapa final'!$K$16="Baja",'Mapa final'!$O$16="Catastrófico"),CONCATENATE("R",'Mapa final'!$A$16),"")</f>
        <v/>
      </c>
      <c r="BE60" s="549"/>
      <c r="BF60" s="549" t="str">
        <f ca="1">IF(AND('Mapa final'!$K$19="Baja",'Mapa final'!$O$19="Catastrófico"),CONCATENATE("R",'Mapa final'!$A$19),"")</f>
        <v/>
      </c>
      <c r="BG60" s="550"/>
      <c r="BH60" s="38"/>
      <c r="BI60" s="578"/>
      <c r="BJ60" s="579"/>
      <c r="BK60" s="579"/>
      <c r="BL60" s="579"/>
      <c r="BM60" s="579"/>
      <c r="BN60" s="580"/>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row>
    <row r="61" spans="1:100" ht="15" customHeight="1" x14ac:dyDescent="0.25">
      <c r="A61" s="38"/>
      <c r="B61" s="355"/>
      <c r="C61" s="356"/>
      <c r="D61" s="357"/>
      <c r="E61" s="595"/>
      <c r="F61" s="596"/>
      <c r="G61" s="596"/>
      <c r="H61" s="596"/>
      <c r="I61" s="596"/>
      <c r="J61" s="514"/>
      <c r="K61" s="515"/>
      <c r="L61" s="515"/>
      <c r="M61" s="515"/>
      <c r="N61" s="515"/>
      <c r="O61" s="515"/>
      <c r="P61" s="515"/>
      <c r="Q61" s="515"/>
      <c r="R61" s="515"/>
      <c r="S61" s="515"/>
      <c r="T61" s="521"/>
      <c r="U61" s="520"/>
      <c r="V61" s="520"/>
      <c r="W61" s="520"/>
      <c r="X61" s="520"/>
      <c r="Y61" s="520"/>
      <c r="Z61" s="520"/>
      <c r="AA61" s="520"/>
      <c r="AB61" s="520"/>
      <c r="AC61" s="520"/>
      <c r="AD61" s="521"/>
      <c r="AE61" s="520"/>
      <c r="AF61" s="520"/>
      <c r="AG61" s="520"/>
      <c r="AH61" s="520"/>
      <c r="AI61" s="520"/>
      <c r="AJ61" s="520"/>
      <c r="AK61" s="520"/>
      <c r="AL61" s="520"/>
      <c r="AM61" s="525"/>
      <c r="AN61" s="522"/>
      <c r="AO61" s="522"/>
      <c r="AP61" s="522"/>
      <c r="AQ61" s="522"/>
      <c r="AR61" s="522"/>
      <c r="AS61" s="522"/>
      <c r="AT61" s="522"/>
      <c r="AU61" s="522"/>
      <c r="AV61" s="522"/>
      <c r="AW61" s="522"/>
      <c r="AX61" s="519"/>
      <c r="AY61" s="517"/>
      <c r="AZ61" s="517"/>
      <c r="BA61" s="517"/>
      <c r="BB61" s="517"/>
      <c r="BC61" s="517"/>
      <c r="BD61" s="517"/>
      <c r="BE61" s="517"/>
      <c r="BF61" s="517"/>
      <c r="BG61" s="518"/>
      <c r="BH61" s="38"/>
      <c r="BI61" s="578"/>
      <c r="BJ61" s="579"/>
      <c r="BK61" s="579"/>
      <c r="BL61" s="579"/>
      <c r="BM61" s="579"/>
      <c r="BN61" s="580"/>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row>
    <row r="62" spans="1:100" ht="15" customHeight="1" x14ac:dyDescent="0.25">
      <c r="A62" s="38"/>
      <c r="B62" s="355"/>
      <c r="C62" s="356"/>
      <c r="D62" s="357"/>
      <c r="E62" s="595"/>
      <c r="F62" s="596"/>
      <c r="G62" s="596"/>
      <c r="H62" s="596"/>
      <c r="I62" s="596"/>
      <c r="J62" s="514" t="str">
        <f ca="1">IF(AND('Mapa final'!$K$22="Baja",'Mapa final'!$O$22="Leve"),CONCATENATE("R",'Mapa final'!$A$22),"")</f>
        <v/>
      </c>
      <c r="K62" s="515"/>
      <c r="L62" s="515" t="str">
        <f ca="1">IF(AND('Mapa final'!$K$25="Baja",'Mapa final'!$O$25="Leve"),CONCATENATE("R",'Mapa final'!$A$25),"")</f>
        <v/>
      </c>
      <c r="M62" s="515"/>
      <c r="N62" s="515" t="str">
        <f ca="1">IF(AND('Mapa final'!$K$28="Baja",'Mapa final'!$O$28="Leve"),CONCATENATE("R",'Mapa final'!$A$28),"")</f>
        <v/>
      </c>
      <c r="O62" s="515"/>
      <c r="P62" s="515" t="str">
        <f ca="1">IF(AND('Mapa final'!$K$31="Baja",'Mapa final'!$O$31="Leve"),CONCATENATE("R",'Mapa final'!$A$31),"")</f>
        <v/>
      </c>
      <c r="Q62" s="515"/>
      <c r="R62" s="515" t="str">
        <f ca="1">IF(AND('Mapa final'!$K$34="Baja",'Mapa final'!$O$34="Leve"),CONCATENATE("R",'Mapa final'!$A$34),"")</f>
        <v/>
      </c>
      <c r="S62" s="515"/>
      <c r="T62" s="521" t="str">
        <f ca="1">IF(AND('Mapa final'!$K$22="Baja",'Mapa final'!$O$22="Menor"),CONCATENATE("R",'Mapa final'!$A$22),"")</f>
        <v/>
      </c>
      <c r="U62" s="520"/>
      <c r="V62" s="520" t="str">
        <f ca="1">IF(AND('Mapa final'!$K$25="Baja",'Mapa final'!$O$25="Menor"),CONCATENATE("R",'Mapa final'!$A$25),"")</f>
        <v/>
      </c>
      <c r="W62" s="520"/>
      <c r="X62" s="520" t="str">
        <f ca="1">IF(AND('Mapa final'!$K$28="Baja",'Mapa final'!$O$28="Menor"),CONCATENATE("R",'Mapa final'!$A$28),"")</f>
        <v/>
      </c>
      <c r="Y62" s="520"/>
      <c r="Z62" s="520" t="str">
        <f ca="1">IF(AND('Mapa final'!$K$31="Baja",'Mapa final'!$O$31="Menor"),CONCATENATE("R",'Mapa final'!$A$31),"")</f>
        <v/>
      </c>
      <c r="AA62" s="520"/>
      <c r="AB62" s="520" t="str">
        <f ca="1">IF(AND('Mapa final'!$K$34="Baja",'Mapa final'!$O$34="Menor"),CONCATENATE("R",'Mapa final'!$A$34),"")</f>
        <v/>
      </c>
      <c r="AC62" s="520"/>
      <c r="AD62" s="521" t="str">
        <f ca="1">IF(AND('Mapa final'!$K$22="Baja",'Mapa final'!$O$22="Moderado"),CONCATENATE("R",'Mapa final'!$A$22),"")</f>
        <v/>
      </c>
      <c r="AE62" s="520"/>
      <c r="AF62" s="520" t="str">
        <f ca="1">IF(AND('Mapa final'!$K$25="Baja",'Mapa final'!$O$25="Moderado"),CONCATENATE("R",'Mapa final'!$A$25),"")</f>
        <v/>
      </c>
      <c r="AG62" s="520"/>
      <c r="AH62" s="520" t="str">
        <f ca="1">IF(AND('Mapa final'!$K$28="Baja",'Mapa final'!$O$28="Moderado"),CONCATENATE("R",'Mapa final'!$A$28),"")</f>
        <v>R8</v>
      </c>
      <c r="AI62" s="520"/>
      <c r="AJ62" s="520" t="str">
        <f ca="1">IF(AND('Mapa final'!$K$31="Baja",'Mapa final'!$O$31="Moderado"),CONCATENATE("R",'Mapa final'!$A$31),"")</f>
        <v>R9</v>
      </c>
      <c r="AK62" s="520"/>
      <c r="AL62" s="520" t="str">
        <f ca="1">IF(AND('Mapa final'!$K$34="Baja",'Mapa final'!$O$34="Moderado"),CONCATENATE("R",'Mapa final'!$A$34),"")</f>
        <v/>
      </c>
      <c r="AM62" s="525"/>
      <c r="AN62" s="522" t="str">
        <f ca="1">IF(AND('Mapa final'!$K$22="Baja",'Mapa final'!$O$22="Mayor"),CONCATENATE("R",'Mapa final'!$A$22),"")</f>
        <v/>
      </c>
      <c r="AO62" s="522"/>
      <c r="AP62" s="522" t="str">
        <f ca="1">IF(AND('Mapa final'!$K$25="Baja",'Mapa final'!$O$25="Mayor"),CONCATENATE("R",'Mapa final'!$A$25),"")</f>
        <v>R7</v>
      </c>
      <c r="AQ62" s="522"/>
      <c r="AR62" s="522" t="str">
        <f ca="1">IF(AND('Mapa final'!$K$28="Baja",'Mapa final'!$O$28="Mayor"),CONCATENATE("R",'Mapa final'!$A$28),"")</f>
        <v/>
      </c>
      <c r="AS62" s="522"/>
      <c r="AT62" s="522" t="str">
        <f ca="1">IF(AND('Mapa final'!$K$31="Baja",'Mapa final'!$O$31="Mayor"),CONCATENATE("R",'Mapa final'!$A$31),"")</f>
        <v/>
      </c>
      <c r="AU62" s="522"/>
      <c r="AV62" s="522" t="str">
        <f ca="1">IF(AND('Mapa final'!$K$34="Baja",'Mapa final'!$O$34="Mayor"),CONCATENATE("R",'Mapa final'!$A$34),"")</f>
        <v/>
      </c>
      <c r="AW62" s="522"/>
      <c r="AX62" s="519" t="str">
        <f ca="1">IF(AND('Mapa final'!$K$22="Baja",'Mapa final'!$O$22="Catastrófico"),CONCATENATE("R",'Mapa final'!$A$22),"")</f>
        <v/>
      </c>
      <c r="AY62" s="517"/>
      <c r="AZ62" s="517" t="str">
        <f ca="1">IF(AND('Mapa final'!$K$25="Baja",'Mapa final'!$O$25="Catastrófico"),CONCATENATE("R",'Mapa final'!$A$25),"")</f>
        <v/>
      </c>
      <c r="BA62" s="517"/>
      <c r="BB62" s="517" t="str">
        <f ca="1">IF(AND('Mapa final'!$K$28="Baja",'Mapa final'!$O$28="Catastrófico"),CONCATENATE("R",'Mapa final'!$A$28),"")</f>
        <v/>
      </c>
      <c r="BC62" s="517"/>
      <c r="BD62" s="517" t="str">
        <f ca="1">IF(AND('Mapa final'!$K$31="Baja",'Mapa final'!$O$31="Catastrófico"),CONCATENATE("R",'Mapa final'!$A$31),"")</f>
        <v/>
      </c>
      <c r="BE62" s="517"/>
      <c r="BF62" s="517" t="str">
        <f ca="1">IF(AND('Mapa final'!$K$34="Baja",'Mapa final'!$O$34="Catastrófico"),CONCATENATE("R",'Mapa final'!$A$34),"")</f>
        <v/>
      </c>
      <c r="BG62" s="518"/>
      <c r="BH62" s="38"/>
      <c r="BI62" s="578"/>
      <c r="BJ62" s="579"/>
      <c r="BK62" s="579"/>
      <c r="BL62" s="579"/>
      <c r="BM62" s="579"/>
      <c r="BN62" s="580"/>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row>
    <row r="63" spans="1:100" ht="15" customHeight="1" x14ac:dyDescent="0.25">
      <c r="A63" s="38"/>
      <c r="B63" s="355"/>
      <c r="C63" s="356"/>
      <c r="D63" s="357"/>
      <c r="E63" s="595"/>
      <c r="F63" s="596"/>
      <c r="G63" s="596"/>
      <c r="H63" s="596"/>
      <c r="I63" s="596"/>
      <c r="J63" s="514"/>
      <c r="K63" s="515"/>
      <c r="L63" s="515"/>
      <c r="M63" s="515"/>
      <c r="N63" s="515"/>
      <c r="O63" s="515"/>
      <c r="P63" s="515"/>
      <c r="Q63" s="515"/>
      <c r="R63" s="515"/>
      <c r="S63" s="515"/>
      <c r="T63" s="521"/>
      <c r="U63" s="520"/>
      <c r="V63" s="520"/>
      <c r="W63" s="520"/>
      <c r="X63" s="520"/>
      <c r="Y63" s="520"/>
      <c r="Z63" s="520"/>
      <c r="AA63" s="520"/>
      <c r="AB63" s="520"/>
      <c r="AC63" s="520"/>
      <c r="AD63" s="521"/>
      <c r="AE63" s="520"/>
      <c r="AF63" s="520"/>
      <c r="AG63" s="520"/>
      <c r="AH63" s="520"/>
      <c r="AI63" s="520"/>
      <c r="AJ63" s="520"/>
      <c r="AK63" s="520"/>
      <c r="AL63" s="520"/>
      <c r="AM63" s="525"/>
      <c r="AN63" s="522"/>
      <c r="AO63" s="522"/>
      <c r="AP63" s="522"/>
      <c r="AQ63" s="522"/>
      <c r="AR63" s="522"/>
      <c r="AS63" s="522"/>
      <c r="AT63" s="522"/>
      <c r="AU63" s="522"/>
      <c r="AV63" s="522"/>
      <c r="AW63" s="522"/>
      <c r="AX63" s="519"/>
      <c r="AY63" s="517"/>
      <c r="AZ63" s="517"/>
      <c r="BA63" s="517"/>
      <c r="BB63" s="517"/>
      <c r="BC63" s="517"/>
      <c r="BD63" s="517"/>
      <c r="BE63" s="517"/>
      <c r="BF63" s="517"/>
      <c r="BG63" s="518"/>
      <c r="BH63" s="38"/>
      <c r="BI63" s="578"/>
      <c r="BJ63" s="579"/>
      <c r="BK63" s="579"/>
      <c r="BL63" s="579"/>
      <c r="BM63" s="579"/>
      <c r="BN63" s="580"/>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row>
    <row r="64" spans="1:100" ht="15" customHeight="1" x14ac:dyDescent="0.25">
      <c r="A64" s="38"/>
      <c r="B64" s="355"/>
      <c r="C64" s="356"/>
      <c r="D64" s="357"/>
      <c r="E64" s="595"/>
      <c r="F64" s="596"/>
      <c r="G64" s="596"/>
      <c r="H64" s="596"/>
      <c r="I64" s="596"/>
      <c r="J64" s="514" t="str">
        <f ca="1">IF(AND('Mapa final'!$K$37="Baja",'Mapa final'!$O$37="Leve"),CONCATENATE("R",'Mapa final'!$A$37),"")</f>
        <v/>
      </c>
      <c r="K64" s="515"/>
      <c r="L64" s="515" t="str">
        <f ca="1">IF(AND('Mapa final'!$K$41="Baja",'Mapa final'!$O$41="Leve"),CONCATENATE("R",'Mapa final'!$A$41),"")</f>
        <v/>
      </c>
      <c r="M64" s="515"/>
      <c r="N64" s="515" t="str">
        <f ca="1">IF(AND('Mapa final'!$K$44="Baja",'Mapa final'!$O$44="Leve"),CONCATENATE("R",'Mapa final'!$A$44),"")</f>
        <v/>
      </c>
      <c r="O64" s="515"/>
      <c r="P64" s="515" t="str">
        <f ca="1">IF(AND('Mapa final'!$K$49="Baja",'Mapa final'!$O$49="Leve"),CONCATENATE("R",'Mapa final'!$A$49),"")</f>
        <v/>
      </c>
      <c r="Q64" s="515"/>
      <c r="R64" s="515" t="str">
        <f ca="1">IF(AND('Mapa final'!$K$52="Baja",'Mapa final'!$O$52="Leve"),CONCATENATE("R",'Mapa final'!$A$52),"")</f>
        <v/>
      </c>
      <c r="S64" s="515"/>
      <c r="T64" s="521" t="str">
        <f ca="1">IF(AND('Mapa final'!$K$37="Baja",'Mapa final'!$O$37="Menor"),CONCATENATE("R",'Mapa final'!$A$37),"")</f>
        <v/>
      </c>
      <c r="U64" s="520"/>
      <c r="V64" s="520" t="str">
        <f ca="1">IF(AND('Mapa final'!$K$41="Baja",'Mapa final'!$O$41="Menor"),CONCATENATE("R",'Mapa final'!$A$41),"")</f>
        <v/>
      </c>
      <c r="W64" s="520"/>
      <c r="X64" s="520" t="str">
        <f ca="1">IF(AND('Mapa final'!$K$44="Baja",'Mapa final'!$O$44="Menor"),CONCATENATE("R",'Mapa final'!$A$44),"")</f>
        <v/>
      </c>
      <c r="Y64" s="520"/>
      <c r="Z64" s="520" t="str">
        <f ca="1">IF(AND('Mapa final'!$K$49="Baja",'Mapa final'!$O$49="Menor"),CONCATENATE("R",'Mapa final'!$A$49),"")</f>
        <v/>
      </c>
      <c r="AA64" s="520"/>
      <c r="AB64" s="520" t="str">
        <f ca="1">IF(AND('Mapa final'!$K$52="Baja",'Mapa final'!$O$52="Menor"),CONCATENATE("R",'Mapa final'!$A$52),"")</f>
        <v/>
      </c>
      <c r="AC64" s="520"/>
      <c r="AD64" s="521" t="str">
        <f ca="1">IF(AND('Mapa final'!$K$37="Baja",'Mapa final'!$O$37="Moderado"),CONCATENATE("R",'Mapa final'!$A$37),"")</f>
        <v/>
      </c>
      <c r="AE64" s="520"/>
      <c r="AF64" s="520" t="str">
        <f ca="1">IF(AND('Mapa final'!$K$41="Baja",'Mapa final'!$O$41="Moderado"),CONCATENATE("R",'Mapa final'!$A$41),"")</f>
        <v/>
      </c>
      <c r="AG64" s="520"/>
      <c r="AH64" s="520" t="str">
        <f ca="1">IF(AND('Mapa final'!$K$44="Baja",'Mapa final'!$O$44="Moderado"),CONCATENATE("R",'Mapa final'!$A$44),"")</f>
        <v/>
      </c>
      <c r="AI64" s="520"/>
      <c r="AJ64" s="520" t="str">
        <f ca="1">IF(AND('Mapa final'!$K$49="Baja",'Mapa final'!$O$49="Moderado"),CONCATENATE("R",'Mapa final'!$A$49),"")</f>
        <v/>
      </c>
      <c r="AK64" s="520"/>
      <c r="AL64" s="520" t="str">
        <f ca="1">IF(AND('Mapa final'!$K$52="Baja",'Mapa final'!$O$52="Moderado"),CONCATENATE("R",'Mapa final'!$A$52),"")</f>
        <v>R15</v>
      </c>
      <c r="AM64" s="525"/>
      <c r="AN64" s="522" t="str">
        <f ca="1">IF(AND('Mapa final'!$K$37="Baja",'Mapa final'!$O$37="Mayor"),CONCATENATE("R",'Mapa final'!$A$37),"")</f>
        <v/>
      </c>
      <c r="AO64" s="522"/>
      <c r="AP64" s="522" t="str">
        <f ca="1">IF(AND('Mapa final'!$K$41="Baja",'Mapa final'!$O$41="Mayor"),CONCATENATE("R",'Mapa final'!$A$41),"")</f>
        <v/>
      </c>
      <c r="AQ64" s="522"/>
      <c r="AR64" s="522" t="str">
        <f ca="1">IF(AND('Mapa final'!$K$44="Baja",'Mapa final'!$O$44="Mayor"),CONCATENATE("R",'Mapa final'!$A$44),"")</f>
        <v/>
      </c>
      <c r="AS64" s="522"/>
      <c r="AT64" s="522" t="str">
        <f ca="1">IF(AND('Mapa final'!$K$49="Baja",'Mapa final'!$O$49="Mayor"),CONCATENATE("R",'Mapa final'!$A$49),"")</f>
        <v/>
      </c>
      <c r="AU64" s="522"/>
      <c r="AV64" s="522" t="str">
        <f ca="1">IF(AND('Mapa final'!$K$52="Baja",'Mapa final'!$O$52="Mayor"),CONCATENATE("R",'Mapa final'!$A$52),"")</f>
        <v/>
      </c>
      <c r="AW64" s="522"/>
      <c r="AX64" s="519" t="str">
        <f ca="1">IF(AND('Mapa final'!$K$37="Baja",'Mapa final'!$O$37="Catastrófico"),CONCATENATE("R",'Mapa final'!$A$37),"")</f>
        <v/>
      </c>
      <c r="AY64" s="517"/>
      <c r="AZ64" s="517" t="str">
        <f ca="1">IF(AND('Mapa final'!$K$41="Baja",'Mapa final'!$O$41="Catastrófico"),CONCATENATE("R",'Mapa final'!$A$41),"")</f>
        <v/>
      </c>
      <c r="BA64" s="517"/>
      <c r="BB64" s="517" t="str">
        <f ca="1">IF(AND('Mapa final'!$K$44="Baja",'Mapa final'!$O$44="Catastrófico"),CONCATENATE("R",'Mapa final'!$A$44),"")</f>
        <v/>
      </c>
      <c r="BC64" s="517"/>
      <c r="BD64" s="517" t="str">
        <f ca="1">IF(AND('Mapa final'!$K$49="Baja",'Mapa final'!$O$49="Catastrófico"),CONCATENATE("R",'Mapa final'!$A$49),"")</f>
        <v/>
      </c>
      <c r="BE64" s="517"/>
      <c r="BF64" s="517" t="str">
        <f ca="1">IF(AND('Mapa final'!$K$52="Baja",'Mapa final'!$O$52="Catastrófico"),CONCATENATE("R",'Mapa final'!$A$52),"")</f>
        <v/>
      </c>
      <c r="BG64" s="518"/>
      <c r="BH64" s="38"/>
      <c r="BI64" s="578"/>
      <c r="BJ64" s="579"/>
      <c r="BK64" s="579"/>
      <c r="BL64" s="579"/>
      <c r="BM64" s="579"/>
      <c r="BN64" s="580"/>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row>
    <row r="65" spans="1:100" ht="15" customHeight="1" x14ac:dyDescent="0.25">
      <c r="A65" s="38"/>
      <c r="B65" s="355"/>
      <c r="C65" s="356"/>
      <c r="D65" s="357"/>
      <c r="E65" s="595"/>
      <c r="F65" s="596"/>
      <c r="G65" s="596"/>
      <c r="H65" s="596"/>
      <c r="I65" s="596"/>
      <c r="J65" s="514"/>
      <c r="K65" s="515"/>
      <c r="L65" s="515"/>
      <c r="M65" s="515"/>
      <c r="N65" s="515"/>
      <c r="O65" s="515"/>
      <c r="P65" s="515"/>
      <c r="Q65" s="515"/>
      <c r="R65" s="515"/>
      <c r="S65" s="515"/>
      <c r="T65" s="521"/>
      <c r="U65" s="520"/>
      <c r="V65" s="520"/>
      <c r="W65" s="520"/>
      <c r="X65" s="520"/>
      <c r="Y65" s="520"/>
      <c r="Z65" s="520"/>
      <c r="AA65" s="520"/>
      <c r="AB65" s="520"/>
      <c r="AC65" s="520"/>
      <c r="AD65" s="521"/>
      <c r="AE65" s="520"/>
      <c r="AF65" s="520"/>
      <c r="AG65" s="520"/>
      <c r="AH65" s="520"/>
      <c r="AI65" s="520"/>
      <c r="AJ65" s="520"/>
      <c r="AK65" s="520"/>
      <c r="AL65" s="520"/>
      <c r="AM65" s="525"/>
      <c r="AN65" s="522"/>
      <c r="AO65" s="522"/>
      <c r="AP65" s="522"/>
      <c r="AQ65" s="522"/>
      <c r="AR65" s="522"/>
      <c r="AS65" s="522"/>
      <c r="AT65" s="522"/>
      <c r="AU65" s="522"/>
      <c r="AV65" s="522"/>
      <c r="AW65" s="522"/>
      <c r="AX65" s="519"/>
      <c r="AY65" s="517"/>
      <c r="AZ65" s="517"/>
      <c r="BA65" s="517"/>
      <c r="BB65" s="517"/>
      <c r="BC65" s="517"/>
      <c r="BD65" s="517"/>
      <c r="BE65" s="517"/>
      <c r="BF65" s="517"/>
      <c r="BG65" s="518"/>
      <c r="BH65" s="38"/>
      <c r="BI65" s="578"/>
      <c r="BJ65" s="579"/>
      <c r="BK65" s="579"/>
      <c r="BL65" s="579"/>
      <c r="BM65" s="579"/>
      <c r="BN65" s="580"/>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row>
    <row r="66" spans="1:100" ht="15" customHeight="1" x14ac:dyDescent="0.25">
      <c r="A66" s="38"/>
      <c r="B66" s="355"/>
      <c r="C66" s="356"/>
      <c r="D66" s="357"/>
      <c r="E66" s="595"/>
      <c r="F66" s="596"/>
      <c r="G66" s="596"/>
      <c r="H66" s="596"/>
      <c r="I66" s="596"/>
      <c r="J66" s="514" t="str">
        <f ca="1">IF(AND('Mapa final'!$K$55="Baja",'Mapa final'!$O$55="Leve"),CONCATENATE("R",'Mapa final'!$A$55),"")</f>
        <v/>
      </c>
      <c r="K66" s="515"/>
      <c r="L66" s="515" t="str">
        <f ca="1">IF(AND('Mapa final'!$K$58="Baja",'Mapa final'!$O$58="Leve"),CONCATENATE("R",'Mapa final'!$A$58),"")</f>
        <v/>
      </c>
      <c r="M66" s="515"/>
      <c r="N66" s="515" t="str">
        <f ca="1">IF(AND('Mapa final'!$K$61="Baja",'Mapa final'!$O$61="Leve"),CONCATENATE("R",'Mapa final'!$A$61),"")</f>
        <v/>
      </c>
      <c r="O66" s="515"/>
      <c r="P66" s="515" t="str">
        <f ca="1">IF(AND('Mapa final'!$K$64="Baja",'Mapa final'!$O$64="Leve"),CONCATENATE("R",'Mapa final'!$A$64),"")</f>
        <v/>
      </c>
      <c r="Q66" s="515"/>
      <c r="R66" s="515" t="str">
        <f ca="1">IF(AND('Mapa final'!$K$67="Baja",'Mapa final'!$O$67="Leve"),CONCATENATE("R",'Mapa final'!$A$67),"")</f>
        <v/>
      </c>
      <c r="S66" s="515"/>
      <c r="T66" s="521" t="str">
        <f ca="1">IF(AND('Mapa final'!$K$55="Baja",'Mapa final'!$O$55="Menor"),CONCATENATE("R",'Mapa final'!$A$55),"")</f>
        <v/>
      </c>
      <c r="U66" s="520"/>
      <c r="V66" s="520" t="str">
        <f ca="1">IF(AND('Mapa final'!$K$58="Baja",'Mapa final'!$O$58="Menor"),CONCATENATE("R",'Mapa final'!$A$58),"")</f>
        <v/>
      </c>
      <c r="W66" s="520"/>
      <c r="X66" s="520" t="str">
        <f ca="1">IF(AND('Mapa final'!$K$61="Baja",'Mapa final'!$O$61="Menor"),CONCATENATE("R",'Mapa final'!$A$61),"")</f>
        <v/>
      </c>
      <c r="Y66" s="520"/>
      <c r="Z66" s="520" t="str">
        <f ca="1">IF(AND('Mapa final'!$K$64="Baja",'Mapa final'!$O$64="Menor"),CONCATENATE("R",'Mapa final'!$A$64),"")</f>
        <v/>
      </c>
      <c r="AA66" s="520"/>
      <c r="AB66" s="520" t="str">
        <f ca="1">IF(AND('Mapa final'!$K$67="Baja",'Mapa final'!$O$67="Menor"),CONCATENATE("R",'Mapa final'!$A$67),"")</f>
        <v/>
      </c>
      <c r="AC66" s="520"/>
      <c r="AD66" s="521" t="str">
        <f ca="1">IF(AND('Mapa final'!$K$55="Baja",'Mapa final'!$O$55="Moderado"),CONCATENATE("R",'Mapa final'!$A$55),"")</f>
        <v/>
      </c>
      <c r="AE66" s="520"/>
      <c r="AF66" s="520" t="str">
        <f ca="1">IF(AND('Mapa final'!$K$58="Baja",'Mapa final'!$O$58="Moderado"),CONCATENATE("R",'Mapa final'!$A$58),"")</f>
        <v>R17</v>
      </c>
      <c r="AG66" s="520"/>
      <c r="AH66" s="520" t="str">
        <f ca="1">IF(AND('Mapa final'!$K$61="Baja",'Mapa final'!$O$61="Moderado"),CONCATENATE("R",'Mapa final'!$A$61),"")</f>
        <v/>
      </c>
      <c r="AI66" s="520"/>
      <c r="AJ66" s="520" t="str">
        <f ca="1">IF(AND('Mapa final'!$K$64="Baja",'Mapa final'!$O$64="Moderado"),CONCATENATE("R",'Mapa final'!$A$64),"")</f>
        <v/>
      </c>
      <c r="AK66" s="520"/>
      <c r="AL66" s="520" t="str">
        <f ca="1">IF(AND('Mapa final'!$K$67="Baja",'Mapa final'!$O$67="Moderado"),CONCATENATE("R",'Mapa final'!$A$67),"")</f>
        <v/>
      </c>
      <c r="AM66" s="525"/>
      <c r="AN66" s="522" t="str">
        <f ca="1">IF(AND('Mapa final'!$K$55="Baja",'Mapa final'!$O$55="Mayor"),CONCATENATE("R",'Mapa final'!$A$55),"")</f>
        <v/>
      </c>
      <c r="AO66" s="522"/>
      <c r="AP66" s="522" t="str">
        <f ca="1">IF(AND('Mapa final'!$K$58="Baja",'Mapa final'!$O$58="Mayor"),CONCATENATE("R",'Mapa final'!$A$58),"")</f>
        <v/>
      </c>
      <c r="AQ66" s="522"/>
      <c r="AR66" s="522" t="str">
        <f ca="1">IF(AND('Mapa final'!$K$61="Baja",'Mapa final'!$O$61="Mayor"),CONCATENATE("R",'Mapa final'!$A$61),"")</f>
        <v/>
      </c>
      <c r="AS66" s="522"/>
      <c r="AT66" s="522" t="str">
        <f ca="1">IF(AND('Mapa final'!$K$64="Baja",'Mapa final'!$O$64="Mayor"),CONCATENATE("R",'Mapa final'!$A$64),"")</f>
        <v/>
      </c>
      <c r="AU66" s="522"/>
      <c r="AV66" s="522" t="str">
        <f ca="1">IF(AND('Mapa final'!$K$67="Baja",'Mapa final'!$O$67="Mayor"),CONCATENATE("R",'Mapa final'!$A$67),"")</f>
        <v/>
      </c>
      <c r="AW66" s="522"/>
      <c r="AX66" s="519" t="str">
        <f ca="1">IF(AND('Mapa final'!$K$55="Baja",'Mapa final'!$O$55="Catastrófico"),CONCATENATE("R",'Mapa final'!$A$55),"")</f>
        <v/>
      </c>
      <c r="AY66" s="517"/>
      <c r="AZ66" s="517" t="str">
        <f ca="1">IF(AND('Mapa final'!$K$58="Baja",'Mapa final'!$O$58="Catastrófico"),CONCATENATE("R",'Mapa final'!$A$58),"")</f>
        <v/>
      </c>
      <c r="BA66" s="517"/>
      <c r="BB66" s="517" t="str">
        <f ca="1">IF(AND('Mapa final'!$K$61="Baja",'Mapa final'!$O$61="Catastrófico"),CONCATENATE("R",'Mapa final'!$A$61),"")</f>
        <v/>
      </c>
      <c r="BC66" s="517"/>
      <c r="BD66" s="517" t="str">
        <f ca="1">IF(AND('Mapa final'!$K$64="Baja",'Mapa final'!$O$64="Catastrófico"),CONCATENATE("R",'Mapa final'!$A$64),"")</f>
        <v/>
      </c>
      <c r="BE66" s="517"/>
      <c r="BF66" s="517" t="str">
        <f ca="1">IF(AND('Mapa final'!$K$67="Baja",'Mapa final'!$O$67="Catastrófico"),CONCATENATE("R",'Mapa final'!$A$67),"")</f>
        <v/>
      </c>
      <c r="BG66" s="518"/>
      <c r="BH66" s="38"/>
      <c r="BI66" s="578"/>
      <c r="BJ66" s="579"/>
      <c r="BK66" s="579"/>
      <c r="BL66" s="579"/>
      <c r="BM66" s="579"/>
      <c r="BN66" s="580"/>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row>
    <row r="67" spans="1:100" ht="15" customHeight="1" thickBot="1" x14ac:dyDescent="0.3">
      <c r="A67" s="38"/>
      <c r="B67" s="355"/>
      <c r="C67" s="356"/>
      <c r="D67" s="357"/>
      <c r="E67" s="595"/>
      <c r="F67" s="596"/>
      <c r="G67" s="596"/>
      <c r="H67" s="596"/>
      <c r="I67" s="596"/>
      <c r="J67" s="514"/>
      <c r="K67" s="515"/>
      <c r="L67" s="515"/>
      <c r="M67" s="515"/>
      <c r="N67" s="515"/>
      <c r="O67" s="515"/>
      <c r="P67" s="515"/>
      <c r="Q67" s="515"/>
      <c r="R67" s="515"/>
      <c r="S67" s="515"/>
      <c r="T67" s="521"/>
      <c r="U67" s="520"/>
      <c r="V67" s="520"/>
      <c r="W67" s="520"/>
      <c r="X67" s="520"/>
      <c r="Y67" s="520"/>
      <c r="Z67" s="520"/>
      <c r="AA67" s="520"/>
      <c r="AB67" s="520"/>
      <c r="AC67" s="520"/>
      <c r="AD67" s="521"/>
      <c r="AE67" s="520"/>
      <c r="AF67" s="520"/>
      <c r="AG67" s="520"/>
      <c r="AH67" s="520"/>
      <c r="AI67" s="520"/>
      <c r="AJ67" s="520"/>
      <c r="AK67" s="520"/>
      <c r="AL67" s="520"/>
      <c r="AM67" s="525"/>
      <c r="AN67" s="522"/>
      <c r="AO67" s="522"/>
      <c r="AP67" s="522"/>
      <c r="AQ67" s="522"/>
      <c r="AR67" s="522"/>
      <c r="AS67" s="522"/>
      <c r="AT67" s="522"/>
      <c r="AU67" s="522"/>
      <c r="AV67" s="522"/>
      <c r="AW67" s="522"/>
      <c r="AX67" s="519"/>
      <c r="AY67" s="517"/>
      <c r="AZ67" s="517"/>
      <c r="BA67" s="517"/>
      <c r="BB67" s="517"/>
      <c r="BC67" s="517"/>
      <c r="BD67" s="517"/>
      <c r="BE67" s="517"/>
      <c r="BF67" s="517"/>
      <c r="BG67" s="518"/>
      <c r="BH67" s="38"/>
      <c r="BI67" s="581"/>
      <c r="BJ67" s="582"/>
      <c r="BK67" s="582"/>
      <c r="BL67" s="582"/>
      <c r="BM67" s="582"/>
      <c r="BN67" s="583"/>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row>
    <row r="68" spans="1:100" ht="15" customHeight="1" x14ac:dyDescent="0.25">
      <c r="A68" s="38"/>
      <c r="B68" s="355"/>
      <c r="C68" s="356"/>
      <c r="D68" s="357"/>
      <c r="E68" s="595"/>
      <c r="F68" s="596"/>
      <c r="G68" s="596"/>
      <c r="H68" s="596"/>
      <c r="I68" s="596"/>
      <c r="J68" s="514" t="str">
        <f ca="1">IF(AND('Mapa final'!$K$70="Baja",'Mapa final'!$O$70="Leve"),CONCATENATE("R",'Mapa final'!$A$70),"")</f>
        <v/>
      </c>
      <c r="K68" s="515"/>
      <c r="L68" s="515" t="str">
        <f ca="1">IF(AND('Mapa final'!$K$73="Baja",'Mapa final'!$O$73="Leve"),CONCATENATE("R",'Mapa final'!$A$73),"")</f>
        <v/>
      </c>
      <c r="M68" s="515"/>
      <c r="N68" s="515" t="str">
        <f ca="1">IF(AND('Mapa final'!$K$76="Baja",'Mapa final'!$O$76="Leve"),CONCATENATE("R",'Mapa final'!$A$76),"")</f>
        <v/>
      </c>
      <c r="O68" s="515"/>
      <c r="P68" s="515" t="str">
        <f ca="1">IF(AND('Mapa final'!$K$79="Baja",'Mapa final'!$O$79="Leve"),CONCATENATE("R",'Mapa final'!$A$79),"")</f>
        <v/>
      </c>
      <c r="Q68" s="515"/>
      <c r="R68" s="515" t="str">
        <f ca="1">IF(AND('Mapa final'!$K$82="Baja",'Mapa final'!$O$82="Leve"),CONCATENATE("R",'Mapa final'!$A$82),"")</f>
        <v/>
      </c>
      <c r="S68" s="515"/>
      <c r="T68" s="521" t="str">
        <f ca="1">IF(AND('Mapa final'!$K$70="Baja",'Mapa final'!$O$70="Menor"),CONCATENATE("R",'Mapa final'!$A$70),"")</f>
        <v/>
      </c>
      <c r="U68" s="520"/>
      <c r="V68" s="520" t="str">
        <f ca="1">IF(AND('Mapa final'!$K$73="Baja",'Mapa final'!$O$73="Menor"),CONCATENATE("R",'Mapa final'!$A$73),"")</f>
        <v/>
      </c>
      <c r="W68" s="520"/>
      <c r="X68" s="520" t="str">
        <f ca="1">IF(AND('Mapa final'!$K$76="Baja",'Mapa final'!$O$76="Menor"),CONCATENATE("R",'Mapa final'!$A$76),"")</f>
        <v/>
      </c>
      <c r="Y68" s="520"/>
      <c r="Z68" s="520" t="str">
        <f ca="1">IF(AND('Mapa final'!$K$79="Baja",'Mapa final'!$O$79="Menor"),CONCATENATE("R",'Mapa final'!$A$79),"")</f>
        <v/>
      </c>
      <c r="AA68" s="520"/>
      <c r="AB68" s="520" t="str">
        <f ca="1">IF(AND('Mapa final'!$K$82="Baja",'Mapa final'!$O$82="Menor"),CONCATENATE("R",'Mapa final'!$A$82),"")</f>
        <v/>
      </c>
      <c r="AC68" s="520"/>
      <c r="AD68" s="521" t="str">
        <f ca="1">IF(AND('Mapa final'!$K$70="Baja",'Mapa final'!$O$70="Moderado"),CONCATENATE("R",'Mapa final'!$A$70),"")</f>
        <v/>
      </c>
      <c r="AE68" s="520"/>
      <c r="AF68" s="520" t="str">
        <f ca="1">IF(AND('Mapa final'!$K$73="Baja",'Mapa final'!$O$73="Moderado"),CONCATENATE("R",'Mapa final'!$A$73),"")</f>
        <v/>
      </c>
      <c r="AG68" s="520"/>
      <c r="AH68" s="520" t="str">
        <f ca="1">IF(AND('Mapa final'!$K$76="Baja",'Mapa final'!$O$76="Moderado"),CONCATENATE("R",'Mapa final'!$A$76),"")</f>
        <v/>
      </c>
      <c r="AI68" s="520"/>
      <c r="AJ68" s="520" t="str">
        <f ca="1">IF(AND('Mapa final'!$K$79="Baja",'Mapa final'!$O$79="Moderado"),CONCATENATE("R",'Mapa final'!$A$79),"")</f>
        <v/>
      </c>
      <c r="AK68" s="520"/>
      <c r="AL68" s="520" t="str">
        <f ca="1">IF(AND('Mapa final'!$K$82="Baja",'Mapa final'!$O$82="Moderado"),CONCATENATE("R",'Mapa final'!$A$82),"")</f>
        <v/>
      </c>
      <c r="AM68" s="525"/>
      <c r="AN68" s="522" t="str">
        <f ca="1">IF(AND('Mapa final'!$K$70="Baja",'Mapa final'!$O$70="Mayor"),CONCATENATE("R",'Mapa final'!$A$70),"")</f>
        <v/>
      </c>
      <c r="AO68" s="522"/>
      <c r="AP68" s="522" t="str">
        <f ca="1">IF(AND('Mapa final'!$K$73="Baja",'Mapa final'!$O$73="Mayor"),CONCATENATE("R",'Mapa final'!$A$73),"")</f>
        <v/>
      </c>
      <c r="AQ68" s="522"/>
      <c r="AR68" s="522" t="str">
        <f ca="1">IF(AND('Mapa final'!$K$76="Baja",'Mapa final'!$O$76="Mayor"),CONCATENATE("R",'Mapa final'!$A$76),"")</f>
        <v/>
      </c>
      <c r="AS68" s="522"/>
      <c r="AT68" s="522" t="str">
        <f ca="1">IF(AND('Mapa final'!$K$79="Baja",'Mapa final'!$O$79="Mayor"),CONCATENATE("R",'Mapa final'!$A$79),"")</f>
        <v/>
      </c>
      <c r="AU68" s="522"/>
      <c r="AV68" s="522" t="str">
        <f ca="1">IF(AND('Mapa final'!$K$82="Baja",'Mapa final'!$O$82="Mayor"),CONCATENATE("R",'Mapa final'!$A$82),"")</f>
        <v/>
      </c>
      <c r="AW68" s="522"/>
      <c r="AX68" s="519" t="str">
        <f ca="1">IF(AND('Mapa final'!$K$70="Baja",'Mapa final'!$O$70="Catastrófico"),CONCATENATE("R",'Mapa final'!$A$70),"")</f>
        <v/>
      </c>
      <c r="AY68" s="517"/>
      <c r="AZ68" s="517" t="str">
        <f ca="1">IF(AND('Mapa final'!$K$73="Baja",'Mapa final'!$O$73="Catastrófico"),CONCATENATE("R",'Mapa final'!$A$73),"")</f>
        <v/>
      </c>
      <c r="BA68" s="517"/>
      <c r="BB68" s="517" t="str">
        <f ca="1">IF(AND('Mapa final'!$K$76="Baja",'Mapa final'!$O$76="Catastrófico"),CONCATENATE("R",'Mapa final'!$A$76),"")</f>
        <v/>
      </c>
      <c r="BC68" s="517"/>
      <c r="BD68" s="517" t="str">
        <f ca="1">IF(AND('Mapa final'!$K$79="Baja",'Mapa final'!$O$79="Catastrófico"),CONCATENATE("R",'Mapa final'!$A$79),"")</f>
        <v/>
      </c>
      <c r="BE68" s="517"/>
      <c r="BF68" s="517" t="str">
        <f ca="1">IF(AND('Mapa final'!$K$82="Baja",'Mapa final'!$O$82="Catastrófico"),CONCATENATE("R",'Mapa final'!$A$82),"")</f>
        <v/>
      </c>
      <c r="BG68" s="518"/>
      <c r="BH68" s="38"/>
      <c r="BI68" s="584" t="s">
        <v>76</v>
      </c>
      <c r="BJ68" s="585"/>
      <c r="BK68" s="585"/>
      <c r="BL68" s="585"/>
      <c r="BM68" s="585"/>
      <c r="BN68" s="586"/>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row>
    <row r="69" spans="1:100" ht="15" customHeight="1" x14ac:dyDescent="0.25">
      <c r="A69" s="38"/>
      <c r="B69" s="355"/>
      <c r="C69" s="356"/>
      <c r="D69" s="357"/>
      <c r="E69" s="595"/>
      <c r="F69" s="596"/>
      <c r="G69" s="596"/>
      <c r="H69" s="596"/>
      <c r="I69" s="596"/>
      <c r="J69" s="514"/>
      <c r="K69" s="515"/>
      <c r="L69" s="515"/>
      <c r="M69" s="515"/>
      <c r="N69" s="515"/>
      <c r="O69" s="515"/>
      <c r="P69" s="515"/>
      <c r="Q69" s="515"/>
      <c r="R69" s="515"/>
      <c r="S69" s="515"/>
      <c r="T69" s="521"/>
      <c r="U69" s="520"/>
      <c r="V69" s="520"/>
      <c r="W69" s="520"/>
      <c r="X69" s="520"/>
      <c r="Y69" s="520"/>
      <c r="Z69" s="520"/>
      <c r="AA69" s="520"/>
      <c r="AB69" s="520"/>
      <c r="AC69" s="520"/>
      <c r="AD69" s="521"/>
      <c r="AE69" s="520"/>
      <c r="AF69" s="520"/>
      <c r="AG69" s="520"/>
      <c r="AH69" s="520"/>
      <c r="AI69" s="520"/>
      <c r="AJ69" s="520"/>
      <c r="AK69" s="520"/>
      <c r="AL69" s="520"/>
      <c r="AM69" s="525"/>
      <c r="AN69" s="522"/>
      <c r="AO69" s="522"/>
      <c r="AP69" s="522"/>
      <c r="AQ69" s="522"/>
      <c r="AR69" s="522"/>
      <c r="AS69" s="522"/>
      <c r="AT69" s="522"/>
      <c r="AU69" s="522"/>
      <c r="AV69" s="522"/>
      <c r="AW69" s="522"/>
      <c r="AX69" s="519"/>
      <c r="AY69" s="517"/>
      <c r="AZ69" s="517"/>
      <c r="BA69" s="517"/>
      <c r="BB69" s="517"/>
      <c r="BC69" s="517"/>
      <c r="BD69" s="517"/>
      <c r="BE69" s="517"/>
      <c r="BF69" s="517"/>
      <c r="BG69" s="518"/>
      <c r="BH69" s="38"/>
      <c r="BI69" s="587"/>
      <c r="BJ69" s="588"/>
      <c r="BK69" s="588"/>
      <c r="BL69" s="588"/>
      <c r="BM69" s="588"/>
      <c r="BN69" s="589"/>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row>
    <row r="70" spans="1:100" ht="15" customHeight="1" x14ac:dyDescent="0.25">
      <c r="A70" s="38"/>
      <c r="B70" s="355"/>
      <c r="C70" s="356"/>
      <c r="D70" s="357"/>
      <c r="E70" s="595"/>
      <c r="F70" s="596"/>
      <c r="G70" s="596"/>
      <c r="H70" s="596"/>
      <c r="I70" s="596"/>
      <c r="J70" s="514" t="str">
        <f ca="1">IF(AND('Mapa final'!$K$85="Baja",'Mapa final'!$O$85="Leve"),CONCATENATE("R",'Mapa final'!$A$85),"")</f>
        <v/>
      </c>
      <c r="K70" s="515"/>
      <c r="L70" s="515" t="str">
        <f ca="1">IF(AND('Mapa final'!$K$88="Baja",'Mapa final'!$O$88="Leve"),CONCATENATE("R",'Mapa final'!$A$88),"")</f>
        <v>R27</v>
      </c>
      <c r="M70" s="515"/>
      <c r="N70" s="515" t="str">
        <f ca="1">IF(AND('Mapa final'!$K$91="Baja",'Mapa final'!$O$91="Leve"),CONCATENATE("R",'Mapa final'!$A$91),"")</f>
        <v/>
      </c>
      <c r="O70" s="515"/>
      <c r="P70" s="515" t="str">
        <f ca="1">IF(AND('Mapa final'!$K$94="Baja",'Mapa final'!$O$94="Leve"),CONCATENATE("R",'Mapa final'!$A$94),"")</f>
        <v/>
      </c>
      <c r="Q70" s="515"/>
      <c r="R70" s="515" t="str">
        <f ca="1">IF(AND('Mapa final'!$K$97="Baja",'Mapa final'!$O$97="Leve"),CONCATENATE("R",'Mapa final'!$A$97),"")</f>
        <v/>
      </c>
      <c r="S70" s="515"/>
      <c r="T70" s="521" t="str">
        <f ca="1">IF(AND('Mapa final'!$K$85="Baja",'Mapa final'!$O$85="Menor"),CONCATENATE("R",'Mapa final'!$A$85),"")</f>
        <v/>
      </c>
      <c r="U70" s="520"/>
      <c r="V70" s="520" t="str">
        <f ca="1">IF(AND('Mapa final'!$K$88="Baja",'Mapa final'!$O$88="Menor"),CONCATENATE("R",'Mapa final'!$A$88),"")</f>
        <v/>
      </c>
      <c r="W70" s="520"/>
      <c r="X70" s="520" t="str">
        <f ca="1">IF(AND('Mapa final'!$K$91="Baja",'Mapa final'!$O$91="Menor"),CONCATENATE("R",'Mapa final'!$A$91),"")</f>
        <v>R28</v>
      </c>
      <c r="Y70" s="520"/>
      <c r="Z70" s="520" t="str">
        <f ca="1">IF(AND('Mapa final'!$K$94="Baja",'Mapa final'!$O$94="Menor"),CONCATENATE("R",'Mapa final'!$A$94),"")</f>
        <v/>
      </c>
      <c r="AA70" s="520"/>
      <c r="AB70" s="520" t="str">
        <f ca="1">IF(AND('Mapa final'!$K$97="Baja",'Mapa final'!$O$97="Menor"),CONCATENATE("R",'Mapa final'!$A$97),"")</f>
        <v/>
      </c>
      <c r="AC70" s="520"/>
      <c r="AD70" s="521" t="str">
        <f ca="1">IF(AND('Mapa final'!$K$85="Baja",'Mapa final'!$O$85="Moderado"),CONCATENATE("R",'Mapa final'!$A$85),"")</f>
        <v/>
      </c>
      <c r="AE70" s="520"/>
      <c r="AF70" s="520" t="str">
        <f ca="1">IF(AND('Mapa final'!$K$88="Baja",'Mapa final'!$O$88="Moderado"),CONCATENATE("R",'Mapa final'!$A$88),"")</f>
        <v/>
      </c>
      <c r="AG70" s="520"/>
      <c r="AH70" s="520" t="str">
        <f ca="1">IF(AND('Mapa final'!$K$91="Baja",'Mapa final'!$O$91="Moderado"),CONCATENATE("R",'Mapa final'!$A$91),"")</f>
        <v/>
      </c>
      <c r="AI70" s="520"/>
      <c r="AJ70" s="520" t="str">
        <f ca="1">IF(AND('Mapa final'!$K$94="Baja",'Mapa final'!$O$94="Moderado"),CONCATENATE("R",'Mapa final'!$A$94),"")</f>
        <v>R29</v>
      </c>
      <c r="AK70" s="520"/>
      <c r="AL70" s="520" t="str">
        <f ca="1">IF(AND('Mapa final'!$K$97="Baja",'Mapa final'!$O$97="Moderado"),CONCATENATE("R",'Mapa final'!$A$97),"")</f>
        <v/>
      </c>
      <c r="AM70" s="525"/>
      <c r="AN70" s="522" t="str">
        <f ca="1">IF(AND('Mapa final'!$K$85="Baja",'Mapa final'!$O$85="Mayor"),CONCATENATE("R",'Mapa final'!$A$85),"")</f>
        <v/>
      </c>
      <c r="AO70" s="522"/>
      <c r="AP70" s="522" t="str">
        <f ca="1">IF(AND('Mapa final'!$K$88="Baja",'Mapa final'!$O$88="Mayor"),CONCATENATE("R",'Mapa final'!$A$88),"")</f>
        <v/>
      </c>
      <c r="AQ70" s="522"/>
      <c r="AR70" s="522" t="str">
        <f ca="1">IF(AND('Mapa final'!$K$91="Baja",'Mapa final'!$O$91="Mayor"),CONCATENATE("R",'Mapa final'!$A$91),"")</f>
        <v/>
      </c>
      <c r="AS70" s="522"/>
      <c r="AT70" s="522" t="str">
        <f ca="1">IF(AND('Mapa final'!$K$94="Baja",'Mapa final'!$O$94="Mayor"),CONCATENATE("R",'Mapa final'!$A$94),"")</f>
        <v/>
      </c>
      <c r="AU70" s="522"/>
      <c r="AV70" s="522" t="str">
        <f ca="1">IF(AND('Mapa final'!$K$97="Baja",'Mapa final'!$O$97="Mayor"),CONCATENATE("R",'Mapa final'!$A$97),"")</f>
        <v/>
      </c>
      <c r="AW70" s="522"/>
      <c r="AX70" s="519" t="str">
        <f ca="1">IF(AND('Mapa final'!$K$85="Baja",'Mapa final'!$O$85="Catastrófico"),CONCATENATE("R",'Mapa final'!$A$85),"")</f>
        <v/>
      </c>
      <c r="AY70" s="517"/>
      <c r="AZ70" s="517" t="str">
        <f ca="1">IF(AND('Mapa final'!$K$88="Baja",'Mapa final'!$O$88="Catastrófico"),CONCATENATE("R",'Mapa final'!$A$88),"")</f>
        <v/>
      </c>
      <c r="BA70" s="517"/>
      <c r="BB70" s="517" t="str">
        <f ca="1">IF(AND('Mapa final'!$K$91="Baja",'Mapa final'!$O$91="Catastrófico"),CONCATENATE("R",'Mapa final'!$A$91),"")</f>
        <v/>
      </c>
      <c r="BC70" s="517"/>
      <c r="BD70" s="517" t="str">
        <f ca="1">IF(AND('Mapa final'!$K$94="Baja",'Mapa final'!$O$94="Catastrófico"),CONCATENATE("R",'Mapa final'!$A$94),"")</f>
        <v/>
      </c>
      <c r="BE70" s="517"/>
      <c r="BF70" s="517" t="str">
        <f ca="1">IF(AND('Mapa final'!$K$97="Baja",'Mapa final'!$O$97="Catastrófico"),CONCATENATE("R",'Mapa final'!$A$97),"")</f>
        <v/>
      </c>
      <c r="BG70" s="518"/>
      <c r="BH70" s="38"/>
      <c r="BI70" s="587"/>
      <c r="BJ70" s="588"/>
      <c r="BK70" s="588"/>
      <c r="BL70" s="588"/>
      <c r="BM70" s="588"/>
      <c r="BN70" s="589"/>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row>
    <row r="71" spans="1:100" ht="15" customHeight="1" x14ac:dyDescent="0.25">
      <c r="A71" s="38"/>
      <c r="B71" s="355"/>
      <c r="C71" s="356"/>
      <c r="D71" s="357"/>
      <c r="E71" s="595"/>
      <c r="F71" s="596"/>
      <c r="G71" s="596"/>
      <c r="H71" s="596"/>
      <c r="I71" s="596"/>
      <c r="J71" s="514"/>
      <c r="K71" s="515"/>
      <c r="L71" s="515"/>
      <c r="M71" s="515"/>
      <c r="N71" s="515"/>
      <c r="O71" s="515"/>
      <c r="P71" s="515"/>
      <c r="Q71" s="515"/>
      <c r="R71" s="515"/>
      <c r="S71" s="515"/>
      <c r="T71" s="521"/>
      <c r="U71" s="520"/>
      <c r="V71" s="520"/>
      <c r="W71" s="520"/>
      <c r="X71" s="520"/>
      <c r="Y71" s="520"/>
      <c r="Z71" s="520"/>
      <c r="AA71" s="520"/>
      <c r="AB71" s="520"/>
      <c r="AC71" s="520"/>
      <c r="AD71" s="521"/>
      <c r="AE71" s="520"/>
      <c r="AF71" s="520"/>
      <c r="AG71" s="520"/>
      <c r="AH71" s="520"/>
      <c r="AI71" s="520"/>
      <c r="AJ71" s="520"/>
      <c r="AK71" s="520"/>
      <c r="AL71" s="520"/>
      <c r="AM71" s="525"/>
      <c r="AN71" s="522"/>
      <c r="AO71" s="522"/>
      <c r="AP71" s="522"/>
      <c r="AQ71" s="522"/>
      <c r="AR71" s="522"/>
      <c r="AS71" s="522"/>
      <c r="AT71" s="522"/>
      <c r="AU71" s="522"/>
      <c r="AV71" s="522"/>
      <c r="AW71" s="522"/>
      <c r="AX71" s="519"/>
      <c r="AY71" s="517"/>
      <c r="AZ71" s="517"/>
      <c r="BA71" s="517"/>
      <c r="BB71" s="517"/>
      <c r="BC71" s="517"/>
      <c r="BD71" s="517"/>
      <c r="BE71" s="517"/>
      <c r="BF71" s="517"/>
      <c r="BG71" s="518"/>
      <c r="BH71" s="38"/>
      <c r="BI71" s="587"/>
      <c r="BJ71" s="588"/>
      <c r="BK71" s="588"/>
      <c r="BL71" s="588"/>
      <c r="BM71" s="588"/>
      <c r="BN71" s="589"/>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row>
    <row r="72" spans="1:100" ht="15" customHeight="1" x14ac:dyDescent="0.25">
      <c r="A72" s="38"/>
      <c r="B72" s="355"/>
      <c r="C72" s="356"/>
      <c r="D72" s="357"/>
      <c r="E72" s="595"/>
      <c r="F72" s="596"/>
      <c r="G72" s="596"/>
      <c r="H72" s="596"/>
      <c r="I72" s="596"/>
      <c r="J72" s="514" t="str">
        <f ca="1">IF(AND('Mapa final'!$K$100="Baja",'Mapa final'!$O$100="Leve"),CONCATENATE("R",'Mapa final'!$A$100),"")</f>
        <v/>
      </c>
      <c r="K72" s="515"/>
      <c r="L72" s="515" t="str">
        <f ca="1">IF(AND('Mapa final'!$K$103="Baja",'Mapa final'!$O$103="Leve"),CONCATENATE("R",'Mapa final'!$A$103),"")</f>
        <v/>
      </c>
      <c r="M72" s="515"/>
      <c r="N72" s="515" t="str">
        <f ca="1">IF(AND('Mapa final'!$K$106="Baja",'Mapa final'!$O$106="Leve"),CONCATENATE("R",'Mapa final'!$A$106),"")</f>
        <v/>
      </c>
      <c r="O72" s="515"/>
      <c r="P72" s="515" t="str">
        <f ca="1">IF(AND('Mapa final'!$K$109="Baja",'Mapa final'!$O$109="Leve"),CONCATENATE("R",'Mapa final'!$A$109),"")</f>
        <v/>
      </c>
      <c r="Q72" s="515"/>
      <c r="R72" s="515" t="str">
        <f ca="1">IF(AND('Mapa final'!$K$112="Baja",'Mapa final'!$O$112="Leve"),CONCATENATE("R",'Mapa final'!$A$112),"")</f>
        <v/>
      </c>
      <c r="S72" s="515"/>
      <c r="T72" s="521" t="str">
        <f ca="1">IF(AND('Mapa final'!$K$100="Baja",'Mapa final'!$O$100="Menor"),CONCATENATE("R",'Mapa final'!$A$100),"")</f>
        <v/>
      </c>
      <c r="U72" s="520"/>
      <c r="V72" s="520" t="str">
        <f ca="1">IF(AND('Mapa final'!$K$103="Baja",'Mapa final'!$O$103="Menor"),CONCATENATE("R",'Mapa final'!$A$103),"")</f>
        <v/>
      </c>
      <c r="W72" s="520"/>
      <c r="X72" s="520" t="str">
        <f ca="1">IF(AND('Mapa final'!$K$106="Baja",'Mapa final'!$O$106="Menor"),CONCATENATE("R",'Mapa final'!$A$106),"")</f>
        <v/>
      </c>
      <c r="Y72" s="520"/>
      <c r="Z72" s="520" t="str">
        <f ca="1">IF(AND('Mapa final'!$K$109="Baja",'Mapa final'!$O$109="Menor"),CONCATENATE("R",'Mapa final'!$A$109),"")</f>
        <v/>
      </c>
      <c r="AA72" s="520"/>
      <c r="AB72" s="520" t="str">
        <f ca="1">IF(AND('Mapa final'!$K$112="Baja",'Mapa final'!$O$112="Menor"),CONCATENATE("R",'Mapa final'!$A$112),"")</f>
        <v/>
      </c>
      <c r="AC72" s="520"/>
      <c r="AD72" s="521" t="str">
        <f ca="1">IF(AND('Mapa final'!$K$100="Baja",'Mapa final'!$O$100="Moderado"),CONCATENATE("R",'Mapa final'!$A$100),"")</f>
        <v>R31</v>
      </c>
      <c r="AE72" s="520"/>
      <c r="AF72" s="520" t="str">
        <f ca="1">IF(AND('Mapa final'!$K$103="Baja",'Mapa final'!$O$103="Moderado"),CONCATENATE("R",'Mapa final'!$A$103),"")</f>
        <v>R32</v>
      </c>
      <c r="AG72" s="520"/>
      <c r="AH72" s="520" t="str">
        <f ca="1">IF(AND('Mapa final'!$K$106="Baja",'Mapa final'!$O$106="Moderado"),CONCATENATE("R",'Mapa final'!$A$106),"")</f>
        <v/>
      </c>
      <c r="AI72" s="520"/>
      <c r="AJ72" s="520" t="str">
        <f ca="1">IF(AND('Mapa final'!$K$109="Baja",'Mapa final'!$O$109="Moderado"),CONCATENATE("R",'Mapa final'!$A$109),"")</f>
        <v/>
      </c>
      <c r="AK72" s="520"/>
      <c r="AL72" s="520" t="str">
        <f ca="1">IF(AND('Mapa final'!$K$112="Baja",'Mapa final'!$O$112="Moderado"),CONCATENATE("R",'Mapa final'!$A$112),"")</f>
        <v/>
      </c>
      <c r="AM72" s="525"/>
      <c r="AN72" s="522" t="str">
        <f ca="1">IF(AND('Mapa final'!$K$100="Baja",'Mapa final'!$O$100="Mayor"),CONCATENATE("R",'Mapa final'!$A$100),"")</f>
        <v/>
      </c>
      <c r="AO72" s="522"/>
      <c r="AP72" s="522" t="str">
        <f ca="1">IF(AND('Mapa final'!$K$103="Baja",'Mapa final'!$O$103="Mayor"),CONCATENATE("R",'Mapa final'!$A$103),"")</f>
        <v/>
      </c>
      <c r="AQ72" s="522"/>
      <c r="AR72" s="522" t="str">
        <f ca="1">IF(AND('Mapa final'!$K$106="Baja",'Mapa final'!$O$106="Mayor"),CONCATENATE("R",'Mapa final'!$A$106),"")</f>
        <v/>
      </c>
      <c r="AS72" s="522"/>
      <c r="AT72" s="522" t="str">
        <f ca="1">IF(AND('Mapa final'!$K$109="Baja",'Mapa final'!$O$109="Mayor"),CONCATENATE("R",'Mapa final'!$A$109),"")</f>
        <v/>
      </c>
      <c r="AU72" s="522"/>
      <c r="AV72" s="522" t="str">
        <f ca="1">IF(AND('Mapa final'!$K$112="Baja",'Mapa final'!$O$112="Mayor"),CONCATENATE("R",'Mapa final'!$A$112),"")</f>
        <v/>
      </c>
      <c r="AW72" s="522"/>
      <c r="AX72" s="519" t="str">
        <f ca="1">IF(AND('Mapa final'!$K$100="Baja",'Mapa final'!$O$100="Catastrófico"),CONCATENATE("R",'Mapa final'!$A$100),"")</f>
        <v/>
      </c>
      <c r="AY72" s="517"/>
      <c r="AZ72" s="517" t="str">
        <f ca="1">IF(AND('Mapa final'!$K$103="Baja",'Mapa final'!$O$103="Catastrófico"),CONCATENATE("R",'Mapa final'!$A$103),"")</f>
        <v/>
      </c>
      <c r="BA72" s="517"/>
      <c r="BB72" s="517" t="str">
        <f ca="1">IF(AND('Mapa final'!$K$106="Baja",'Mapa final'!$O$106="Catastrófico"),CONCATENATE("R",'Mapa final'!$A$106),"")</f>
        <v/>
      </c>
      <c r="BC72" s="517"/>
      <c r="BD72" s="517" t="str">
        <f ca="1">IF(AND('Mapa final'!$K$109="Baja",'Mapa final'!$O$109="Catastrófico"),CONCATENATE("R",'Mapa final'!$A$109),"")</f>
        <v/>
      </c>
      <c r="BE72" s="517"/>
      <c r="BF72" s="517" t="str">
        <f ca="1">IF(AND('Mapa final'!$K$112="Baja",'Mapa final'!$O$112="Catastrófico"),CONCATENATE("R",'Mapa final'!$A$112),"")</f>
        <v/>
      </c>
      <c r="BG72" s="518"/>
      <c r="BH72" s="38"/>
      <c r="BI72" s="587"/>
      <c r="BJ72" s="588"/>
      <c r="BK72" s="588"/>
      <c r="BL72" s="588"/>
      <c r="BM72" s="588"/>
      <c r="BN72" s="589"/>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row>
    <row r="73" spans="1:100" ht="15" customHeight="1" x14ac:dyDescent="0.25">
      <c r="A73" s="38"/>
      <c r="B73" s="355"/>
      <c r="C73" s="356"/>
      <c r="D73" s="357"/>
      <c r="E73" s="595"/>
      <c r="F73" s="596"/>
      <c r="G73" s="596"/>
      <c r="H73" s="596"/>
      <c r="I73" s="596"/>
      <c r="J73" s="514"/>
      <c r="K73" s="515"/>
      <c r="L73" s="515"/>
      <c r="M73" s="515"/>
      <c r="N73" s="515"/>
      <c r="O73" s="515"/>
      <c r="P73" s="515"/>
      <c r="Q73" s="515"/>
      <c r="R73" s="515"/>
      <c r="S73" s="515"/>
      <c r="T73" s="521"/>
      <c r="U73" s="520"/>
      <c r="V73" s="520"/>
      <c r="W73" s="520"/>
      <c r="X73" s="520"/>
      <c r="Y73" s="520"/>
      <c r="Z73" s="520"/>
      <c r="AA73" s="520"/>
      <c r="AB73" s="520"/>
      <c r="AC73" s="520"/>
      <c r="AD73" s="521"/>
      <c r="AE73" s="520"/>
      <c r="AF73" s="520"/>
      <c r="AG73" s="520"/>
      <c r="AH73" s="520"/>
      <c r="AI73" s="520"/>
      <c r="AJ73" s="520"/>
      <c r="AK73" s="520"/>
      <c r="AL73" s="520"/>
      <c r="AM73" s="525"/>
      <c r="AN73" s="522"/>
      <c r="AO73" s="522"/>
      <c r="AP73" s="522"/>
      <c r="AQ73" s="522"/>
      <c r="AR73" s="522"/>
      <c r="AS73" s="522"/>
      <c r="AT73" s="522"/>
      <c r="AU73" s="522"/>
      <c r="AV73" s="522"/>
      <c r="AW73" s="522"/>
      <c r="AX73" s="519"/>
      <c r="AY73" s="517"/>
      <c r="AZ73" s="517"/>
      <c r="BA73" s="517"/>
      <c r="BB73" s="517"/>
      <c r="BC73" s="517"/>
      <c r="BD73" s="517"/>
      <c r="BE73" s="517"/>
      <c r="BF73" s="517"/>
      <c r="BG73" s="518"/>
      <c r="BH73" s="38"/>
      <c r="BI73" s="587"/>
      <c r="BJ73" s="588"/>
      <c r="BK73" s="588"/>
      <c r="BL73" s="588"/>
      <c r="BM73" s="588"/>
      <c r="BN73" s="589"/>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row>
    <row r="74" spans="1:100" ht="15" customHeight="1" x14ac:dyDescent="0.25">
      <c r="A74" s="38"/>
      <c r="B74" s="355"/>
      <c r="C74" s="356"/>
      <c r="D74" s="357"/>
      <c r="E74" s="595"/>
      <c r="F74" s="596"/>
      <c r="G74" s="596"/>
      <c r="H74" s="596"/>
      <c r="I74" s="596"/>
      <c r="J74" s="514" t="str">
        <f ca="1">IF(AND('Mapa final'!$K$115="Baja",'Mapa final'!$O$115="Leve"),CONCATENATE("R",'Mapa final'!$A$115),"")</f>
        <v/>
      </c>
      <c r="K74" s="515"/>
      <c r="L74" s="515" t="str">
        <f ca="1">IF(AND('Mapa final'!$K$118="Baja",'Mapa final'!$O$118="Leve"),CONCATENATE("R",'Mapa final'!$A$118),"")</f>
        <v/>
      </c>
      <c r="M74" s="515"/>
      <c r="N74" s="515" t="str">
        <f ca="1">IF(AND('Mapa final'!$K$121="Baja",'Mapa final'!$O$121="Leve"),CONCATENATE("R",'Mapa final'!$A$121),"")</f>
        <v/>
      </c>
      <c r="O74" s="515"/>
      <c r="P74" s="515" t="str">
        <f ca="1">IF(AND('Mapa final'!$K$124="Baja",'Mapa final'!$O$124="Leve"),CONCATENATE("R",'Mapa final'!$A$124),"")</f>
        <v/>
      </c>
      <c r="Q74" s="515"/>
      <c r="R74" s="515" t="str">
        <f ca="1">IF(AND('Mapa final'!$K$127="Baja",'Mapa final'!$O$127="Leve"),CONCATENATE("R",'Mapa final'!$A$127),"")</f>
        <v/>
      </c>
      <c r="S74" s="515"/>
      <c r="T74" s="521" t="str">
        <f ca="1">IF(AND('Mapa final'!$K$115="Baja",'Mapa final'!$O$115="Menor"),CONCATENATE("R",'Mapa final'!$A$115),"")</f>
        <v/>
      </c>
      <c r="U74" s="520"/>
      <c r="V74" s="520" t="str">
        <f ca="1">IF(AND('Mapa final'!$K$118="Baja",'Mapa final'!$O$118="Menor"),CONCATENATE("R",'Mapa final'!$A$118),"")</f>
        <v/>
      </c>
      <c r="W74" s="520"/>
      <c r="X74" s="520" t="str">
        <f ca="1">IF(AND('Mapa final'!$K$121="Baja",'Mapa final'!$O$121="Menor"),CONCATENATE("R",'Mapa final'!$A$121),"")</f>
        <v/>
      </c>
      <c r="Y74" s="520"/>
      <c r="Z74" s="520" t="str">
        <f ca="1">IF(AND('Mapa final'!$K$124="Baja",'Mapa final'!$O$124="Menor"),CONCATENATE("R",'Mapa final'!$A$124),"")</f>
        <v/>
      </c>
      <c r="AA74" s="520"/>
      <c r="AB74" s="520" t="str">
        <f ca="1">IF(AND('Mapa final'!$K$127="Baja",'Mapa final'!$O$127="Menor"),CONCATENATE("R",'Mapa final'!$A$127),"")</f>
        <v/>
      </c>
      <c r="AC74" s="520"/>
      <c r="AD74" s="521" t="str">
        <f ca="1">IF(AND('Mapa final'!$K$115="Baja",'Mapa final'!$O$115="Moderado"),CONCATENATE("R",'Mapa final'!$A$115),"")</f>
        <v/>
      </c>
      <c r="AE74" s="520"/>
      <c r="AF74" s="520" t="str">
        <f ca="1">IF(AND('Mapa final'!$K$118="Baja",'Mapa final'!$O$118="Moderado"),CONCATENATE("R",'Mapa final'!$A$118),"")</f>
        <v/>
      </c>
      <c r="AG74" s="520"/>
      <c r="AH74" s="520" t="str">
        <f ca="1">IF(AND('Mapa final'!$K$121="Baja",'Mapa final'!$O$121="Moderado"),CONCATENATE("R",'Mapa final'!$A$121),"")</f>
        <v/>
      </c>
      <c r="AI74" s="520"/>
      <c r="AJ74" s="520" t="str">
        <f ca="1">IF(AND('Mapa final'!$K$124="Baja",'Mapa final'!$O$124="Moderado"),CONCATENATE("R",'Mapa final'!$A$124),"")</f>
        <v/>
      </c>
      <c r="AK74" s="520"/>
      <c r="AL74" s="520" t="str">
        <f ca="1">IF(AND('Mapa final'!$K$127="Baja",'Mapa final'!$O$127="Moderado"),CONCATENATE("R",'Mapa final'!$A$127),"")</f>
        <v/>
      </c>
      <c r="AM74" s="525"/>
      <c r="AN74" s="522" t="str">
        <f ca="1">IF(AND('Mapa final'!$K$115="Baja",'Mapa final'!$O$115="Mayor"),CONCATENATE("R",'Mapa final'!$A$115),"")</f>
        <v/>
      </c>
      <c r="AO74" s="522"/>
      <c r="AP74" s="522" t="str">
        <f ca="1">IF(AND('Mapa final'!$K$118="Baja",'Mapa final'!$O$118="Mayor"),CONCATENATE("R",'Mapa final'!$A$118),"")</f>
        <v/>
      </c>
      <c r="AQ74" s="522"/>
      <c r="AR74" s="522" t="str">
        <f ca="1">IF(AND('Mapa final'!$K$121="Baja",'Mapa final'!$O$121="Mayor"),CONCATENATE("R",'Mapa final'!$A$121),"")</f>
        <v/>
      </c>
      <c r="AS74" s="522"/>
      <c r="AT74" s="522" t="str">
        <f ca="1">IF(AND('Mapa final'!$K$124="Baja",'Mapa final'!$O$124="Mayor"),CONCATENATE("R",'Mapa final'!$A$124),"")</f>
        <v/>
      </c>
      <c r="AU74" s="522"/>
      <c r="AV74" s="522" t="str">
        <f ca="1">IF(AND('Mapa final'!$K$127="Baja",'Mapa final'!$O$127="Mayor"),CONCATENATE("R",'Mapa final'!$A$127),"")</f>
        <v/>
      </c>
      <c r="AW74" s="522"/>
      <c r="AX74" s="519" t="str">
        <f ca="1">IF(AND('Mapa final'!$K$115="Baja",'Mapa final'!$O$115="Catastrófico"),CONCATENATE("R",'Mapa final'!$A$115),"")</f>
        <v/>
      </c>
      <c r="AY74" s="517"/>
      <c r="AZ74" s="517" t="str">
        <f ca="1">IF(AND('Mapa final'!$K$118="Baja",'Mapa final'!$O$118="Catastrófico"),CONCATENATE("R",'Mapa final'!$A$118),"")</f>
        <v/>
      </c>
      <c r="BA74" s="517"/>
      <c r="BB74" s="517" t="str">
        <f ca="1">IF(AND('Mapa final'!$K$121="Baja",'Mapa final'!$O$121="Catastrófico"),CONCATENATE("R",'Mapa final'!$A$121),"")</f>
        <v/>
      </c>
      <c r="BC74" s="517"/>
      <c r="BD74" s="517" t="str">
        <f ca="1">IF(AND('Mapa final'!$K$124="Baja",'Mapa final'!$O$124="Catastrófico"),CONCATENATE("R",'Mapa final'!$A$124),"")</f>
        <v/>
      </c>
      <c r="BE74" s="517"/>
      <c r="BF74" s="517" t="str">
        <f ca="1">IF(AND('Mapa final'!$K$127="Baja",'Mapa final'!$O$127="Catastrófico"),CONCATENATE("R",'Mapa final'!$A$127),"")</f>
        <v/>
      </c>
      <c r="BG74" s="518"/>
      <c r="BH74" s="38"/>
      <c r="BI74" s="587"/>
      <c r="BJ74" s="588"/>
      <c r="BK74" s="588"/>
      <c r="BL74" s="588"/>
      <c r="BM74" s="588"/>
      <c r="BN74" s="589"/>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row>
    <row r="75" spans="1:100" ht="15" customHeight="1" x14ac:dyDescent="0.25">
      <c r="A75" s="38"/>
      <c r="B75" s="355"/>
      <c r="C75" s="356"/>
      <c r="D75" s="357"/>
      <c r="E75" s="595"/>
      <c r="F75" s="596"/>
      <c r="G75" s="596"/>
      <c r="H75" s="596"/>
      <c r="I75" s="596"/>
      <c r="J75" s="514"/>
      <c r="K75" s="515"/>
      <c r="L75" s="515"/>
      <c r="M75" s="515"/>
      <c r="N75" s="515"/>
      <c r="O75" s="515"/>
      <c r="P75" s="515"/>
      <c r="Q75" s="515"/>
      <c r="R75" s="515"/>
      <c r="S75" s="515"/>
      <c r="T75" s="521"/>
      <c r="U75" s="520"/>
      <c r="V75" s="520"/>
      <c r="W75" s="520"/>
      <c r="X75" s="520"/>
      <c r="Y75" s="520"/>
      <c r="Z75" s="520"/>
      <c r="AA75" s="520"/>
      <c r="AB75" s="520"/>
      <c r="AC75" s="520"/>
      <c r="AD75" s="521"/>
      <c r="AE75" s="520"/>
      <c r="AF75" s="520"/>
      <c r="AG75" s="520"/>
      <c r="AH75" s="520"/>
      <c r="AI75" s="520"/>
      <c r="AJ75" s="520"/>
      <c r="AK75" s="520"/>
      <c r="AL75" s="520"/>
      <c r="AM75" s="525"/>
      <c r="AN75" s="522"/>
      <c r="AO75" s="522"/>
      <c r="AP75" s="522"/>
      <c r="AQ75" s="522"/>
      <c r="AR75" s="522"/>
      <c r="AS75" s="522"/>
      <c r="AT75" s="522"/>
      <c r="AU75" s="522"/>
      <c r="AV75" s="522"/>
      <c r="AW75" s="522"/>
      <c r="AX75" s="519"/>
      <c r="AY75" s="517"/>
      <c r="AZ75" s="517"/>
      <c r="BA75" s="517"/>
      <c r="BB75" s="517"/>
      <c r="BC75" s="517"/>
      <c r="BD75" s="517"/>
      <c r="BE75" s="517"/>
      <c r="BF75" s="517"/>
      <c r="BG75" s="518"/>
      <c r="BH75" s="38"/>
      <c r="BI75" s="587"/>
      <c r="BJ75" s="588"/>
      <c r="BK75" s="588"/>
      <c r="BL75" s="588"/>
      <c r="BM75" s="588"/>
      <c r="BN75" s="589"/>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row>
    <row r="76" spans="1:100" ht="15" customHeight="1" x14ac:dyDescent="0.25">
      <c r="A76" s="38"/>
      <c r="B76" s="355"/>
      <c r="C76" s="356"/>
      <c r="D76" s="357"/>
      <c r="E76" s="595"/>
      <c r="F76" s="596"/>
      <c r="G76" s="596"/>
      <c r="H76" s="596"/>
      <c r="I76" s="596"/>
      <c r="J76" s="514" t="str">
        <f ca="1">IF(AND('Mapa final'!$K$130="Baja",'Mapa final'!$O$130="Leve"),CONCATENATE("R",'Mapa final'!$A$130),"")</f>
        <v/>
      </c>
      <c r="K76" s="515"/>
      <c r="L76" s="515" t="str">
        <f ca="1">IF(AND('Mapa final'!$K$133="Baja",'Mapa final'!$O$133="Leve"),CONCATENATE("R",'Mapa final'!$A$133),"")</f>
        <v/>
      </c>
      <c r="M76" s="515"/>
      <c r="N76" s="515" t="str">
        <f ca="1">IF(AND('Mapa final'!$K$136="Baja",'Mapa final'!$O$136="Leve"),CONCATENATE("R",'Mapa final'!$A$136),"")</f>
        <v/>
      </c>
      <c r="O76" s="515"/>
      <c r="P76" s="515" t="str">
        <f>IF(AND('Mapa final'!$K$139="Baja",'Mapa final'!$O$139="Leve"),CONCATENATE("R",'Mapa final'!$A$139),"")</f>
        <v/>
      </c>
      <c r="Q76" s="515"/>
      <c r="R76" s="515" t="str">
        <f>IF(AND('Mapa final'!$K$142="Baja",'Mapa final'!$O$142="Leve"),CONCATENATE("R",'Mapa final'!$A$142),"")</f>
        <v/>
      </c>
      <c r="S76" s="515"/>
      <c r="T76" s="521" t="str">
        <f ca="1">IF(AND('Mapa final'!$K$130="Baja",'Mapa final'!$O$130="Menor"),CONCATENATE("R",'Mapa final'!$A$130),"")</f>
        <v/>
      </c>
      <c r="U76" s="520"/>
      <c r="V76" s="520" t="str">
        <f ca="1">IF(AND('Mapa final'!$K$133="Baja",'Mapa final'!$O$133="Menor"),CONCATENATE("R",'Mapa final'!$A$133),"")</f>
        <v/>
      </c>
      <c r="W76" s="520"/>
      <c r="X76" s="520" t="str">
        <f ca="1">IF(AND('Mapa final'!$K$136="Baja",'Mapa final'!$O$136="Menor"),CONCATENATE("R",'Mapa final'!$A$136),"")</f>
        <v/>
      </c>
      <c r="Y76" s="520"/>
      <c r="Z76" s="520" t="str">
        <f>IF(AND('Mapa final'!$K$139="Baja",'Mapa final'!$O$139="Menor"),CONCATENATE("R",'Mapa final'!$A$139),"")</f>
        <v/>
      </c>
      <c r="AA76" s="520"/>
      <c r="AB76" s="520" t="str">
        <f>IF(AND('Mapa final'!$K$142="Baja",'Mapa final'!$O$142="Menor"),CONCATENATE("R",'Mapa final'!$A$142),"")</f>
        <v/>
      </c>
      <c r="AC76" s="520"/>
      <c r="AD76" s="521" t="str">
        <f ca="1">IF(AND('Mapa final'!$K$130="Baja",'Mapa final'!$O$130="Moderado"),CONCATENATE("R",'Mapa final'!$A$130),"")</f>
        <v/>
      </c>
      <c r="AE76" s="520"/>
      <c r="AF76" s="520" t="str">
        <f ca="1">IF(AND('Mapa final'!$K$133="Baja",'Mapa final'!$O$133="Moderado"),CONCATENATE("R",'Mapa final'!$A$133),"")</f>
        <v>R42</v>
      </c>
      <c r="AG76" s="520"/>
      <c r="AH76" s="520" t="str">
        <f ca="1">IF(AND('Mapa final'!$K$136="Baja",'Mapa final'!$O$136="Moderado"),CONCATENATE("R",'Mapa final'!$A$136),"")</f>
        <v/>
      </c>
      <c r="AI76" s="520"/>
      <c r="AJ76" s="520" t="str">
        <f>IF(AND('Mapa final'!$K$139="Baja",'Mapa final'!$O$139="Moderado"),CONCATENATE("R",'Mapa final'!$A$139),"")</f>
        <v/>
      </c>
      <c r="AK76" s="520"/>
      <c r="AL76" s="520" t="str">
        <f>IF(AND('Mapa final'!$K$142="Baja",'Mapa final'!$O$142="Moderado"),CONCATENATE("R",'Mapa final'!$A$142),"")</f>
        <v/>
      </c>
      <c r="AM76" s="525"/>
      <c r="AN76" s="522" t="str">
        <f ca="1">IF(AND('Mapa final'!$K$130="Baja",'Mapa final'!$O$130="Mayor"),CONCATENATE("R",'Mapa final'!$A$130),"")</f>
        <v>R41</v>
      </c>
      <c r="AO76" s="522"/>
      <c r="AP76" s="522" t="str">
        <f ca="1">IF(AND('Mapa final'!$K$133="Baja",'Mapa final'!$O$133="Mayor"),CONCATENATE("R",'Mapa final'!$A$133),"")</f>
        <v/>
      </c>
      <c r="AQ76" s="522"/>
      <c r="AR76" s="522" t="str">
        <f ca="1">IF(AND('Mapa final'!$K$136="Baja",'Mapa final'!$O$136="Mayor"),CONCATENATE("R",'Mapa final'!$A$136),"")</f>
        <v/>
      </c>
      <c r="AS76" s="522"/>
      <c r="AT76" s="522" t="str">
        <f>IF(AND('Mapa final'!$K$139="Baja",'Mapa final'!$O$139="Mayor"),CONCATENATE("R",'Mapa final'!$A$139),"")</f>
        <v/>
      </c>
      <c r="AU76" s="522"/>
      <c r="AV76" s="522" t="str">
        <f>IF(AND('Mapa final'!$K$142="Baja",'Mapa final'!$O$142="Mayor"),CONCATENATE("R",'Mapa final'!$A$142),"")</f>
        <v/>
      </c>
      <c r="AW76" s="522"/>
      <c r="AX76" s="519" t="str">
        <f ca="1">IF(AND('Mapa final'!$K$130="Baja",'Mapa final'!$O$130="Catastrófico"),CONCATENATE("R",'Mapa final'!$A$130),"")</f>
        <v/>
      </c>
      <c r="AY76" s="517"/>
      <c r="AZ76" s="517" t="str">
        <f ca="1">IF(AND('Mapa final'!$K$133="Baja",'Mapa final'!$O$133="Catastrófico"),CONCATENATE("R",'Mapa final'!$A$133),"")</f>
        <v/>
      </c>
      <c r="BA76" s="517"/>
      <c r="BB76" s="517" t="str">
        <f ca="1">IF(AND('Mapa final'!$K$136="Baja",'Mapa final'!$O$136="Catastrófico"),CONCATENATE("R",'Mapa final'!$A$136),"")</f>
        <v/>
      </c>
      <c r="BC76" s="517"/>
      <c r="BD76" s="517" t="str">
        <f>IF(AND('Mapa final'!$K$139="Baja",'Mapa final'!$O$139="Catastrófico"),CONCATENATE("R",'Mapa final'!$A$139),"")</f>
        <v/>
      </c>
      <c r="BE76" s="517"/>
      <c r="BF76" s="517" t="str">
        <f>IF(AND('Mapa final'!$K$142="Baja",'Mapa final'!$O$142="Catastrófico"),CONCATENATE("R",'Mapa final'!$A$142),"")</f>
        <v/>
      </c>
      <c r="BG76" s="518"/>
      <c r="BH76" s="38"/>
      <c r="BI76" s="587"/>
      <c r="BJ76" s="588"/>
      <c r="BK76" s="588"/>
      <c r="BL76" s="588"/>
      <c r="BM76" s="588"/>
      <c r="BN76" s="589"/>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row>
    <row r="77" spans="1:100" ht="15" customHeight="1" thickBot="1" x14ac:dyDescent="0.3">
      <c r="A77" s="38"/>
      <c r="B77" s="355"/>
      <c r="C77" s="356"/>
      <c r="D77" s="357"/>
      <c r="E77" s="595"/>
      <c r="F77" s="596"/>
      <c r="G77" s="596"/>
      <c r="H77" s="596"/>
      <c r="I77" s="596"/>
      <c r="J77" s="545"/>
      <c r="K77" s="546"/>
      <c r="L77" s="546"/>
      <c r="M77" s="546"/>
      <c r="N77" s="546"/>
      <c r="O77" s="546"/>
      <c r="P77" s="546"/>
      <c r="Q77" s="546"/>
      <c r="R77" s="546"/>
      <c r="S77" s="546"/>
      <c r="T77" s="540"/>
      <c r="U77" s="537"/>
      <c r="V77" s="537"/>
      <c r="W77" s="537"/>
      <c r="X77" s="537"/>
      <c r="Y77" s="537"/>
      <c r="Z77" s="537"/>
      <c r="AA77" s="537"/>
      <c r="AB77" s="537"/>
      <c r="AC77" s="537"/>
      <c r="AD77" s="540"/>
      <c r="AE77" s="537"/>
      <c r="AF77" s="537"/>
      <c r="AG77" s="537"/>
      <c r="AH77" s="537"/>
      <c r="AI77" s="537"/>
      <c r="AJ77" s="537"/>
      <c r="AK77" s="537"/>
      <c r="AL77" s="537"/>
      <c r="AM77" s="556"/>
      <c r="AN77" s="522"/>
      <c r="AO77" s="522"/>
      <c r="AP77" s="522"/>
      <c r="AQ77" s="522"/>
      <c r="AR77" s="522"/>
      <c r="AS77" s="522"/>
      <c r="AT77" s="522"/>
      <c r="AU77" s="522"/>
      <c r="AV77" s="522"/>
      <c r="AW77" s="522"/>
      <c r="AX77" s="542"/>
      <c r="AY77" s="543"/>
      <c r="AZ77" s="543"/>
      <c r="BA77" s="543"/>
      <c r="BB77" s="543"/>
      <c r="BC77" s="543"/>
      <c r="BD77" s="543"/>
      <c r="BE77" s="543"/>
      <c r="BF77" s="543"/>
      <c r="BG77" s="544"/>
      <c r="BH77" s="38"/>
      <c r="BI77" s="587"/>
      <c r="BJ77" s="588"/>
      <c r="BK77" s="588"/>
      <c r="BL77" s="588"/>
      <c r="BM77" s="588"/>
      <c r="BN77" s="589"/>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row>
    <row r="78" spans="1:100" ht="15" customHeight="1" x14ac:dyDescent="0.25">
      <c r="A78" s="38"/>
      <c r="B78" s="355"/>
      <c r="C78" s="356"/>
      <c r="D78" s="357"/>
      <c r="E78" s="593" t="s">
        <v>104</v>
      </c>
      <c r="F78" s="594"/>
      <c r="G78" s="594"/>
      <c r="H78" s="594"/>
      <c r="I78" s="597"/>
      <c r="J78" s="555" t="str">
        <f ca="1">IF(AND('Mapa final'!$K$7="Muy Baja",'Mapa final'!$O$7="Leve"),CONCATENATE("R",'Mapa final'!$A$7),"")</f>
        <v/>
      </c>
      <c r="K78" s="552"/>
      <c r="L78" s="552" t="str">
        <f ca="1">IF(AND('Mapa final'!$K$10="Muy Baja",'Mapa final'!$O$10="Leve"),CONCATENATE("R",'Mapa final'!$A$10),"")</f>
        <v/>
      </c>
      <c r="M78" s="552"/>
      <c r="N78" s="552" t="str">
        <f ca="1">IF(AND('Mapa final'!$K$13="Muy Baja",'Mapa final'!$O$13="Leve"),CONCATENATE("R",'Mapa final'!$A$13),"")</f>
        <v/>
      </c>
      <c r="O78" s="552"/>
      <c r="P78" s="552" t="str">
        <f ca="1">IF(AND('Mapa final'!$K$16="Muy Baja",'Mapa final'!$O$16="Leve"),CONCATENATE("R",'Mapa final'!$A$16),"")</f>
        <v/>
      </c>
      <c r="Q78" s="552"/>
      <c r="R78" s="552" t="str">
        <f ca="1">IF(AND('Mapa final'!$K$19="Muy Baja",'Mapa final'!$O$19="Leve"),CONCATENATE("R",'Mapa final'!$A$19),"")</f>
        <v/>
      </c>
      <c r="S78" s="554"/>
      <c r="T78" s="555" t="str">
        <f ca="1">IF(AND('Mapa final'!$K$7="Muy Baja",'Mapa final'!$O$7="Menor"),CONCATENATE("R",'Mapa final'!$A$7),"")</f>
        <v/>
      </c>
      <c r="U78" s="552"/>
      <c r="V78" s="552" t="str">
        <f ca="1">IF(AND('Mapa final'!$K$10="Muy Baja",'Mapa final'!$O$10="Menor"),CONCATENATE("R",'Mapa final'!$A$10),"")</f>
        <v/>
      </c>
      <c r="W78" s="552"/>
      <c r="X78" s="552" t="str">
        <f ca="1">IF(AND('Mapa final'!$K$13="Muy Baja",'Mapa final'!$O$13="Menor"),CONCATENATE("R",'Mapa final'!$A$13),"")</f>
        <v/>
      </c>
      <c r="Y78" s="552"/>
      <c r="Z78" s="552" t="str">
        <f ca="1">IF(AND('Mapa final'!$K$16="Muy Baja",'Mapa final'!$O$16="Menor"),CONCATENATE("R",'Mapa final'!$A$16),"")</f>
        <v/>
      </c>
      <c r="AA78" s="552"/>
      <c r="AB78" s="552" t="str">
        <f ca="1">IF(AND('Mapa final'!$K$19="Muy Baja",'Mapa final'!$O$19="Menor"),CONCATENATE("R",'Mapa final'!$A$19),"")</f>
        <v/>
      </c>
      <c r="AC78" s="554"/>
      <c r="AD78" s="528" t="str">
        <f ca="1">IF(AND('Mapa final'!$K$7="Muy Baja",'Mapa final'!$O$7="Moderado"),CONCATENATE("R",'Mapa final'!$A$7),"")</f>
        <v/>
      </c>
      <c r="AE78" s="529"/>
      <c r="AF78" s="529" t="str">
        <f ca="1">IF(AND('Mapa final'!$K$10="Muy Baja",'Mapa final'!$O$10="Moderado"),CONCATENATE("R",'Mapa final'!$A$10),"")</f>
        <v/>
      </c>
      <c r="AG78" s="529"/>
      <c r="AH78" s="529" t="str">
        <f ca="1">IF(AND('Mapa final'!$K$13="Muy Baja",'Mapa final'!$O$13="Moderado"),CONCATENATE("R",'Mapa final'!$A$13),"")</f>
        <v/>
      </c>
      <c r="AI78" s="529"/>
      <c r="AJ78" s="529" t="str">
        <f ca="1">IF(AND('Mapa final'!$K$16="Muy Baja",'Mapa final'!$O$16="Moderado"),CONCATENATE("R",'Mapa final'!$A$16),"")</f>
        <v/>
      </c>
      <c r="AK78" s="529"/>
      <c r="AL78" s="529" t="str">
        <f ca="1">IF(AND('Mapa final'!$K$19="Muy Baja",'Mapa final'!$O$19="Moderado"),CONCATENATE("R",'Mapa final'!$A$19),"")</f>
        <v/>
      </c>
      <c r="AM78" s="529"/>
      <c r="AN78" s="539" t="str">
        <f ca="1">IF(AND('Mapa final'!$K$7="Muy Baja",'Mapa final'!$O$7="Mayor"),CONCATENATE("R",'Mapa final'!$A$7),"")</f>
        <v/>
      </c>
      <c r="AO78" s="526"/>
      <c r="AP78" s="526" t="str">
        <f ca="1">IF(AND('Mapa final'!$K$10="Muy Baja",'Mapa final'!$O$10="Mayor"),CONCATENATE("R",'Mapa final'!$A$10),"")</f>
        <v/>
      </c>
      <c r="AQ78" s="526"/>
      <c r="AR78" s="526" t="str">
        <f ca="1">IF(AND('Mapa final'!$K$13="Muy Baja",'Mapa final'!$O$13="Mayor"),CONCATENATE("R",'Mapa final'!$A$13),"")</f>
        <v/>
      </c>
      <c r="AS78" s="526"/>
      <c r="AT78" s="526" t="str">
        <f ca="1">IF(AND('Mapa final'!$K$16="Muy Baja",'Mapa final'!$O$16="Mayor"),CONCATENATE("R",'Mapa final'!$A$16),"")</f>
        <v/>
      </c>
      <c r="AU78" s="526"/>
      <c r="AV78" s="526" t="str">
        <f ca="1">IF(AND('Mapa final'!$K$19="Muy Baja",'Mapa final'!$O$19="Mayor"),CONCATENATE("R",'Mapa final'!$A$19),"")</f>
        <v/>
      </c>
      <c r="AW78" s="536"/>
      <c r="AX78" s="548" t="str">
        <f ca="1">IF(AND('Mapa final'!$K$7="Muy Baja",'Mapa final'!$O$7="Catastrófico"),CONCATENATE("R",'Mapa final'!$A$7),"")</f>
        <v/>
      </c>
      <c r="AY78" s="549"/>
      <c r="AZ78" s="549" t="str">
        <f ca="1">IF(AND('Mapa final'!$K$10="Muy Baja",'Mapa final'!$O$10="Catastrófico"),CONCATENATE("R",'Mapa final'!$A$10),"")</f>
        <v/>
      </c>
      <c r="BA78" s="549"/>
      <c r="BB78" s="549" t="str">
        <f ca="1">IF(AND('Mapa final'!$K$13="Muy Baja",'Mapa final'!$O$13="Catastrófico"),CONCATENATE("R",'Mapa final'!$A$13),"")</f>
        <v/>
      </c>
      <c r="BC78" s="549"/>
      <c r="BD78" s="549" t="str">
        <f ca="1">IF(AND('Mapa final'!$K$16="Muy Baja",'Mapa final'!$O$16="Catastrófico"),CONCATENATE("R",'Mapa final'!$A$16),"")</f>
        <v/>
      </c>
      <c r="BE78" s="549"/>
      <c r="BF78" s="549" t="str">
        <f ca="1">IF(AND('Mapa final'!$K$19="Muy Baja",'Mapa final'!$O$19="Catastrófico"),CONCATENATE("R",'Mapa final'!$A$19),"")</f>
        <v/>
      </c>
      <c r="BG78" s="550"/>
      <c r="BH78" s="38"/>
      <c r="BI78" s="587"/>
      <c r="BJ78" s="588"/>
      <c r="BK78" s="588"/>
      <c r="BL78" s="588"/>
      <c r="BM78" s="588"/>
      <c r="BN78" s="589"/>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row>
    <row r="79" spans="1:100" ht="15" customHeight="1" x14ac:dyDescent="0.25">
      <c r="A79" s="38"/>
      <c r="B79" s="355"/>
      <c r="C79" s="356"/>
      <c r="D79" s="357"/>
      <c r="E79" s="595"/>
      <c r="F79" s="596"/>
      <c r="G79" s="596"/>
      <c r="H79" s="596"/>
      <c r="I79" s="598"/>
      <c r="J79" s="514"/>
      <c r="K79" s="515"/>
      <c r="L79" s="515"/>
      <c r="M79" s="515"/>
      <c r="N79" s="515"/>
      <c r="O79" s="515"/>
      <c r="P79" s="515"/>
      <c r="Q79" s="515"/>
      <c r="R79" s="515"/>
      <c r="S79" s="516"/>
      <c r="T79" s="514"/>
      <c r="U79" s="515"/>
      <c r="V79" s="515"/>
      <c r="W79" s="515"/>
      <c r="X79" s="515"/>
      <c r="Y79" s="515"/>
      <c r="Z79" s="515"/>
      <c r="AA79" s="515"/>
      <c r="AB79" s="515"/>
      <c r="AC79" s="516"/>
      <c r="AD79" s="521"/>
      <c r="AE79" s="520"/>
      <c r="AF79" s="520"/>
      <c r="AG79" s="520"/>
      <c r="AH79" s="520"/>
      <c r="AI79" s="520"/>
      <c r="AJ79" s="520"/>
      <c r="AK79" s="520"/>
      <c r="AL79" s="520"/>
      <c r="AM79" s="520"/>
      <c r="AN79" s="524"/>
      <c r="AO79" s="522"/>
      <c r="AP79" s="522"/>
      <c r="AQ79" s="522"/>
      <c r="AR79" s="522"/>
      <c r="AS79" s="522"/>
      <c r="AT79" s="522"/>
      <c r="AU79" s="522"/>
      <c r="AV79" s="522"/>
      <c r="AW79" s="523"/>
      <c r="AX79" s="519"/>
      <c r="AY79" s="517"/>
      <c r="AZ79" s="517"/>
      <c r="BA79" s="517"/>
      <c r="BB79" s="517"/>
      <c r="BC79" s="517"/>
      <c r="BD79" s="517"/>
      <c r="BE79" s="517"/>
      <c r="BF79" s="517"/>
      <c r="BG79" s="518"/>
      <c r="BH79" s="38"/>
      <c r="BI79" s="587"/>
      <c r="BJ79" s="588"/>
      <c r="BK79" s="588"/>
      <c r="BL79" s="588"/>
      <c r="BM79" s="588"/>
      <c r="BN79" s="589"/>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row>
    <row r="80" spans="1:100" ht="15" customHeight="1" x14ac:dyDescent="0.25">
      <c r="A80" s="38"/>
      <c r="B80" s="355"/>
      <c r="C80" s="356"/>
      <c r="D80" s="357"/>
      <c r="E80" s="595"/>
      <c r="F80" s="596"/>
      <c r="G80" s="596"/>
      <c r="H80" s="596"/>
      <c r="I80" s="598"/>
      <c r="J80" s="514" t="str">
        <f ca="1">IF(AND('Mapa final'!$K$22="Muy Baja",'Mapa final'!$O$22="Leve"),CONCATENATE("R",'Mapa final'!$A$22),"")</f>
        <v/>
      </c>
      <c r="K80" s="515"/>
      <c r="L80" s="515" t="str">
        <f ca="1">IF(AND('Mapa final'!$K$25="Muy Baja",'Mapa final'!$O$25="Leve"),CONCATENATE("R",'Mapa final'!$A$25),"")</f>
        <v/>
      </c>
      <c r="M80" s="515"/>
      <c r="N80" s="515" t="str">
        <f ca="1">IF(AND('Mapa final'!$K$28="Muy Baja",'Mapa final'!$O$28="Leve"),CONCATENATE("R",'Mapa final'!$A$28),"")</f>
        <v/>
      </c>
      <c r="O80" s="515"/>
      <c r="P80" s="515" t="str">
        <f ca="1">IF(AND('Mapa final'!$K$31="Muy Baja",'Mapa final'!$O$31="Leve"),CONCATENATE("R",'Mapa final'!$A$31),"")</f>
        <v/>
      </c>
      <c r="Q80" s="515"/>
      <c r="R80" s="515" t="str">
        <f ca="1">IF(AND('Mapa final'!$K$34="Muy Baja",'Mapa final'!$O$34="Leve"),CONCATENATE("R",'Mapa final'!$A$34),"")</f>
        <v/>
      </c>
      <c r="S80" s="516"/>
      <c r="T80" s="514" t="str">
        <f ca="1">IF(AND('Mapa final'!$K$22="Muy Baja",'Mapa final'!$O$22="Menor"),CONCATENATE("R",'Mapa final'!$A$22),"")</f>
        <v/>
      </c>
      <c r="U80" s="515"/>
      <c r="V80" s="515" t="str">
        <f ca="1">IF(AND('Mapa final'!$K$25="Muy Baja",'Mapa final'!$O$25="Menor"),CONCATENATE("R",'Mapa final'!$A$25),"")</f>
        <v/>
      </c>
      <c r="W80" s="515"/>
      <c r="X80" s="515" t="str">
        <f ca="1">IF(AND('Mapa final'!$K$28="Muy Baja",'Mapa final'!$O$28="Menor"),CONCATENATE("R",'Mapa final'!$A$28),"")</f>
        <v/>
      </c>
      <c r="Y80" s="515"/>
      <c r="Z80" s="515" t="str">
        <f ca="1">IF(AND('Mapa final'!$K$31="Muy Baja",'Mapa final'!$O$31="Menor"),CONCATENATE("R",'Mapa final'!$A$31),"")</f>
        <v/>
      </c>
      <c r="AA80" s="515"/>
      <c r="AB80" s="515" t="str">
        <f ca="1">IF(AND('Mapa final'!$K$34="Muy Baja",'Mapa final'!$O$34="Menor"),CONCATENATE("R",'Mapa final'!$A$34),"")</f>
        <v/>
      </c>
      <c r="AC80" s="516"/>
      <c r="AD80" s="521" t="str">
        <f ca="1">IF(AND('Mapa final'!$K$22="Muy Baja",'Mapa final'!$O$22="Moderado"),CONCATENATE("R",'Mapa final'!$A$22),"")</f>
        <v/>
      </c>
      <c r="AE80" s="520"/>
      <c r="AF80" s="520" t="str">
        <f ca="1">IF(AND('Mapa final'!$K$25="Muy Baja",'Mapa final'!$O$25="Moderado"),CONCATENATE("R",'Mapa final'!$A$25),"")</f>
        <v/>
      </c>
      <c r="AG80" s="520"/>
      <c r="AH80" s="520" t="str">
        <f ca="1">IF(AND('Mapa final'!$K$28="Muy Baja",'Mapa final'!$O$28="Moderado"),CONCATENATE("R",'Mapa final'!$A$28),"")</f>
        <v/>
      </c>
      <c r="AI80" s="520"/>
      <c r="AJ80" s="520" t="str">
        <f ca="1">IF(AND('Mapa final'!$K$31="Muy Baja",'Mapa final'!$O$31="Moderado"),CONCATENATE("R",'Mapa final'!$A$31),"")</f>
        <v/>
      </c>
      <c r="AK80" s="520"/>
      <c r="AL80" s="520" t="str">
        <f ca="1">IF(AND('Mapa final'!$K$34="Muy Baja",'Mapa final'!$O$34="Moderado"),CONCATENATE("R",'Mapa final'!$A$34),"")</f>
        <v/>
      </c>
      <c r="AM80" s="520"/>
      <c r="AN80" s="524" t="str">
        <f ca="1">IF(AND('Mapa final'!$K$22="Muy Baja",'Mapa final'!$O$22="Mayor"),CONCATENATE("R",'Mapa final'!$A$22),"")</f>
        <v/>
      </c>
      <c r="AO80" s="522"/>
      <c r="AP80" s="522" t="str">
        <f ca="1">IF(AND('Mapa final'!$K$25="Muy Baja",'Mapa final'!$O$25="Mayor"),CONCATENATE("R",'Mapa final'!$A$25),"")</f>
        <v/>
      </c>
      <c r="AQ80" s="522"/>
      <c r="AR80" s="522" t="str">
        <f ca="1">IF(AND('Mapa final'!$K$28="Muy Baja",'Mapa final'!$O$28="Mayor"),CONCATENATE("R",'Mapa final'!$A$28),"")</f>
        <v/>
      </c>
      <c r="AS80" s="522"/>
      <c r="AT80" s="522" t="str">
        <f ca="1">IF(AND('Mapa final'!$K$31="Muy Baja",'Mapa final'!$O$31="Mayor"),CONCATENATE("R",'Mapa final'!$A$31),"")</f>
        <v/>
      </c>
      <c r="AU80" s="522"/>
      <c r="AV80" s="522" t="str">
        <f ca="1">IF(AND('Mapa final'!$K$34="Muy Baja",'Mapa final'!$O$34="Mayor"),CONCATENATE("R",'Mapa final'!$A$34),"")</f>
        <v/>
      </c>
      <c r="AW80" s="523"/>
      <c r="AX80" s="519" t="str">
        <f ca="1">IF(AND('Mapa final'!$K$22="Muy Baja",'Mapa final'!$O$22="Catastrófico"),CONCATENATE("R",'Mapa final'!$A$22),"")</f>
        <v/>
      </c>
      <c r="AY80" s="517"/>
      <c r="AZ80" s="517" t="str">
        <f ca="1">IF(AND('Mapa final'!$K$25="Muy Baja",'Mapa final'!$O$25="Catastrófico"),CONCATENATE("R",'Mapa final'!$A$25),"")</f>
        <v/>
      </c>
      <c r="BA80" s="517"/>
      <c r="BB80" s="517" t="str">
        <f ca="1">IF(AND('Mapa final'!$K$28="Muy Baja",'Mapa final'!$O$28="Catastrófico"),CONCATENATE("R",'Mapa final'!$A$28),"")</f>
        <v/>
      </c>
      <c r="BC80" s="517"/>
      <c r="BD80" s="517" t="str">
        <f ca="1">IF(AND('Mapa final'!$K$31="Muy Baja",'Mapa final'!$O$31="Catastrófico"),CONCATENATE("R",'Mapa final'!$A$31),"")</f>
        <v/>
      </c>
      <c r="BE80" s="517"/>
      <c r="BF80" s="517" t="str">
        <f ca="1">IF(AND('Mapa final'!$K$34="Muy Baja",'Mapa final'!$O$34="Catastrófico"),CONCATENATE("R",'Mapa final'!$A$34),"")</f>
        <v/>
      </c>
      <c r="BG80" s="518"/>
      <c r="BH80" s="38"/>
      <c r="BI80" s="587"/>
      <c r="BJ80" s="588"/>
      <c r="BK80" s="588"/>
      <c r="BL80" s="588"/>
      <c r="BM80" s="588"/>
      <c r="BN80" s="589"/>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row>
    <row r="81" spans="1:100" ht="15" customHeight="1" x14ac:dyDescent="0.25">
      <c r="A81" s="38"/>
      <c r="B81" s="355"/>
      <c r="C81" s="356"/>
      <c r="D81" s="357"/>
      <c r="E81" s="595"/>
      <c r="F81" s="596"/>
      <c r="G81" s="596"/>
      <c r="H81" s="596"/>
      <c r="I81" s="598"/>
      <c r="J81" s="514"/>
      <c r="K81" s="515"/>
      <c r="L81" s="515"/>
      <c r="M81" s="515"/>
      <c r="N81" s="515"/>
      <c r="O81" s="515"/>
      <c r="P81" s="515"/>
      <c r="Q81" s="515"/>
      <c r="R81" s="515"/>
      <c r="S81" s="516"/>
      <c r="T81" s="514"/>
      <c r="U81" s="515"/>
      <c r="V81" s="515"/>
      <c r="W81" s="515"/>
      <c r="X81" s="515"/>
      <c r="Y81" s="515"/>
      <c r="Z81" s="515"/>
      <c r="AA81" s="515"/>
      <c r="AB81" s="515"/>
      <c r="AC81" s="516"/>
      <c r="AD81" s="521"/>
      <c r="AE81" s="520"/>
      <c r="AF81" s="520"/>
      <c r="AG81" s="520"/>
      <c r="AH81" s="520"/>
      <c r="AI81" s="520"/>
      <c r="AJ81" s="520"/>
      <c r="AK81" s="520"/>
      <c r="AL81" s="520"/>
      <c r="AM81" s="520"/>
      <c r="AN81" s="524"/>
      <c r="AO81" s="522"/>
      <c r="AP81" s="522"/>
      <c r="AQ81" s="522"/>
      <c r="AR81" s="522"/>
      <c r="AS81" s="522"/>
      <c r="AT81" s="522"/>
      <c r="AU81" s="522"/>
      <c r="AV81" s="522"/>
      <c r="AW81" s="523"/>
      <c r="AX81" s="519"/>
      <c r="AY81" s="517"/>
      <c r="AZ81" s="517"/>
      <c r="BA81" s="517"/>
      <c r="BB81" s="517"/>
      <c r="BC81" s="517"/>
      <c r="BD81" s="517"/>
      <c r="BE81" s="517"/>
      <c r="BF81" s="517"/>
      <c r="BG81" s="518"/>
      <c r="BH81" s="38"/>
      <c r="BI81" s="587"/>
      <c r="BJ81" s="588"/>
      <c r="BK81" s="588"/>
      <c r="BL81" s="588"/>
      <c r="BM81" s="588"/>
      <c r="BN81" s="589"/>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row>
    <row r="82" spans="1:100" ht="15" customHeight="1" x14ac:dyDescent="0.25">
      <c r="A82" s="38"/>
      <c r="B82" s="355"/>
      <c r="C82" s="356"/>
      <c r="D82" s="357"/>
      <c r="E82" s="595"/>
      <c r="F82" s="596"/>
      <c r="G82" s="596"/>
      <c r="H82" s="596"/>
      <c r="I82" s="598"/>
      <c r="J82" s="514" t="str">
        <f ca="1">IF(AND('Mapa final'!$K$37="Muy Baja",'Mapa final'!$O$37="Leve"),CONCATENATE("R",'Mapa final'!$A$37),"")</f>
        <v/>
      </c>
      <c r="K82" s="515"/>
      <c r="L82" s="515" t="str">
        <f ca="1">IF(AND('Mapa final'!$K$41="Muy Baja",'Mapa final'!$O$41="Leve"),CONCATENATE("R",'Mapa final'!$A$41),"")</f>
        <v/>
      </c>
      <c r="M82" s="515"/>
      <c r="N82" s="515" t="str">
        <f ca="1">IF(AND('Mapa final'!$K$44="Muy Baja",'Mapa final'!$O$44="Leve"),CONCATENATE("R",'Mapa final'!$A$44),"")</f>
        <v/>
      </c>
      <c r="O82" s="515"/>
      <c r="P82" s="515" t="str">
        <f ca="1">IF(AND('Mapa final'!$K$49="Muy Baja",'Mapa final'!$O$49="Leve"),CONCATENATE("R",'Mapa final'!$A$49),"")</f>
        <v/>
      </c>
      <c r="Q82" s="515"/>
      <c r="R82" s="515" t="str">
        <f ca="1">IF(AND('Mapa final'!$K$52="Muy Baja",'Mapa final'!$O$52="Leve"),CONCATENATE("R",'Mapa final'!$A$52),"")</f>
        <v/>
      </c>
      <c r="S82" s="516"/>
      <c r="T82" s="514" t="str">
        <f ca="1">IF(AND('Mapa final'!$K$37="Muy Baja",'Mapa final'!$O$37="Menor"),CONCATENATE("R",'Mapa final'!$A$37),"")</f>
        <v/>
      </c>
      <c r="U82" s="515"/>
      <c r="V82" s="515" t="str">
        <f ca="1">IF(AND('Mapa final'!$K$41="Muy Baja",'Mapa final'!$O$41="Menor"),CONCATENATE("R",'Mapa final'!$A$41),"")</f>
        <v/>
      </c>
      <c r="W82" s="515"/>
      <c r="X82" s="515" t="str">
        <f ca="1">IF(AND('Mapa final'!$K$44="Muy Baja",'Mapa final'!$O$44="Menor"),CONCATENATE("R",'Mapa final'!$A$44),"")</f>
        <v/>
      </c>
      <c r="Y82" s="515"/>
      <c r="Z82" s="515" t="str">
        <f ca="1">IF(AND('Mapa final'!$K$49="Muy Baja",'Mapa final'!$O$49="Menor"),CONCATENATE("R",'Mapa final'!$A$49),"")</f>
        <v/>
      </c>
      <c r="AA82" s="515"/>
      <c r="AB82" s="515" t="str">
        <f ca="1">IF(AND('Mapa final'!$K$52="Muy Baja",'Mapa final'!$O$52="Menor"),CONCATENATE("R",'Mapa final'!$A$52),"")</f>
        <v/>
      </c>
      <c r="AC82" s="516"/>
      <c r="AD82" s="521" t="str">
        <f ca="1">IF(AND('Mapa final'!$K$37="Muy Baja",'Mapa final'!$O$37="Moderado"),CONCATENATE("R",'Mapa final'!$A$37),"")</f>
        <v/>
      </c>
      <c r="AE82" s="520"/>
      <c r="AF82" s="520" t="str">
        <f ca="1">IF(AND('Mapa final'!$K$41="Muy Baja",'Mapa final'!$O$41="Moderado"),CONCATENATE("R",'Mapa final'!$A$41),"")</f>
        <v/>
      </c>
      <c r="AG82" s="520"/>
      <c r="AH82" s="520" t="str">
        <f ca="1">IF(AND('Mapa final'!$K$44="Muy Baja",'Mapa final'!$O$44="Moderado"),CONCATENATE("R",'Mapa final'!$A$44),"")</f>
        <v/>
      </c>
      <c r="AI82" s="520"/>
      <c r="AJ82" s="520" t="str">
        <f ca="1">IF(AND('Mapa final'!$K$49="Muy Baja",'Mapa final'!$O$49="Moderado"),CONCATENATE("R",'Mapa final'!$A$49),"")</f>
        <v>R14</v>
      </c>
      <c r="AK82" s="520"/>
      <c r="AL82" s="520" t="str">
        <f ca="1">IF(AND('Mapa final'!$K$52="Muy Baja",'Mapa final'!$O$52="Moderado"),CONCATENATE("R",'Mapa final'!$A$52),"")</f>
        <v/>
      </c>
      <c r="AM82" s="520"/>
      <c r="AN82" s="524" t="str">
        <f ca="1">IF(AND('Mapa final'!$K$37="Muy Baja",'Mapa final'!$O$37="Mayor"),CONCATENATE("R",'Mapa final'!$A$37),"")</f>
        <v/>
      </c>
      <c r="AO82" s="522"/>
      <c r="AP82" s="522" t="str">
        <f ca="1">IF(AND('Mapa final'!$K$41="Muy Baja",'Mapa final'!$O$41="Mayor"),CONCATENATE("R",'Mapa final'!$A$41),"")</f>
        <v/>
      </c>
      <c r="AQ82" s="522"/>
      <c r="AR82" s="522" t="str">
        <f ca="1">IF(AND('Mapa final'!$K$44="Muy Baja",'Mapa final'!$O$44="Mayor"),CONCATENATE("R",'Mapa final'!$A$44),"")</f>
        <v/>
      </c>
      <c r="AS82" s="522"/>
      <c r="AT82" s="522" t="str">
        <f ca="1">IF(AND('Mapa final'!$K$49="Muy Baja",'Mapa final'!$O$49="Mayor"),CONCATENATE("R",'Mapa final'!$A$49),"")</f>
        <v/>
      </c>
      <c r="AU82" s="522"/>
      <c r="AV82" s="522" t="str">
        <f ca="1">IF(AND('Mapa final'!$K$52="Muy Baja",'Mapa final'!$O$52="Mayor"),CONCATENATE("R",'Mapa final'!$A$52),"")</f>
        <v/>
      </c>
      <c r="AW82" s="523"/>
      <c r="AX82" s="519" t="str">
        <f ca="1">IF(AND('Mapa final'!$K$37="Muy Baja",'Mapa final'!$O$37="Catastrófico"),CONCATENATE("R",'Mapa final'!$A$37),"")</f>
        <v/>
      </c>
      <c r="AY82" s="517"/>
      <c r="AZ82" s="517" t="str">
        <f ca="1">IF(AND('Mapa final'!$K$41="Muy Baja",'Mapa final'!$O$41="Catastrófico"),CONCATENATE("R",'Mapa final'!$A$41),"")</f>
        <v/>
      </c>
      <c r="BA82" s="517"/>
      <c r="BB82" s="517" t="str">
        <f ca="1">IF(AND('Mapa final'!$K$44="Muy Baja",'Mapa final'!$O$44="Catastrófico"),CONCATENATE("R",'Mapa final'!$A$44),"")</f>
        <v/>
      </c>
      <c r="BC82" s="517"/>
      <c r="BD82" s="517" t="str">
        <f ca="1">IF(AND('Mapa final'!$K$49="Muy Baja",'Mapa final'!$O$49="Catastrófico"),CONCATENATE("R",'Mapa final'!$A$49),"")</f>
        <v/>
      </c>
      <c r="BE82" s="517"/>
      <c r="BF82" s="517" t="str">
        <f ca="1">IF(AND('Mapa final'!$K$52="Muy Baja",'Mapa final'!$O$52="Catastrófico"),CONCATENATE("R",'Mapa final'!$A$52),"")</f>
        <v/>
      </c>
      <c r="BG82" s="518"/>
      <c r="BH82" s="38"/>
      <c r="BI82" s="587"/>
      <c r="BJ82" s="588"/>
      <c r="BK82" s="588"/>
      <c r="BL82" s="588"/>
      <c r="BM82" s="588"/>
      <c r="BN82" s="589"/>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row>
    <row r="83" spans="1:100" ht="15" customHeight="1" x14ac:dyDescent="0.25">
      <c r="A83" s="38"/>
      <c r="B83" s="355"/>
      <c r="C83" s="356"/>
      <c r="D83" s="357"/>
      <c r="E83" s="595"/>
      <c r="F83" s="596"/>
      <c r="G83" s="596"/>
      <c r="H83" s="596"/>
      <c r="I83" s="598"/>
      <c r="J83" s="514"/>
      <c r="K83" s="515"/>
      <c r="L83" s="515"/>
      <c r="M83" s="515"/>
      <c r="N83" s="515"/>
      <c r="O83" s="515"/>
      <c r="P83" s="515"/>
      <c r="Q83" s="515"/>
      <c r="R83" s="515"/>
      <c r="S83" s="516"/>
      <c r="T83" s="514"/>
      <c r="U83" s="515"/>
      <c r="V83" s="515"/>
      <c r="W83" s="515"/>
      <c r="X83" s="515"/>
      <c r="Y83" s="515"/>
      <c r="Z83" s="515"/>
      <c r="AA83" s="515"/>
      <c r="AB83" s="515"/>
      <c r="AC83" s="516"/>
      <c r="AD83" s="521"/>
      <c r="AE83" s="520"/>
      <c r="AF83" s="520"/>
      <c r="AG83" s="520"/>
      <c r="AH83" s="520"/>
      <c r="AI83" s="520"/>
      <c r="AJ83" s="520"/>
      <c r="AK83" s="520"/>
      <c r="AL83" s="520"/>
      <c r="AM83" s="520"/>
      <c r="AN83" s="524"/>
      <c r="AO83" s="522"/>
      <c r="AP83" s="522"/>
      <c r="AQ83" s="522"/>
      <c r="AR83" s="522"/>
      <c r="AS83" s="522"/>
      <c r="AT83" s="522"/>
      <c r="AU83" s="522"/>
      <c r="AV83" s="522"/>
      <c r="AW83" s="523"/>
      <c r="AX83" s="519"/>
      <c r="AY83" s="517"/>
      <c r="AZ83" s="517"/>
      <c r="BA83" s="517"/>
      <c r="BB83" s="517"/>
      <c r="BC83" s="517"/>
      <c r="BD83" s="517"/>
      <c r="BE83" s="517"/>
      <c r="BF83" s="517"/>
      <c r="BG83" s="518"/>
      <c r="BH83" s="38"/>
      <c r="BI83" s="587"/>
      <c r="BJ83" s="588"/>
      <c r="BK83" s="588"/>
      <c r="BL83" s="588"/>
      <c r="BM83" s="588"/>
      <c r="BN83" s="589"/>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row>
    <row r="84" spans="1:100" ht="15" customHeight="1" x14ac:dyDescent="0.25">
      <c r="A84" s="38"/>
      <c r="B84" s="355"/>
      <c r="C84" s="356"/>
      <c r="D84" s="357"/>
      <c r="E84" s="595"/>
      <c r="F84" s="596"/>
      <c r="G84" s="596"/>
      <c r="H84" s="596"/>
      <c r="I84" s="598"/>
      <c r="J84" s="514" t="str">
        <f ca="1">IF(AND('Mapa final'!$K$55="Muy Baja",'Mapa final'!$O$55="Leve"),CONCATENATE("R",'Mapa final'!$A$55),"")</f>
        <v/>
      </c>
      <c r="K84" s="515"/>
      <c r="L84" s="515" t="str">
        <f ca="1">IF(AND('Mapa final'!$K$58="Muy Baja",'Mapa final'!$O$58="Leve"),CONCATENATE("R",'Mapa final'!$A$58),"")</f>
        <v/>
      </c>
      <c r="M84" s="515"/>
      <c r="N84" s="515" t="str">
        <f ca="1">IF(AND('Mapa final'!$K$61="Muy Baja",'Mapa final'!$O$61="Leve"),CONCATENATE("R",'Mapa final'!$A$61),"")</f>
        <v/>
      </c>
      <c r="O84" s="515"/>
      <c r="P84" s="515" t="str">
        <f ca="1">IF(AND('Mapa final'!$K$64="Muy Baja",'Mapa final'!$O$64="Leve"),CONCATENATE("R",'Mapa final'!$A$64),"")</f>
        <v/>
      </c>
      <c r="Q84" s="515"/>
      <c r="R84" s="515" t="str">
        <f ca="1">IF(AND('Mapa final'!$K$67="Muy Baja",'Mapa final'!$O$67="Leve"),CONCATENATE("R",'Mapa final'!$A$67),"")</f>
        <v/>
      </c>
      <c r="S84" s="516"/>
      <c r="T84" s="514" t="str">
        <f ca="1">IF(AND('Mapa final'!$K$55="Muy Baja",'Mapa final'!$O$55="Menor"),CONCATENATE("R",'Mapa final'!$A$55),"")</f>
        <v/>
      </c>
      <c r="U84" s="515"/>
      <c r="V84" s="515" t="str">
        <f ca="1">IF(AND('Mapa final'!$K$58="Muy Baja",'Mapa final'!$O$58="Menor"),CONCATENATE("R",'Mapa final'!$A$58),"")</f>
        <v/>
      </c>
      <c r="W84" s="515"/>
      <c r="X84" s="515" t="str">
        <f ca="1">IF(AND('Mapa final'!$K$61="Muy Baja",'Mapa final'!$O$61="Menor"),CONCATENATE("R",'Mapa final'!$A$61),"")</f>
        <v/>
      </c>
      <c r="Y84" s="515"/>
      <c r="Z84" s="515" t="str">
        <f ca="1">IF(AND('Mapa final'!$K$64="Muy Baja",'Mapa final'!$O$64="Menor"),CONCATENATE("R",'Mapa final'!$A$64),"")</f>
        <v/>
      </c>
      <c r="AA84" s="515"/>
      <c r="AB84" s="515" t="str">
        <f ca="1">IF(AND('Mapa final'!$K$67="Muy Baja",'Mapa final'!$O$67="Menor"),CONCATENATE("R",'Mapa final'!$A$67),"")</f>
        <v/>
      </c>
      <c r="AC84" s="516"/>
      <c r="AD84" s="521" t="str">
        <f ca="1">IF(AND('Mapa final'!$K$55="Muy Baja",'Mapa final'!$O$55="Moderado"),CONCATENATE("R",'Mapa final'!$A$55),"")</f>
        <v>R16</v>
      </c>
      <c r="AE84" s="520"/>
      <c r="AF84" s="520" t="str">
        <f ca="1">IF(AND('Mapa final'!$K$58="Muy Baja",'Mapa final'!$O$58="Moderado"),CONCATENATE("R",'Mapa final'!$A$58),"")</f>
        <v/>
      </c>
      <c r="AG84" s="520"/>
      <c r="AH84" s="520" t="str">
        <f ca="1">IF(AND('Mapa final'!$K$61="Muy Baja",'Mapa final'!$O$61="Moderado"),CONCATENATE("R",'Mapa final'!$A$61),"")</f>
        <v/>
      </c>
      <c r="AI84" s="520"/>
      <c r="AJ84" s="520" t="str">
        <f ca="1">IF(AND('Mapa final'!$K$64="Muy Baja",'Mapa final'!$O$64="Moderado"),CONCATENATE("R",'Mapa final'!$A$64),"")</f>
        <v/>
      </c>
      <c r="AK84" s="520"/>
      <c r="AL84" s="520" t="str">
        <f ca="1">IF(AND('Mapa final'!$K$67="Muy Baja",'Mapa final'!$O$67="Moderado"),CONCATENATE("R",'Mapa final'!$A$67),"")</f>
        <v/>
      </c>
      <c r="AM84" s="520"/>
      <c r="AN84" s="524" t="str">
        <f ca="1">IF(AND('Mapa final'!$K$55="Muy Baja",'Mapa final'!$O$55="Mayor"),CONCATENATE("R",'Mapa final'!$A$55),"")</f>
        <v/>
      </c>
      <c r="AO84" s="522"/>
      <c r="AP84" s="522" t="str">
        <f ca="1">IF(AND('Mapa final'!$K$58="Muy Baja",'Mapa final'!$O$58="Mayor"),CONCATENATE("R",'Mapa final'!$A$58),"")</f>
        <v/>
      </c>
      <c r="AQ84" s="522"/>
      <c r="AR84" s="522" t="str">
        <f ca="1">IF(AND('Mapa final'!$K$61="Muy Baja",'Mapa final'!$O$61="Mayor"),CONCATENATE("R",'Mapa final'!$A$61),"")</f>
        <v/>
      </c>
      <c r="AS84" s="522"/>
      <c r="AT84" s="522" t="str">
        <f ca="1">IF(AND('Mapa final'!$K$64="Muy Baja",'Mapa final'!$O$64="Mayor"),CONCATENATE("R",'Mapa final'!$A$64),"")</f>
        <v/>
      </c>
      <c r="AU84" s="522"/>
      <c r="AV84" s="522" t="str">
        <f ca="1">IF(AND('Mapa final'!$K$67="Muy Baja",'Mapa final'!$O$67="Mayor"),CONCATENATE("R",'Mapa final'!$A$67),"")</f>
        <v/>
      </c>
      <c r="AW84" s="523"/>
      <c r="AX84" s="519" t="str">
        <f ca="1">IF(AND('Mapa final'!$K$55="Muy Baja",'Mapa final'!$O$55="Catastrófico"),CONCATENATE("R",'Mapa final'!$A$55),"")</f>
        <v/>
      </c>
      <c r="AY84" s="517"/>
      <c r="AZ84" s="517" t="str">
        <f ca="1">IF(AND('Mapa final'!$K$58="Muy Baja",'Mapa final'!$O$58="Catastrófico"),CONCATENATE("R",'Mapa final'!$A$58),"")</f>
        <v/>
      </c>
      <c r="BA84" s="517"/>
      <c r="BB84" s="517" t="str">
        <f ca="1">IF(AND('Mapa final'!$K$61="Muy Baja",'Mapa final'!$O$61="Catastrófico"),CONCATENATE("R",'Mapa final'!$A$61),"")</f>
        <v/>
      </c>
      <c r="BC84" s="517"/>
      <c r="BD84" s="517" t="str">
        <f ca="1">IF(AND('Mapa final'!$K$64="Muy Baja",'Mapa final'!$O$64="Catastrófico"),CONCATENATE("R",'Mapa final'!$A$64),"")</f>
        <v/>
      </c>
      <c r="BE84" s="517"/>
      <c r="BF84" s="517" t="str">
        <f ca="1">IF(AND('Mapa final'!$K$67="Muy Baja",'Mapa final'!$O$67="Catastrófico"),CONCATENATE("R",'Mapa final'!$A$67),"")</f>
        <v/>
      </c>
      <c r="BG84" s="518"/>
      <c r="BH84" s="38"/>
      <c r="BI84" s="587"/>
      <c r="BJ84" s="588"/>
      <c r="BK84" s="588"/>
      <c r="BL84" s="588"/>
      <c r="BM84" s="588"/>
      <c r="BN84" s="589"/>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row>
    <row r="85" spans="1:100" ht="15" customHeight="1" x14ac:dyDescent="0.25">
      <c r="A85" s="38"/>
      <c r="B85" s="355"/>
      <c r="C85" s="356"/>
      <c r="D85" s="357"/>
      <c r="E85" s="595"/>
      <c r="F85" s="596"/>
      <c r="G85" s="596"/>
      <c r="H85" s="596"/>
      <c r="I85" s="598"/>
      <c r="J85" s="514"/>
      <c r="K85" s="515"/>
      <c r="L85" s="515"/>
      <c r="M85" s="515"/>
      <c r="N85" s="515"/>
      <c r="O85" s="515"/>
      <c r="P85" s="515"/>
      <c r="Q85" s="515"/>
      <c r="R85" s="515"/>
      <c r="S85" s="516"/>
      <c r="T85" s="514"/>
      <c r="U85" s="515"/>
      <c r="V85" s="515"/>
      <c r="W85" s="515"/>
      <c r="X85" s="515"/>
      <c r="Y85" s="515"/>
      <c r="Z85" s="515"/>
      <c r="AA85" s="515"/>
      <c r="AB85" s="515"/>
      <c r="AC85" s="516"/>
      <c r="AD85" s="521"/>
      <c r="AE85" s="520"/>
      <c r="AF85" s="520"/>
      <c r="AG85" s="520"/>
      <c r="AH85" s="520"/>
      <c r="AI85" s="520"/>
      <c r="AJ85" s="520"/>
      <c r="AK85" s="520"/>
      <c r="AL85" s="520"/>
      <c r="AM85" s="520"/>
      <c r="AN85" s="524"/>
      <c r="AO85" s="522"/>
      <c r="AP85" s="522"/>
      <c r="AQ85" s="522"/>
      <c r="AR85" s="522"/>
      <c r="AS85" s="522"/>
      <c r="AT85" s="522"/>
      <c r="AU85" s="522"/>
      <c r="AV85" s="522"/>
      <c r="AW85" s="523"/>
      <c r="AX85" s="519"/>
      <c r="AY85" s="517"/>
      <c r="AZ85" s="517"/>
      <c r="BA85" s="517"/>
      <c r="BB85" s="517"/>
      <c r="BC85" s="517"/>
      <c r="BD85" s="517"/>
      <c r="BE85" s="517"/>
      <c r="BF85" s="517"/>
      <c r="BG85" s="518"/>
      <c r="BH85" s="38"/>
      <c r="BI85" s="587"/>
      <c r="BJ85" s="588"/>
      <c r="BK85" s="588"/>
      <c r="BL85" s="588"/>
      <c r="BM85" s="588"/>
      <c r="BN85" s="589"/>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row>
    <row r="86" spans="1:100" ht="15" customHeight="1" x14ac:dyDescent="0.25">
      <c r="A86" s="38"/>
      <c r="B86" s="355"/>
      <c r="C86" s="356"/>
      <c r="D86" s="357"/>
      <c r="E86" s="595"/>
      <c r="F86" s="596"/>
      <c r="G86" s="596"/>
      <c r="H86" s="596"/>
      <c r="I86" s="598"/>
      <c r="J86" s="514" t="str">
        <f ca="1">IF(AND('Mapa final'!$K$70="Muy Baja",'Mapa final'!$O$70="Leve"),CONCATENATE("R",'Mapa final'!$A$70),"")</f>
        <v/>
      </c>
      <c r="K86" s="515"/>
      <c r="L86" s="515" t="str">
        <f ca="1">IF(AND('Mapa final'!$K$73="Muy Baja",'Mapa final'!$O$73="Leve"),CONCATENATE("R",'Mapa final'!$A$73),"")</f>
        <v/>
      </c>
      <c r="M86" s="515"/>
      <c r="N86" s="515" t="str">
        <f ca="1">IF(AND('Mapa final'!$K$76="Muy Baja",'Mapa final'!$O$76="Leve"),CONCATENATE("R",'Mapa final'!$A$76),"")</f>
        <v/>
      </c>
      <c r="O86" s="515"/>
      <c r="P86" s="515" t="str">
        <f ca="1">IF(AND('Mapa final'!$K$79="Muy Baja",'Mapa final'!$O$79="Leve"),CONCATENATE("R",'Mapa final'!$A$79),"")</f>
        <v/>
      </c>
      <c r="Q86" s="515"/>
      <c r="R86" s="515" t="str">
        <f ca="1">IF(AND('Mapa final'!$K$82="Muy Baja",'Mapa final'!$O$82="Leve"),CONCATENATE("R",'Mapa final'!$A$82),"")</f>
        <v>R25</v>
      </c>
      <c r="S86" s="516"/>
      <c r="T86" s="514" t="str">
        <f ca="1">IF(AND('Mapa final'!$K$70="Muy Baja",'Mapa final'!$O$70="Menor"),CONCATENATE("R",'Mapa final'!$A$70),"")</f>
        <v/>
      </c>
      <c r="U86" s="515"/>
      <c r="V86" s="515" t="str">
        <f ca="1">IF(AND('Mapa final'!$K$73="Muy Baja",'Mapa final'!$O$73="Menor"),CONCATENATE("R",'Mapa final'!$A$73),"")</f>
        <v/>
      </c>
      <c r="W86" s="515"/>
      <c r="X86" s="515" t="str">
        <f ca="1">IF(AND('Mapa final'!$K$76="Muy Baja",'Mapa final'!$O$76="Menor"),CONCATENATE("R",'Mapa final'!$A$76),"")</f>
        <v/>
      </c>
      <c r="Y86" s="515"/>
      <c r="Z86" s="515" t="str">
        <f ca="1">IF(AND('Mapa final'!$K$79="Muy Baja",'Mapa final'!$O$79="Menor"),CONCATENATE("R",'Mapa final'!$A$79),"")</f>
        <v/>
      </c>
      <c r="AA86" s="515"/>
      <c r="AB86" s="515" t="str">
        <f ca="1">IF(AND('Mapa final'!$K$82="Muy Baja",'Mapa final'!$O$82="Menor"),CONCATENATE("R",'Mapa final'!$A$82),"")</f>
        <v/>
      </c>
      <c r="AC86" s="516"/>
      <c r="AD86" s="521" t="str">
        <f ca="1">IF(AND('Mapa final'!$K$70="Muy Baja",'Mapa final'!$O$70="Moderado"),CONCATENATE("R",'Mapa final'!$A$70),"")</f>
        <v/>
      </c>
      <c r="AE86" s="520"/>
      <c r="AF86" s="520" t="str">
        <f ca="1">IF(AND('Mapa final'!$K$73="Muy Baja",'Mapa final'!$O$73="Moderado"),CONCATENATE("R",'Mapa final'!$A$73),"")</f>
        <v/>
      </c>
      <c r="AG86" s="520"/>
      <c r="AH86" s="520" t="str">
        <f ca="1">IF(AND('Mapa final'!$K$76="Muy Baja",'Mapa final'!$O$76="Moderado"),CONCATENATE("R",'Mapa final'!$A$76),"")</f>
        <v/>
      </c>
      <c r="AI86" s="520"/>
      <c r="AJ86" s="520" t="str">
        <f ca="1">IF(AND('Mapa final'!$K$79="Muy Baja",'Mapa final'!$O$79="Moderado"),CONCATENATE("R",'Mapa final'!$A$79),"")</f>
        <v/>
      </c>
      <c r="AK86" s="520"/>
      <c r="AL86" s="520" t="str">
        <f ca="1">IF(AND('Mapa final'!$K$82="Muy Baja",'Mapa final'!$O$82="Moderado"),CONCATENATE("R",'Mapa final'!$A$82),"")</f>
        <v/>
      </c>
      <c r="AM86" s="520"/>
      <c r="AN86" s="524" t="str">
        <f ca="1">IF(AND('Mapa final'!$K$70="Muy Baja",'Mapa final'!$O$70="Mayor"),CONCATENATE("R",'Mapa final'!$A$70),"")</f>
        <v/>
      </c>
      <c r="AO86" s="522"/>
      <c r="AP86" s="522" t="str">
        <f ca="1">IF(AND('Mapa final'!$K$73="Muy Baja",'Mapa final'!$O$73="Mayor"),CONCATENATE("R",'Mapa final'!$A$73),"")</f>
        <v/>
      </c>
      <c r="AQ86" s="522"/>
      <c r="AR86" s="522" t="str">
        <f ca="1">IF(AND('Mapa final'!$K$76="Muy Baja",'Mapa final'!$O$76="Mayor"),CONCATENATE("R",'Mapa final'!$A$76),"")</f>
        <v/>
      </c>
      <c r="AS86" s="522"/>
      <c r="AT86" s="522" t="str">
        <f ca="1">IF(AND('Mapa final'!$K$79="Muy Baja",'Mapa final'!$O$79="Mayor"),CONCATENATE("R",'Mapa final'!$A$79),"")</f>
        <v/>
      </c>
      <c r="AU86" s="522"/>
      <c r="AV86" s="522" t="str">
        <f ca="1">IF(AND('Mapa final'!$K$82="Muy Baja",'Mapa final'!$O$82="Mayor"),CONCATENATE("R",'Mapa final'!$A$82),"")</f>
        <v/>
      </c>
      <c r="AW86" s="523"/>
      <c r="AX86" s="519" t="str">
        <f ca="1">IF(AND('Mapa final'!$K$70="Muy Baja",'Mapa final'!$O$70="Catastrófico"),CONCATENATE("R",'Mapa final'!$A$70),"")</f>
        <v/>
      </c>
      <c r="AY86" s="517"/>
      <c r="AZ86" s="517" t="str">
        <f ca="1">IF(AND('Mapa final'!$K$73="Muy Baja",'Mapa final'!$O$73="Catastrófico"),CONCATENATE("R",'Mapa final'!$A$73),"")</f>
        <v/>
      </c>
      <c r="BA86" s="517"/>
      <c r="BB86" s="517" t="str">
        <f ca="1">IF(AND('Mapa final'!$K$76="Muy Baja",'Mapa final'!$O$76="Catastrófico"),CONCATENATE("R",'Mapa final'!$A$76),"")</f>
        <v/>
      </c>
      <c r="BC86" s="517"/>
      <c r="BD86" s="517" t="str">
        <f ca="1">IF(AND('Mapa final'!$K$79="Muy Baja",'Mapa final'!$O$79="Catastrófico"),CONCATENATE("R",'Mapa final'!$A$79),"")</f>
        <v/>
      </c>
      <c r="BE86" s="517"/>
      <c r="BF86" s="517" t="str">
        <f ca="1">IF(AND('Mapa final'!$K$82="Muy Baja",'Mapa final'!$O$82="Catastrófico"),CONCATENATE("R",'Mapa final'!$A$82),"")</f>
        <v/>
      </c>
      <c r="BG86" s="518"/>
      <c r="BH86" s="38"/>
      <c r="BI86" s="587"/>
      <c r="BJ86" s="588"/>
      <c r="BK86" s="588"/>
      <c r="BL86" s="588"/>
      <c r="BM86" s="588"/>
      <c r="BN86" s="589"/>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row>
    <row r="87" spans="1:100" ht="15" customHeight="1" x14ac:dyDescent="0.25">
      <c r="A87" s="38"/>
      <c r="B87" s="355"/>
      <c r="C87" s="356"/>
      <c r="D87" s="357"/>
      <c r="E87" s="595"/>
      <c r="F87" s="596"/>
      <c r="G87" s="596"/>
      <c r="H87" s="596"/>
      <c r="I87" s="598"/>
      <c r="J87" s="514"/>
      <c r="K87" s="515"/>
      <c r="L87" s="515"/>
      <c r="M87" s="515"/>
      <c r="N87" s="515"/>
      <c r="O87" s="515"/>
      <c r="P87" s="515"/>
      <c r="Q87" s="515"/>
      <c r="R87" s="515"/>
      <c r="S87" s="516"/>
      <c r="T87" s="514"/>
      <c r="U87" s="515"/>
      <c r="V87" s="515"/>
      <c r="W87" s="515"/>
      <c r="X87" s="515"/>
      <c r="Y87" s="515"/>
      <c r="Z87" s="515"/>
      <c r="AA87" s="515"/>
      <c r="AB87" s="515"/>
      <c r="AC87" s="516"/>
      <c r="AD87" s="521"/>
      <c r="AE87" s="520"/>
      <c r="AF87" s="520"/>
      <c r="AG87" s="520"/>
      <c r="AH87" s="520"/>
      <c r="AI87" s="520"/>
      <c r="AJ87" s="520"/>
      <c r="AK87" s="520"/>
      <c r="AL87" s="520"/>
      <c r="AM87" s="520"/>
      <c r="AN87" s="524"/>
      <c r="AO87" s="522"/>
      <c r="AP87" s="522"/>
      <c r="AQ87" s="522"/>
      <c r="AR87" s="522"/>
      <c r="AS87" s="522"/>
      <c r="AT87" s="522"/>
      <c r="AU87" s="522"/>
      <c r="AV87" s="522"/>
      <c r="AW87" s="523"/>
      <c r="AX87" s="519"/>
      <c r="AY87" s="517"/>
      <c r="AZ87" s="517"/>
      <c r="BA87" s="517"/>
      <c r="BB87" s="517"/>
      <c r="BC87" s="517"/>
      <c r="BD87" s="517"/>
      <c r="BE87" s="517"/>
      <c r="BF87" s="517"/>
      <c r="BG87" s="518"/>
      <c r="BH87" s="38"/>
      <c r="BI87" s="587"/>
      <c r="BJ87" s="588"/>
      <c r="BK87" s="588"/>
      <c r="BL87" s="588"/>
      <c r="BM87" s="588"/>
      <c r="BN87" s="589"/>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row>
    <row r="88" spans="1:100" ht="15" customHeight="1" x14ac:dyDescent="0.25">
      <c r="A88" s="38"/>
      <c r="B88" s="355"/>
      <c r="C88" s="356"/>
      <c r="D88" s="357"/>
      <c r="E88" s="595"/>
      <c r="F88" s="596"/>
      <c r="G88" s="596"/>
      <c r="H88" s="596"/>
      <c r="I88" s="598"/>
      <c r="J88" s="514" t="str">
        <f ca="1">IF(AND('Mapa final'!$K$85="Muy Baja",'Mapa final'!$O$85="Leve"),CONCATENATE("R",'Mapa final'!$A$85),"")</f>
        <v/>
      </c>
      <c r="K88" s="515"/>
      <c r="L88" s="515" t="str">
        <f ca="1">IF(AND('Mapa final'!$K$88="Muy Baja",'Mapa final'!$O$88="Leve"),CONCATENATE("R",'Mapa final'!$A$88),"")</f>
        <v/>
      </c>
      <c r="M88" s="515"/>
      <c r="N88" s="515" t="str">
        <f ca="1">IF(AND('Mapa final'!$K$91="Muy Baja",'Mapa final'!$O$91="Leve"),CONCATENATE("R",'Mapa final'!$A$91),"")</f>
        <v/>
      </c>
      <c r="O88" s="515"/>
      <c r="P88" s="515" t="str">
        <f ca="1">IF(AND('Mapa final'!$K$94="Muy Baja",'Mapa final'!$O$94="Leve"),CONCATENATE("R",'Mapa final'!$A$94),"")</f>
        <v/>
      </c>
      <c r="Q88" s="515"/>
      <c r="R88" s="515" t="str">
        <f ca="1">IF(AND('Mapa final'!$K$97="Muy Baja",'Mapa final'!$O$97="Leve"),CONCATENATE("R",'Mapa final'!$A$97),"")</f>
        <v/>
      </c>
      <c r="S88" s="516"/>
      <c r="T88" s="514" t="str">
        <f ca="1">IF(AND('Mapa final'!$K$85="Muy Baja",'Mapa final'!$O$85="Menor"),CONCATENATE("R",'Mapa final'!$A$85),"")</f>
        <v/>
      </c>
      <c r="U88" s="515"/>
      <c r="V88" s="515" t="str">
        <f ca="1">IF(AND('Mapa final'!$K$88="Muy Baja",'Mapa final'!$O$88="Menor"),CONCATENATE("R",'Mapa final'!$A$88),"")</f>
        <v/>
      </c>
      <c r="W88" s="515"/>
      <c r="X88" s="515" t="str">
        <f ca="1">IF(AND('Mapa final'!$K$91="Muy Baja",'Mapa final'!$O$91="Menor"),CONCATENATE("R",'Mapa final'!$A$91),"")</f>
        <v/>
      </c>
      <c r="Y88" s="515"/>
      <c r="Z88" s="515" t="str">
        <f ca="1">IF(AND('Mapa final'!$K$94="Muy Baja",'Mapa final'!$O$94="Menor"),CONCATENATE("R",'Mapa final'!$A$94),"")</f>
        <v/>
      </c>
      <c r="AA88" s="515"/>
      <c r="AB88" s="515" t="str">
        <f ca="1">IF(AND('Mapa final'!$K$97="Muy Baja",'Mapa final'!$O$97="Menor"),CONCATENATE("R",'Mapa final'!$A$97),"")</f>
        <v/>
      </c>
      <c r="AC88" s="516"/>
      <c r="AD88" s="521" t="str">
        <f ca="1">IF(AND('Mapa final'!$K$85="Muy Baja",'Mapa final'!$O$85="Moderado"),CONCATENATE("R",'Mapa final'!$A$85),"")</f>
        <v/>
      </c>
      <c r="AE88" s="520"/>
      <c r="AF88" s="520" t="str">
        <f ca="1">IF(AND('Mapa final'!$K$88="Muy Baja",'Mapa final'!$O$88="Moderado"),CONCATENATE("R",'Mapa final'!$A$88),"")</f>
        <v/>
      </c>
      <c r="AG88" s="520"/>
      <c r="AH88" s="520" t="str">
        <f ca="1">IF(AND('Mapa final'!$K$91="Muy Baja",'Mapa final'!$O$91="Moderado"),CONCATENATE("R",'Mapa final'!$A$91),"")</f>
        <v/>
      </c>
      <c r="AI88" s="520"/>
      <c r="AJ88" s="520" t="str">
        <f ca="1">IF(AND('Mapa final'!$K$94="Muy Baja",'Mapa final'!$O$94="Moderado"),CONCATENATE("R",'Mapa final'!$A$94),"")</f>
        <v/>
      </c>
      <c r="AK88" s="520"/>
      <c r="AL88" s="520" t="str">
        <f ca="1">IF(AND('Mapa final'!$K$97="Muy Baja",'Mapa final'!$O$97="Moderado"),CONCATENATE("R",'Mapa final'!$A$97),"")</f>
        <v/>
      </c>
      <c r="AM88" s="520"/>
      <c r="AN88" s="524" t="str">
        <f ca="1">IF(AND('Mapa final'!$K$85="Muy Baja",'Mapa final'!$O$85="Mayor"),CONCATENATE("R",'Mapa final'!$A$85),"")</f>
        <v/>
      </c>
      <c r="AO88" s="522"/>
      <c r="AP88" s="522" t="str">
        <f ca="1">IF(AND('Mapa final'!$K$88="Muy Baja",'Mapa final'!$O$88="Mayor"),CONCATENATE("R",'Mapa final'!$A$88),"")</f>
        <v/>
      </c>
      <c r="AQ88" s="522"/>
      <c r="AR88" s="522" t="str">
        <f ca="1">IF(AND('Mapa final'!$K$91="Muy Baja",'Mapa final'!$O$91="Mayor"),CONCATENATE("R",'Mapa final'!$A$91),"")</f>
        <v/>
      </c>
      <c r="AS88" s="522"/>
      <c r="AT88" s="522" t="str">
        <f ca="1">IF(AND('Mapa final'!$K$94="Muy Baja",'Mapa final'!$O$94="Mayor"),CONCATENATE("R",'Mapa final'!$A$94),"")</f>
        <v/>
      </c>
      <c r="AU88" s="522"/>
      <c r="AV88" s="522" t="str">
        <f ca="1">IF(AND('Mapa final'!$K$97="Muy Baja",'Mapa final'!$O$97="Mayor"),CONCATENATE("R",'Mapa final'!$A$97),"")</f>
        <v/>
      </c>
      <c r="AW88" s="523"/>
      <c r="AX88" s="519" t="str">
        <f ca="1">IF(AND('Mapa final'!$K$85="Muy Baja",'Mapa final'!$O$85="Catastrófico"),CONCATENATE("R",'Mapa final'!$A$85),"")</f>
        <v/>
      </c>
      <c r="AY88" s="517"/>
      <c r="AZ88" s="517" t="str">
        <f ca="1">IF(AND('Mapa final'!$K$88="Muy Baja",'Mapa final'!$O$88="Catastrófico"),CONCATENATE("R",'Mapa final'!$A$88),"")</f>
        <v/>
      </c>
      <c r="BA88" s="517"/>
      <c r="BB88" s="517" t="str">
        <f ca="1">IF(AND('Mapa final'!$K$91="Muy Baja",'Mapa final'!$O$91="Catastrófico"),CONCATENATE("R",'Mapa final'!$A$91),"")</f>
        <v/>
      </c>
      <c r="BC88" s="517"/>
      <c r="BD88" s="517" t="str">
        <f ca="1">IF(AND('Mapa final'!$K$94="Muy Baja",'Mapa final'!$O$94="Catastrófico"),CONCATENATE("R",'Mapa final'!$A$94),"")</f>
        <v/>
      </c>
      <c r="BE88" s="517"/>
      <c r="BF88" s="517" t="str">
        <f ca="1">IF(AND('Mapa final'!$K$97="Muy Baja",'Mapa final'!$O$97="Catastrófico"),CONCATENATE("R",'Mapa final'!$A$97),"")</f>
        <v/>
      </c>
      <c r="BG88" s="518"/>
      <c r="BH88" s="38"/>
      <c r="BI88" s="587"/>
      <c r="BJ88" s="588"/>
      <c r="BK88" s="588"/>
      <c r="BL88" s="588"/>
      <c r="BM88" s="588"/>
      <c r="BN88" s="589"/>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row>
    <row r="89" spans="1:100" ht="15" customHeight="1" thickBot="1" x14ac:dyDescent="0.3">
      <c r="A89" s="38"/>
      <c r="B89" s="355"/>
      <c r="C89" s="356"/>
      <c r="D89" s="357"/>
      <c r="E89" s="595"/>
      <c r="F89" s="596"/>
      <c r="G89" s="596"/>
      <c r="H89" s="596"/>
      <c r="I89" s="598"/>
      <c r="J89" s="514"/>
      <c r="K89" s="515"/>
      <c r="L89" s="515"/>
      <c r="M89" s="515"/>
      <c r="N89" s="515"/>
      <c r="O89" s="515"/>
      <c r="P89" s="515"/>
      <c r="Q89" s="515"/>
      <c r="R89" s="515"/>
      <c r="S89" s="516"/>
      <c r="T89" s="514"/>
      <c r="U89" s="515"/>
      <c r="V89" s="515"/>
      <c r="W89" s="515"/>
      <c r="X89" s="515"/>
      <c r="Y89" s="515"/>
      <c r="Z89" s="515"/>
      <c r="AA89" s="515"/>
      <c r="AB89" s="515"/>
      <c r="AC89" s="516"/>
      <c r="AD89" s="521"/>
      <c r="AE89" s="520"/>
      <c r="AF89" s="520"/>
      <c r="AG89" s="520"/>
      <c r="AH89" s="520"/>
      <c r="AI89" s="520"/>
      <c r="AJ89" s="520"/>
      <c r="AK89" s="520"/>
      <c r="AL89" s="520"/>
      <c r="AM89" s="520"/>
      <c r="AN89" s="524"/>
      <c r="AO89" s="522"/>
      <c r="AP89" s="522"/>
      <c r="AQ89" s="522"/>
      <c r="AR89" s="522"/>
      <c r="AS89" s="522"/>
      <c r="AT89" s="522"/>
      <c r="AU89" s="522"/>
      <c r="AV89" s="522"/>
      <c r="AW89" s="523"/>
      <c r="AX89" s="519"/>
      <c r="AY89" s="517"/>
      <c r="AZ89" s="517"/>
      <c r="BA89" s="517"/>
      <c r="BB89" s="517"/>
      <c r="BC89" s="517"/>
      <c r="BD89" s="517"/>
      <c r="BE89" s="517"/>
      <c r="BF89" s="517"/>
      <c r="BG89" s="518"/>
      <c r="BH89" s="38"/>
      <c r="BI89" s="590"/>
      <c r="BJ89" s="591"/>
      <c r="BK89" s="591"/>
      <c r="BL89" s="591"/>
      <c r="BM89" s="591"/>
      <c r="BN89" s="592"/>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row>
    <row r="90" spans="1:100" ht="15" customHeight="1" x14ac:dyDescent="0.25">
      <c r="A90" s="38"/>
      <c r="B90" s="355"/>
      <c r="C90" s="356"/>
      <c r="D90" s="357"/>
      <c r="E90" s="595"/>
      <c r="F90" s="596"/>
      <c r="G90" s="596"/>
      <c r="H90" s="596"/>
      <c r="I90" s="598"/>
      <c r="J90" s="514" t="str">
        <f ca="1">IF(AND('Mapa final'!$K$100="Muy Baja",'Mapa final'!$O$100="Leve"),CONCATENATE("R",'Mapa final'!$A$100),"")</f>
        <v/>
      </c>
      <c r="K90" s="515"/>
      <c r="L90" s="515" t="str">
        <f ca="1">IF(AND('Mapa final'!$K$103="Muy Baja",'Mapa final'!$O$103="Leve"),CONCATENATE("R",'Mapa final'!$A$103),"")</f>
        <v/>
      </c>
      <c r="M90" s="515"/>
      <c r="N90" s="515" t="str">
        <f ca="1">IF(AND('Mapa final'!$K$106="Muy Baja",'Mapa final'!$O$106="Leve"),CONCATENATE("R",'Mapa final'!$A$106),"")</f>
        <v/>
      </c>
      <c r="O90" s="515"/>
      <c r="P90" s="515" t="str">
        <f ca="1">IF(AND('Mapa final'!$K$109="Muy Baja",'Mapa final'!$O$109="Leve"),CONCATENATE("R",'Mapa final'!$A$109),"")</f>
        <v/>
      </c>
      <c r="Q90" s="515"/>
      <c r="R90" s="515" t="str">
        <f ca="1">IF(AND('Mapa final'!$K$112="Muy Baja",'Mapa final'!$O$112="Leve"),CONCATENATE("R",'Mapa final'!$A$112),"")</f>
        <v/>
      </c>
      <c r="S90" s="516"/>
      <c r="T90" s="514" t="str">
        <f ca="1">IF(AND('Mapa final'!$K$100="Muy Baja",'Mapa final'!$O$100="Menor"),CONCATENATE("R",'Mapa final'!$A$100),"")</f>
        <v/>
      </c>
      <c r="U90" s="515"/>
      <c r="V90" s="515" t="str">
        <f ca="1">IF(AND('Mapa final'!$K$103="Muy Baja",'Mapa final'!$O$103="Menor"),CONCATENATE("R",'Mapa final'!$A$103),"")</f>
        <v/>
      </c>
      <c r="W90" s="515"/>
      <c r="X90" s="515" t="str">
        <f ca="1">IF(AND('Mapa final'!$K$106="Muy Baja",'Mapa final'!$O$106="Menor"),CONCATENATE("R",'Mapa final'!$A$106),"")</f>
        <v/>
      </c>
      <c r="Y90" s="515"/>
      <c r="Z90" s="515" t="str">
        <f ca="1">IF(AND('Mapa final'!$K$109="Muy Baja",'Mapa final'!$O$109="Menor"),CONCATENATE("R",'Mapa final'!$A$109),"")</f>
        <v/>
      </c>
      <c r="AA90" s="515"/>
      <c r="AB90" s="515" t="str">
        <f ca="1">IF(AND('Mapa final'!$K$112="Muy Baja",'Mapa final'!$O$112="Menor"),CONCATENATE("R",'Mapa final'!$A$112),"")</f>
        <v/>
      </c>
      <c r="AC90" s="516"/>
      <c r="AD90" s="521" t="str">
        <f ca="1">IF(AND('Mapa final'!$K$100="Muy Baja",'Mapa final'!$O$100="Moderado"),CONCATENATE("R",'Mapa final'!$A$100),"")</f>
        <v/>
      </c>
      <c r="AE90" s="520"/>
      <c r="AF90" s="520" t="str">
        <f ca="1">IF(AND('Mapa final'!$K$103="Muy Baja",'Mapa final'!$O$103="Moderado"),CONCATENATE("R",'Mapa final'!$A$103),"")</f>
        <v/>
      </c>
      <c r="AG90" s="520"/>
      <c r="AH90" s="520" t="str">
        <f ca="1">IF(AND('Mapa final'!$K$106="Muy Baja",'Mapa final'!$O$106="Moderado"),CONCATENATE("R",'Mapa final'!$A$106),"")</f>
        <v/>
      </c>
      <c r="AI90" s="520"/>
      <c r="AJ90" s="520" t="str">
        <f ca="1">IF(AND('Mapa final'!$K$109="Muy Baja",'Mapa final'!$O$109="Moderado"),CONCATENATE("R",'Mapa final'!$A$109),"")</f>
        <v/>
      </c>
      <c r="AK90" s="520"/>
      <c r="AL90" s="520" t="str">
        <f ca="1">IF(AND('Mapa final'!$K$112="Muy Baja",'Mapa final'!$O$112="Moderado"),CONCATENATE("R",'Mapa final'!$A$112),"")</f>
        <v/>
      </c>
      <c r="AM90" s="520"/>
      <c r="AN90" s="524" t="str">
        <f ca="1">IF(AND('Mapa final'!$K$100="Muy Baja",'Mapa final'!$O$100="Mayor"),CONCATENATE("R",'Mapa final'!$A$100),"")</f>
        <v/>
      </c>
      <c r="AO90" s="522"/>
      <c r="AP90" s="522" t="str">
        <f ca="1">IF(AND('Mapa final'!$K$103="Muy Baja",'Mapa final'!$O$103="Mayor"),CONCATENATE("R",'Mapa final'!$A$103),"")</f>
        <v/>
      </c>
      <c r="AQ90" s="522"/>
      <c r="AR90" s="522" t="str">
        <f ca="1">IF(AND('Mapa final'!$K$106="Muy Baja",'Mapa final'!$O$106="Mayor"),CONCATENATE("R",'Mapa final'!$A$106),"")</f>
        <v/>
      </c>
      <c r="AS90" s="522"/>
      <c r="AT90" s="522" t="str">
        <f ca="1">IF(AND('Mapa final'!$K$109="Muy Baja",'Mapa final'!$O$109="Mayor"),CONCATENATE("R",'Mapa final'!$A$109),"")</f>
        <v/>
      </c>
      <c r="AU90" s="522"/>
      <c r="AV90" s="522" t="str">
        <f ca="1">IF(AND('Mapa final'!$K$112="Muy Baja",'Mapa final'!$O$112="Mayor"),CONCATENATE("R",'Mapa final'!$A$112),"")</f>
        <v/>
      </c>
      <c r="AW90" s="523"/>
      <c r="AX90" s="519" t="str">
        <f ca="1">IF(AND('Mapa final'!$K$100="Muy Baja",'Mapa final'!$O$100="Catastrófico"),CONCATENATE("R",'Mapa final'!$A$100),"")</f>
        <v/>
      </c>
      <c r="AY90" s="517"/>
      <c r="AZ90" s="517" t="str">
        <f ca="1">IF(AND('Mapa final'!$K$103="Muy Baja",'Mapa final'!$O$103="Catastrófico"),CONCATENATE("R",'Mapa final'!$A$103),"")</f>
        <v/>
      </c>
      <c r="BA90" s="517"/>
      <c r="BB90" s="517" t="str">
        <f ca="1">IF(AND('Mapa final'!$K$106="Muy Baja",'Mapa final'!$O$106="Catastrófico"),CONCATENATE("R",'Mapa final'!$A$106),"")</f>
        <v/>
      </c>
      <c r="BC90" s="517"/>
      <c r="BD90" s="517" t="str">
        <f ca="1">IF(AND('Mapa final'!$K$109="Muy Baja",'Mapa final'!$O$109="Catastrófico"),CONCATENATE("R",'Mapa final'!$A$109),"")</f>
        <v/>
      </c>
      <c r="BE90" s="517"/>
      <c r="BF90" s="517" t="str">
        <f ca="1">IF(AND('Mapa final'!$K$112="Muy Baja",'Mapa final'!$O$112="Catastrófico"),CONCATENATE("R",'Mapa final'!$A$112),"")</f>
        <v/>
      </c>
      <c r="BG90" s="51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row>
    <row r="91" spans="1:100" ht="15" customHeight="1" x14ac:dyDescent="0.25">
      <c r="A91" s="38"/>
      <c r="B91" s="355"/>
      <c r="C91" s="356"/>
      <c r="D91" s="357"/>
      <c r="E91" s="595"/>
      <c r="F91" s="596"/>
      <c r="G91" s="596"/>
      <c r="H91" s="596"/>
      <c r="I91" s="598"/>
      <c r="J91" s="514"/>
      <c r="K91" s="515"/>
      <c r="L91" s="515"/>
      <c r="M91" s="515"/>
      <c r="N91" s="515"/>
      <c r="O91" s="515"/>
      <c r="P91" s="515"/>
      <c r="Q91" s="515"/>
      <c r="R91" s="515"/>
      <c r="S91" s="516"/>
      <c r="T91" s="514"/>
      <c r="U91" s="515"/>
      <c r="V91" s="515"/>
      <c r="W91" s="515"/>
      <c r="X91" s="515"/>
      <c r="Y91" s="515"/>
      <c r="Z91" s="515"/>
      <c r="AA91" s="515"/>
      <c r="AB91" s="515"/>
      <c r="AC91" s="516"/>
      <c r="AD91" s="521"/>
      <c r="AE91" s="520"/>
      <c r="AF91" s="520"/>
      <c r="AG91" s="520"/>
      <c r="AH91" s="520"/>
      <c r="AI91" s="520"/>
      <c r="AJ91" s="520"/>
      <c r="AK91" s="520"/>
      <c r="AL91" s="520"/>
      <c r="AM91" s="520"/>
      <c r="AN91" s="524"/>
      <c r="AO91" s="522"/>
      <c r="AP91" s="522"/>
      <c r="AQ91" s="522"/>
      <c r="AR91" s="522"/>
      <c r="AS91" s="522"/>
      <c r="AT91" s="522"/>
      <c r="AU91" s="522"/>
      <c r="AV91" s="522"/>
      <c r="AW91" s="523"/>
      <c r="AX91" s="519"/>
      <c r="AY91" s="517"/>
      <c r="AZ91" s="517"/>
      <c r="BA91" s="517"/>
      <c r="BB91" s="517"/>
      <c r="BC91" s="517"/>
      <c r="BD91" s="517"/>
      <c r="BE91" s="517"/>
      <c r="BF91" s="517"/>
      <c r="BG91" s="51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row>
    <row r="92" spans="1:100" ht="15" customHeight="1" x14ac:dyDescent="0.25">
      <c r="A92" s="38"/>
      <c r="B92" s="355"/>
      <c r="C92" s="356"/>
      <c r="D92" s="357"/>
      <c r="E92" s="595"/>
      <c r="F92" s="596"/>
      <c r="G92" s="596"/>
      <c r="H92" s="596"/>
      <c r="I92" s="598"/>
      <c r="J92" s="514" t="str">
        <f ca="1">IF(AND('Mapa final'!$K$115="Muy Baja",'Mapa final'!$O$115="Leve"),CONCATENATE("R",'Mapa final'!$A$115),"")</f>
        <v/>
      </c>
      <c r="K92" s="515"/>
      <c r="L92" s="515" t="str">
        <f ca="1">IF(AND('Mapa final'!$K$118="Muy Baja",'Mapa final'!$O$118="Leve"),CONCATENATE("R",'Mapa final'!$A$118),"")</f>
        <v/>
      </c>
      <c r="M92" s="515"/>
      <c r="N92" s="515" t="str">
        <f ca="1">IF(AND('Mapa final'!$K$121="Muy Baja",'Mapa final'!$O$121="Leve"),CONCATENATE("R",'Mapa final'!$A$121),"")</f>
        <v/>
      </c>
      <c r="O92" s="515"/>
      <c r="P92" s="515" t="str">
        <f ca="1">IF(AND('Mapa final'!$K$124="Muy Baja",'Mapa final'!$O$124="Leve"),CONCATENATE("R",'Mapa final'!$A$124),"")</f>
        <v/>
      </c>
      <c r="Q92" s="515"/>
      <c r="R92" s="515" t="str">
        <f ca="1">IF(AND('Mapa final'!$K$127="Muy Baja",'Mapa final'!$O$127="Leve"),CONCATENATE("R",'Mapa final'!$A$127),"")</f>
        <v/>
      </c>
      <c r="S92" s="516"/>
      <c r="T92" s="514" t="str">
        <f ca="1">IF(AND('Mapa final'!$K$115="Muy Baja",'Mapa final'!$O$115="Menor"),CONCATENATE("R",'Mapa final'!$A$115),"")</f>
        <v/>
      </c>
      <c r="U92" s="515"/>
      <c r="V92" s="515" t="str">
        <f ca="1">IF(AND('Mapa final'!$K$118="Muy Baja",'Mapa final'!$O$118="Menor"),CONCATENATE("R",'Mapa final'!$A$118),"")</f>
        <v/>
      </c>
      <c r="W92" s="515"/>
      <c r="X92" s="515" t="str">
        <f ca="1">IF(AND('Mapa final'!$K$121="Muy Baja",'Mapa final'!$O$121="Menor"),CONCATENATE("R",'Mapa final'!$A$121),"")</f>
        <v/>
      </c>
      <c r="Y92" s="515"/>
      <c r="Z92" s="515" t="str">
        <f ca="1">IF(AND('Mapa final'!$K$124="Muy Baja",'Mapa final'!$O$124="Menor"),CONCATENATE("R",'Mapa final'!$A$124),"")</f>
        <v/>
      </c>
      <c r="AA92" s="515"/>
      <c r="AB92" s="515" t="str">
        <f ca="1">IF(AND('Mapa final'!$K$127="Muy Baja",'Mapa final'!$O$127="Menor"),CONCATENATE("R",'Mapa final'!$A$127),"")</f>
        <v/>
      </c>
      <c r="AC92" s="516"/>
      <c r="AD92" s="521" t="str">
        <f ca="1">IF(AND('Mapa final'!$K$115="Muy Baja",'Mapa final'!$O$115="Moderado"),CONCATENATE("R",'Mapa final'!$A$115),"")</f>
        <v/>
      </c>
      <c r="AE92" s="520"/>
      <c r="AF92" s="520" t="str">
        <f ca="1">IF(AND('Mapa final'!$K$118="Muy Baja",'Mapa final'!$O$118="Moderado"),CONCATENATE("R",'Mapa final'!$A$118),"")</f>
        <v/>
      </c>
      <c r="AG92" s="520"/>
      <c r="AH92" s="520" t="str">
        <f ca="1">IF(AND('Mapa final'!$K$121="Muy Baja",'Mapa final'!$O$121="Moderado"),CONCATENATE("R",'Mapa final'!$A$121),"")</f>
        <v/>
      </c>
      <c r="AI92" s="520"/>
      <c r="AJ92" s="520" t="str">
        <f ca="1">IF(AND('Mapa final'!$K$124="Muy Baja",'Mapa final'!$O$124="Moderado"),CONCATENATE("R",'Mapa final'!$A$124),"")</f>
        <v/>
      </c>
      <c r="AK92" s="520"/>
      <c r="AL92" s="520" t="str">
        <f ca="1">IF(AND('Mapa final'!$K$127="Muy Baja",'Mapa final'!$O$127="Moderado"),CONCATENATE("R",'Mapa final'!$A$127),"")</f>
        <v>R40</v>
      </c>
      <c r="AM92" s="520"/>
      <c r="AN92" s="524" t="str">
        <f ca="1">IF(AND('Mapa final'!$K$115="Muy Baja",'Mapa final'!$O$115="Mayor"),CONCATENATE("R",'Mapa final'!$A$115),"")</f>
        <v/>
      </c>
      <c r="AO92" s="522"/>
      <c r="AP92" s="522" t="str">
        <f ca="1">IF(AND('Mapa final'!$K$118="Muy Baja",'Mapa final'!$O$118="Mayor"),CONCATENATE("R",'Mapa final'!$A$118),"")</f>
        <v/>
      </c>
      <c r="AQ92" s="522"/>
      <c r="AR92" s="522" t="str">
        <f ca="1">IF(AND('Mapa final'!$K$121="Muy Baja",'Mapa final'!$O$121="Mayor"),CONCATENATE("R",'Mapa final'!$A$121),"")</f>
        <v/>
      </c>
      <c r="AS92" s="522"/>
      <c r="AT92" s="522" t="str">
        <f ca="1">IF(AND('Mapa final'!$K$124="Muy Baja",'Mapa final'!$O$124="Mayor"),CONCATENATE("R",'Mapa final'!$A$124),"")</f>
        <v/>
      </c>
      <c r="AU92" s="522"/>
      <c r="AV92" s="522" t="str">
        <f ca="1">IF(AND('Mapa final'!$K$127="Muy Baja",'Mapa final'!$O$127="Mayor"),CONCATENATE("R",'Mapa final'!$A$127),"")</f>
        <v/>
      </c>
      <c r="AW92" s="523"/>
      <c r="AX92" s="519" t="str">
        <f ca="1">IF(AND('Mapa final'!$K$115="Muy Baja",'Mapa final'!$O$115="Catastrófico"),CONCATENATE("R",'Mapa final'!$A$115),"")</f>
        <v/>
      </c>
      <c r="AY92" s="517"/>
      <c r="AZ92" s="517" t="str">
        <f ca="1">IF(AND('Mapa final'!$K$118="Muy Baja",'Mapa final'!$O$118="Catastrófico"),CONCATENATE("R",'Mapa final'!$A$118),"")</f>
        <v/>
      </c>
      <c r="BA92" s="517"/>
      <c r="BB92" s="517" t="str">
        <f ca="1">IF(AND('Mapa final'!$K$121="Muy Baja",'Mapa final'!$O$121="Catastrófico"),CONCATENATE("R",'Mapa final'!$A$121),"")</f>
        <v/>
      </c>
      <c r="BC92" s="517"/>
      <c r="BD92" s="517" t="str">
        <f ca="1">IF(AND('Mapa final'!$K$124="Muy Baja",'Mapa final'!$O$124="Catastrófico"),CONCATENATE("R",'Mapa final'!$A$124),"")</f>
        <v/>
      </c>
      <c r="BE92" s="517"/>
      <c r="BF92" s="517" t="str">
        <f ca="1">IF(AND('Mapa final'!$K$127="Muy Baja",'Mapa final'!$O$127="Catastrófico"),CONCATENATE("R",'Mapa final'!$A$127),"")</f>
        <v/>
      </c>
      <c r="BG92" s="51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row>
    <row r="93" spans="1:100" ht="15" customHeight="1" x14ac:dyDescent="0.25">
      <c r="A93" s="38"/>
      <c r="B93" s="355"/>
      <c r="C93" s="356"/>
      <c r="D93" s="357"/>
      <c r="E93" s="595"/>
      <c r="F93" s="596"/>
      <c r="G93" s="596"/>
      <c r="H93" s="596"/>
      <c r="I93" s="598"/>
      <c r="J93" s="514"/>
      <c r="K93" s="515"/>
      <c r="L93" s="515"/>
      <c r="M93" s="515"/>
      <c r="N93" s="515"/>
      <c r="O93" s="515"/>
      <c r="P93" s="515"/>
      <c r="Q93" s="515"/>
      <c r="R93" s="515"/>
      <c r="S93" s="516"/>
      <c r="T93" s="514"/>
      <c r="U93" s="515"/>
      <c r="V93" s="515"/>
      <c r="W93" s="515"/>
      <c r="X93" s="515"/>
      <c r="Y93" s="515"/>
      <c r="Z93" s="515"/>
      <c r="AA93" s="515"/>
      <c r="AB93" s="515"/>
      <c r="AC93" s="516"/>
      <c r="AD93" s="521"/>
      <c r="AE93" s="520"/>
      <c r="AF93" s="520"/>
      <c r="AG93" s="520"/>
      <c r="AH93" s="520"/>
      <c r="AI93" s="520"/>
      <c r="AJ93" s="520"/>
      <c r="AK93" s="520"/>
      <c r="AL93" s="520"/>
      <c r="AM93" s="520"/>
      <c r="AN93" s="524"/>
      <c r="AO93" s="522"/>
      <c r="AP93" s="522"/>
      <c r="AQ93" s="522"/>
      <c r="AR93" s="522"/>
      <c r="AS93" s="522"/>
      <c r="AT93" s="522"/>
      <c r="AU93" s="522"/>
      <c r="AV93" s="522"/>
      <c r="AW93" s="523"/>
      <c r="AX93" s="519"/>
      <c r="AY93" s="517"/>
      <c r="AZ93" s="517"/>
      <c r="BA93" s="517"/>
      <c r="BB93" s="517"/>
      <c r="BC93" s="517"/>
      <c r="BD93" s="517"/>
      <c r="BE93" s="517"/>
      <c r="BF93" s="517"/>
      <c r="BG93" s="51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row>
    <row r="94" spans="1:100" ht="15" customHeight="1" x14ac:dyDescent="0.25">
      <c r="A94" s="38"/>
      <c r="B94" s="355"/>
      <c r="C94" s="356"/>
      <c r="D94" s="357"/>
      <c r="E94" s="595"/>
      <c r="F94" s="596"/>
      <c r="G94" s="596"/>
      <c r="H94" s="596"/>
      <c r="I94" s="598"/>
      <c r="J94" s="514" t="str">
        <f ca="1">IF(AND('Mapa final'!$K$130="Muy Baja",'Mapa final'!$O$130="Leve"),CONCATENATE("R",'Mapa final'!$A$130),"")</f>
        <v/>
      </c>
      <c r="K94" s="515"/>
      <c r="L94" s="515" t="str">
        <f ca="1">IF(AND('Mapa final'!$K$133="Muy Baja",'Mapa final'!$O$133="Leve"),CONCATENATE("R",'Mapa final'!$A$133),"")</f>
        <v/>
      </c>
      <c r="M94" s="515"/>
      <c r="N94" s="515" t="str">
        <f ca="1">IF(AND('Mapa final'!$K$136="Muy Baja",'Mapa final'!$O$136="Leve"),CONCATENATE("R",'Mapa final'!$A$136),"")</f>
        <v/>
      </c>
      <c r="O94" s="515"/>
      <c r="P94" s="515" t="str">
        <f>IF(AND('Mapa final'!$K$139="Muy Baja",'Mapa final'!$O$139="Leve"),CONCATENATE("R",'Mapa final'!$A$139),"")</f>
        <v/>
      </c>
      <c r="Q94" s="515"/>
      <c r="R94" s="515" t="str">
        <f>IF(AND('Mapa final'!$K$142="Muy Baja",'Mapa final'!$O$142="Leve"),CONCATENATE("R",'Mapa final'!$A$142),"")</f>
        <v/>
      </c>
      <c r="S94" s="516"/>
      <c r="T94" s="514" t="str">
        <f ca="1">IF(AND('Mapa final'!$K$130="Muy Baja",'Mapa final'!$O$130="Menor"),CONCATENATE("R",'Mapa final'!$A$130),"")</f>
        <v/>
      </c>
      <c r="U94" s="515"/>
      <c r="V94" s="515" t="str">
        <f ca="1">IF(AND('Mapa final'!$K$133="Muy Baja",'Mapa final'!$O$133="Menor"),CONCATENATE("R",'Mapa final'!$A$133),"")</f>
        <v/>
      </c>
      <c r="W94" s="515"/>
      <c r="X94" s="515" t="str">
        <f ca="1">IF(AND('Mapa final'!$K$136="Muy Baja",'Mapa final'!$O$136="Menor"),CONCATENATE("R",'Mapa final'!$A$136),"")</f>
        <v/>
      </c>
      <c r="Y94" s="515"/>
      <c r="Z94" s="515" t="str">
        <f>IF(AND('Mapa final'!$K$139="Muy Baja",'Mapa final'!$O$139="Menor"),CONCATENATE("R",'Mapa final'!$A$139),"")</f>
        <v/>
      </c>
      <c r="AA94" s="515"/>
      <c r="AB94" s="515" t="str">
        <f>IF(AND('Mapa final'!$K$142="Muy Baja",'Mapa final'!$O$142="Menor"),CONCATENATE("R",'Mapa final'!$A$142),"")</f>
        <v/>
      </c>
      <c r="AC94" s="516"/>
      <c r="AD94" s="521" t="str">
        <f ca="1">IF(AND('Mapa final'!$K$130="Muy Baja",'Mapa final'!$O$130="Moderado"),CONCATENATE("R",'Mapa final'!$A$130),"")</f>
        <v/>
      </c>
      <c r="AE94" s="520"/>
      <c r="AF94" s="520" t="str">
        <f ca="1">IF(AND('Mapa final'!$K$133="Muy Baja",'Mapa final'!$O$133="Moderado"),CONCATENATE("R",'Mapa final'!$A$133),"")</f>
        <v/>
      </c>
      <c r="AG94" s="520"/>
      <c r="AH94" s="520" t="str">
        <f ca="1">IF(AND('Mapa final'!$K$136="Muy Baja",'Mapa final'!$O$136="Moderado"),CONCATENATE("R",'Mapa final'!$A$136),"")</f>
        <v/>
      </c>
      <c r="AI94" s="520"/>
      <c r="AJ94" s="520" t="str">
        <f>IF(AND('Mapa final'!$K$139="Muy Baja",'Mapa final'!$O$139="Moderado"),CONCATENATE("R",'Mapa final'!$A$139),"")</f>
        <v/>
      </c>
      <c r="AK94" s="520"/>
      <c r="AL94" s="520" t="str">
        <f>IF(AND('Mapa final'!$K$142="Muy Baja",'Mapa final'!$O$142="Moderado"),CONCATENATE("R",'Mapa final'!$A$142),"")</f>
        <v/>
      </c>
      <c r="AM94" s="520"/>
      <c r="AN94" s="524" t="str">
        <f ca="1">IF(AND('Mapa final'!$K$130="Muy Baja",'Mapa final'!$O$130="Mayor"),CONCATENATE("R",'Mapa final'!$A$130),"")</f>
        <v/>
      </c>
      <c r="AO94" s="522"/>
      <c r="AP94" s="522" t="str">
        <f ca="1">IF(AND('Mapa final'!$K$133="Muy Baja",'Mapa final'!$O$133="Mayor"),CONCATENATE("R",'Mapa final'!$A$133),"")</f>
        <v/>
      </c>
      <c r="AQ94" s="522"/>
      <c r="AR94" s="522" t="str">
        <f ca="1">IF(AND('Mapa final'!$K$136="Muy Baja",'Mapa final'!$O$136="Mayor"),CONCATENATE("R",'Mapa final'!$A$136),"")</f>
        <v/>
      </c>
      <c r="AS94" s="522"/>
      <c r="AT94" s="522" t="str">
        <f>IF(AND('Mapa final'!$K$139="Muy Baja",'Mapa final'!$O$139="Mayor"),CONCATENATE("R",'Mapa final'!$A$139),"")</f>
        <v/>
      </c>
      <c r="AU94" s="522"/>
      <c r="AV94" s="522" t="str">
        <f>IF(AND('Mapa final'!$K$142="Muy Baja",'Mapa final'!$O$142="Mayor"),CONCATENATE("R",'Mapa final'!$A$142),"")</f>
        <v/>
      </c>
      <c r="AW94" s="523"/>
      <c r="AX94" s="519" t="str">
        <f ca="1">IF(AND('Mapa final'!$K$130="Muy Baja",'Mapa final'!$O$130="Catastrófico"),CONCATENATE("R",'Mapa final'!$A$130),"")</f>
        <v/>
      </c>
      <c r="AY94" s="517"/>
      <c r="AZ94" s="517" t="str">
        <f ca="1">IF(AND('Mapa final'!$K$133="Muy Baja",'Mapa final'!$O$133="Catastrófico"),CONCATENATE("R",'Mapa final'!$A$133),"")</f>
        <v/>
      </c>
      <c r="BA94" s="517"/>
      <c r="BB94" s="517" t="str">
        <f ca="1">IF(AND('Mapa final'!$K$136="Muy Baja",'Mapa final'!$O$136="Catastrófico"),CONCATENATE("R",'Mapa final'!$A$136),"")</f>
        <v/>
      </c>
      <c r="BC94" s="517"/>
      <c r="BD94" s="517" t="str">
        <f>IF(AND('Mapa final'!$K$139="Muy Baja",'Mapa final'!$O$139="Catastrófico"),CONCATENATE("R",'Mapa final'!$A$139),"")</f>
        <v/>
      </c>
      <c r="BE94" s="517"/>
      <c r="BF94" s="517" t="str">
        <f>IF(AND('Mapa final'!$K$142="Muy Baja",'Mapa final'!$O$142="Catastrófico"),CONCATENATE("R",'Mapa final'!$A$142),"")</f>
        <v/>
      </c>
      <c r="BG94" s="51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row>
    <row r="95" spans="1:100" ht="15" customHeight="1" thickBot="1" x14ac:dyDescent="0.3">
      <c r="A95" s="38"/>
      <c r="B95" s="358"/>
      <c r="C95" s="359"/>
      <c r="D95" s="360"/>
      <c r="E95" s="599"/>
      <c r="F95" s="600"/>
      <c r="G95" s="600"/>
      <c r="H95" s="600"/>
      <c r="I95" s="601"/>
      <c r="J95" s="545"/>
      <c r="K95" s="546"/>
      <c r="L95" s="546"/>
      <c r="M95" s="546"/>
      <c r="N95" s="546"/>
      <c r="O95" s="546"/>
      <c r="P95" s="546"/>
      <c r="Q95" s="546"/>
      <c r="R95" s="546"/>
      <c r="S95" s="547"/>
      <c r="T95" s="545"/>
      <c r="U95" s="546"/>
      <c r="V95" s="546"/>
      <c r="W95" s="546"/>
      <c r="X95" s="546"/>
      <c r="Y95" s="546"/>
      <c r="Z95" s="546"/>
      <c r="AA95" s="546"/>
      <c r="AB95" s="546"/>
      <c r="AC95" s="547"/>
      <c r="AD95" s="540"/>
      <c r="AE95" s="537"/>
      <c r="AF95" s="537"/>
      <c r="AG95" s="537"/>
      <c r="AH95" s="537"/>
      <c r="AI95" s="537"/>
      <c r="AJ95" s="537"/>
      <c r="AK95" s="537"/>
      <c r="AL95" s="537"/>
      <c r="AM95" s="537"/>
      <c r="AN95" s="541"/>
      <c r="AO95" s="527"/>
      <c r="AP95" s="527"/>
      <c r="AQ95" s="527"/>
      <c r="AR95" s="527"/>
      <c r="AS95" s="527"/>
      <c r="AT95" s="527"/>
      <c r="AU95" s="527"/>
      <c r="AV95" s="527"/>
      <c r="AW95" s="553"/>
      <c r="AX95" s="542"/>
      <c r="AY95" s="543"/>
      <c r="AZ95" s="543"/>
      <c r="BA95" s="543"/>
      <c r="BB95" s="543"/>
      <c r="BC95" s="543"/>
      <c r="BD95" s="543"/>
      <c r="BE95" s="543"/>
      <c r="BF95" s="543"/>
      <c r="BG95" s="544"/>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row>
    <row r="96" spans="1:100" x14ac:dyDescent="0.25">
      <c r="A96" s="38"/>
      <c r="B96" s="38"/>
      <c r="C96" s="38"/>
      <c r="D96" s="38"/>
      <c r="E96" s="38"/>
      <c r="F96" s="38"/>
      <c r="G96" s="38"/>
      <c r="H96" s="38"/>
      <c r="I96" s="38"/>
      <c r="J96" s="602" t="s">
        <v>103</v>
      </c>
      <c r="K96" s="596"/>
      <c r="L96" s="596"/>
      <c r="M96" s="596"/>
      <c r="N96" s="596"/>
      <c r="O96" s="596"/>
      <c r="P96" s="596"/>
      <c r="Q96" s="596"/>
      <c r="R96" s="596"/>
      <c r="S96" s="598"/>
      <c r="T96" s="602" t="s">
        <v>102</v>
      </c>
      <c r="U96" s="596"/>
      <c r="V96" s="596"/>
      <c r="W96" s="596"/>
      <c r="X96" s="596"/>
      <c r="Y96" s="596"/>
      <c r="Z96" s="596"/>
      <c r="AA96" s="596"/>
      <c r="AB96" s="596"/>
      <c r="AC96" s="598"/>
      <c r="AD96" s="602" t="s">
        <v>101</v>
      </c>
      <c r="AE96" s="596"/>
      <c r="AF96" s="596"/>
      <c r="AG96" s="596"/>
      <c r="AH96" s="596"/>
      <c r="AI96" s="596"/>
      <c r="AJ96" s="596"/>
      <c r="AK96" s="596"/>
      <c r="AL96" s="596"/>
      <c r="AM96" s="598"/>
      <c r="AN96" s="602" t="s">
        <v>100</v>
      </c>
      <c r="AO96" s="605"/>
      <c r="AP96" s="605"/>
      <c r="AQ96" s="605"/>
      <c r="AR96" s="605"/>
      <c r="AS96" s="605"/>
      <c r="AT96" s="596"/>
      <c r="AU96" s="596"/>
      <c r="AV96" s="596"/>
      <c r="AW96" s="598"/>
      <c r="AX96" s="602" t="s">
        <v>99</v>
      </c>
      <c r="AY96" s="596"/>
      <c r="AZ96" s="596"/>
      <c r="BA96" s="596"/>
      <c r="BB96" s="596"/>
      <c r="BC96" s="596"/>
      <c r="BD96" s="596"/>
      <c r="BE96" s="596"/>
      <c r="BF96" s="596"/>
      <c r="BG96" s="59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row>
    <row r="97" spans="1:100" x14ac:dyDescent="0.25">
      <c r="A97" s="38"/>
      <c r="B97" s="38"/>
      <c r="C97" s="38"/>
      <c r="D97" s="38"/>
      <c r="E97" s="38"/>
      <c r="F97" s="38"/>
      <c r="G97" s="38"/>
      <c r="H97" s="38"/>
      <c r="I97" s="38"/>
      <c r="J97" s="595"/>
      <c r="K97" s="596"/>
      <c r="L97" s="596"/>
      <c r="M97" s="596"/>
      <c r="N97" s="596"/>
      <c r="O97" s="596"/>
      <c r="P97" s="596"/>
      <c r="Q97" s="596"/>
      <c r="R97" s="596"/>
      <c r="S97" s="598"/>
      <c r="T97" s="595"/>
      <c r="U97" s="596"/>
      <c r="V97" s="596"/>
      <c r="W97" s="596"/>
      <c r="X97" s="596"/>
      <c r="Y97" s="596"/>
      <c r="Z97" s="596"/>
      <c r="AA97" s="596"/>
      <c r="AB97" s="596"/>
      <c r="AC97" s="598"/>
      <c r="AD97" s="595"/>
      <c r="AE97" s="596"/>
      <c r="AF97" s="596"/>
      <c r="AG97" s="596"/>
      <c r="AH97" s="596"/>
      <c r="AI97" s="596"/>
      <c r="AJ97" s="596"/>
      <c r="AK97" s="596"/>
      <c r="AL97" s="596"/>
      <c r="AM97" s="598"/>
      <c r="AN97" s="595"/>
      <c r="AO97" s="596"/>
      <c r="AP97" s="596"/>
      <c r="AQ97" s="596"/>
      <c r="AR97" s="596"/>
      <c r="AS97" s="596"/>
      <c r="AT97" s="596"/>
      <c r="AU97" s="596"/>
      <c r="AV97" s="596"/>
      <c r="AW97" s="598"/>
      <c r="AX97" s="595"/>
      <c r="AY97" s="596"/>
      <c r="AZ97" s="596"/>
      <c r="BA97" s="596"/>
      <c r="BB97" s="596"/>
      <c r="BC97" s="596"/>
      <c r="BD97" s="596"/>
      <c r="BE97" s="596"/>
      <c r="BF97" s="596"/>
      <c r="BG97" s="59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row>
    <row r="98" spans="1:100" x14ac:dyDescent="0.25">
      <c r="A98" s="38"/>
      <c r="B98" s="38"/>
      <c r="C98" s="38"/>
      <c r="D98" s="38"/>
      <c r="E98" s="38"/>
      <c r="F98" s="38"/>
      <c r="G98" s="38"/>
      <c r="H98" s="38"/>
      <c r="I98" s="38"/>
      <c r="J98" s="595"/>
      <c r="K98" s="596"/>
      <c r="L98" s="596"/>
      <c r="M98" s="596"/>
      <c r="N98" s="596"/>
      <c r="O98" s="596"/>
      <c r="P98" s="596"/>
      <c r="Q98" s="596"/>
      <c r="R98" s="596"/>
      <c r="S98" s="598"/>
      <c r="T98" s="595"/>
      <c r="U98" s="596"/>
      <c r="V98" s="596"/>
      <c r="W98" s="596"/>
      <c r="X98" s="596"/>
      <c r="Y98" s="596"/>
      <c r="Z98" s="596"/>
      <c r="AA98" s="596"/>
      <c r="AB98" s="596"/>
      <c r="AC98" s="598"/>
      <c r="AD98" s="595"/>
      <c r="AE98" s="596"/>
      <c r="AF98" s="596"/>
      <c r="AG98" s="596"/>
      <c r="AH98" s="596"/>
      <c r="AI98" s="596"/>
      <c r="AJ98" s="596"/>
      <c r="AK98" s="596"/>
      <c r="AL98" s="596"/>
      <c r="AM98" s="598"/>
      <c r="AN98" s="595"/>
      <c r="AO98" s="596"/>
      <c r="AP98" s="596"/>
      <c r="AQ98" s="596"/>
      <c r="AR98" s="596"/>
      <c r="AS98" s="596"/>
      <c r="AT98" s="596"/>
      <c r="AU98" s="596"/>
      <c r="AV98" s="596"/>
      <c r="AW98" s="598"/>
      <c r="AX98" s="595"/>
      <c r="AY98" s="596"/>
      <c r="AZ98" s="596"/>
      <c r="BA98" s="596"/>
      <c r="BB98" s="596"/>
      <c r="BC98" s="596"/>
      <c r="BD98" s="596"/>
      <c r="BE98" s="596"/>
      <c r="BF98" s="596"/>
      <c r="BG98" s="59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row>
    <row r="99" spans="1:100" x14ac:dyDescent="0.25">
      <c r="A99" s="38"/>
      <c r="B99" s="38"/>
      <c r="C99" s="38"/>
      <c r="D99" s="38"/>
      <c r="E99" s="38"/>
      <c r="F99" s="38"/>
      <c r="G99" s="38"/>
      <c r="H99" s="38"/>
      <c r="I99" s="38"/>
      <c r="J99" s="595"/>
      <c r="K99" s="596"/>
      <c r="L99" s="596"/>
      <c r="M99" s="596"/>
      <c r="N99" s="596"/>
      <c r="O99" s="596"/>
      <c r="P99" s="596"/>
      <c r="Q99" s="596"/>
      <c r="R99" s="596"/>
      <c r="S99" s="598"/>
      <c r="T99" s="595"/>
      <c r="U99" s="596"/>
      <c r="V99" s="596"/>
      <c r="W99" s="596"/>
      <c r="X99" s="596"/>
      <c r="Y99" s="596"/>
      <c r="Z99" s="596"/>
      <c r="AA99" s="596"/>
      <c r="AB99" s="596"/>
      <c r="AC99" s="598"/>
      <c r="AD99" s="595"/>
      <c r="AE99" s="596"/>
      <c r="AF99" s="596"/>
      <c r="AG99" s="596"/>
      <c r="AH99" s="596"/>
      <c r="AI99" s="596"/>
      <c r="AJ99" s="596"/>
      <c r="AK99" s="596"/>
      <c r="AL99" s="596"/>
      <c r="AM99" s="598"/>
      <c r="AN99" s="595"/>
      <c r="AO99" s="596"/>
      <c r="AP99" s="596"/>
      <c r="AQ99" s="596"/>
      <c r="AR99" s="596"/>
      <c r="AS99" s="596"/>
      <c r="AT99" s="596"/>
      <c r="AU99" s="596"/>
      <c r="AV99" s="596"/>
      <c r="AW99" s="598"/>
      <c r="AX99" s="595"/>
      <c r="AY99" s="596"/>
      <c r="AZ99" s="596"/>
      <c r="BA99" s="596"/>
      <c r="BB99" s="596"/>
      <c r="BC99" s="596"/>
      <c r="BD99" s="596"/>
      <c r="BE99" s="596"/>
      <c r="BF99" s="596"/>
      <c r="BG99" s="59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row>
    <row r="100" spans="1:100" x14ac:dyDescent="0.25">
      <c r="A100" s="38"/>
      <c r="B100" s="38"/>
      <c r="C100" s="38"/>
      <c r="D100" s="38"/>
      <c r="E100" s="38"/>
      <c r="F100" s="38"/>
      <c r="G100" s="38"/>
      <c r="H100" s="38"/>
      <c r="I100" s="38"/>
      <c r="J100" s="595"/>
      <c r="K100" s="596"/>
      <c r="L100" s="596"/>
      <c r="M100" s="596"/>
      <c r="N100" s="596"/>
      <c r="O100" s="596"/>
      <c r="P100" s="596"/>
      <c r="Q100" s="596"/>
      <c r="R100" s="596"/>
      <c r="S100" s="598"/>
      <c r="T100" s="595"/>
      <c r="U100" s="596"/>
      <c r="V100" s="596"/>
      <c r="W100" s="596"/>
      <c r="X100" s="596"/>
      <c r="Y100" s="596"/>
      <c r="Z100" s="596"/>
      <c r="AA100" s="596"/>
      <c r="AB100" s="596"/>
      <c r="AC100" s="598"/>
      <c r="AD100" s="595"/>
      <c r="AE100" s="596"/>
      <c r="AF100" s="596"/>
      <c r="AG100" s="596"/>
      <c r="AH100" s="596"/>
      <c r="AI100" s="596"/>
      <c r="AJ100" s="596"/>
      <c r="AK100" s="596"/>
      <c r="AL100" s="596"/>
      <c r="AM100" s="598"/>
      <c r="AN100" s="595"/>
      <c r="AO100" s="596"/>
      <c r="AP100" s="596"/>
      <c r="AQ100" s="596"/>
      <c r="AR100" s="596"/>
      <c r="AS100" s="596"/>
      <c r="AT100" s="596"/>
      <c r="AU100" s="596"/>
      <c r="AV100" s="596"/>
      <c r="AW100" s="598"/>
      <c r="AX100" s="595"/>
      <c r="AY100" s="596"/>
      <c r="AZ100" s="596"/>
      <c r="BA100" s="596"/>
      <c r="BB100" s="596"/>
      <c r="BC100" s="596"/>
      <c r="BD100" s="596"/>
      <c r="BE100" s="596"/>
      <c r="BF100" s="596"/>
      <c r="BG100" s="59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row>
    <row r="101" spans="1:100" ht="15.75" thickBot="1" x14ac:dyDescent="0.3">
      <c r="A101" s="38"/>
      <c r="B101" s="38"/>
      <c r="C101" s="38"/>
      <c r="D101" s="38"/>
      <c r="E101" s="38"/>
      <c r="F101" s="38"/>
      <c r="G101" s="38"/>
      <c r="H101" s="38"/>
      <c r="I101" s="38"/>
      <c r="J101" s="599"/>
      <c r="K101" s="600"/>
      <c r="L101" s="600"/>
      <c r="M101" s="600"/>
      <c r="N101" s="600"/>
      <c r="O101" s="600"/>
      <c r="P101" s="600"/>
      <c r="Q101" s="600"/>
      <c r="R101" s="600"/>
      <c r="S101" s="601"/>
      <c r="T101" s="599"/>
      <c r="U101" s="600"/>
      <c r="V101" s="600"/>
      <c r="W101" s="600"/>
      <c r="X101" s="600"/>
      <c r="Y101" s="600"/>
      <c r="Z101" s="600"/>
      <c r="AA101" s="600"/>
      <c r="AB101" s="600"/>
      <c r="AC101" s="601"/>
      <c r="AD101" s="599"/>
      <c r="AE101" s="600"/>
      <c r="AF101" s="600"/>
      <c r="AG101" s="600"/>
      <c r="AH101" s="600"/>
      <c r="AI101" s="600"/>
      <c r="AJ101" s="600"/>
      <c r="AK101" s="600"/>
      <c r="AL101" s="600"/>
      <c r="AM101" s="601"/>
      <c r="AN101" s="599"/>
      <c r="AO101" s="600"/>
      <c r="AP101" s="600"/>
      <c r="AQ101" s="600"/>
      <c r="AR101" s="600"/>
      <c r="AS101" s="600"/>
      <c r="AT101" s="600"/>
      <c r="AU101" s="600"/>
      <c r="AV101" s="600"/>
      <c r="AW101" s="601"/>
      <c r="AX101" s="599"/>
      <c r="AY101" s="600"/>
      <c r="AZ101" s="600"/>
      <c r="BA101" s="600"/>
      <c r="BB101" s="600"/>
      <c r="BC101" s="600"/>
      <c r="BD101" s="600"/>
      <c r="BE101" s="600"/>
      <c r="BF101" s="600"/>
      <c r="BG101" s="601"/>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row>
    <row r="102" spans="1:100" x14ac:dyDescent="0.2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row>
    <row r="103" spans="1:100" ht="15" customHeight="1" x14ac:dyDescent="0.25">
      <c r="A103" s="38"/>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row>
    <row r="104" spans="1:100" ht="15" customHeight="1" x14ac:dyDescent="0.25">
      <c r="A104" s="38"/>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row>
    <row r="105" spans="1:100" x14ac:dyDescent="0.2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row>
    <row r="106" spans="1:100" x14ac:dyDescent="0.2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row>
    <row r="107" spans="1:100" x14ac:dyDescent="0.2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row>
    <row r="108" spans="1:100" x14ac:dyDescent="0.2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row>
    <row r="109" spans="1:100" x14ac:dyDescent="0.2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row>
    <row r="110" spans="1:100" x14ac:dyDescent="0.2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row>
    <row r="111" spans="1:100" ht="21" x14ac:dyDescent="0.2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42"/>
      <c r="BJ111" s="42"/>
      <c r="BK111" s="42"/>
      <c r="BL111" s="42"/>
      <c r="BM111" s="42"/>
      <c r="BN111" s="42"/>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row>
    <row r="112" spans="1:100" ht="21" x14ac:dyDescent="0.2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42"/>
      <c r="BJ112" s="42"/>
      <c r="BK112" s="42"/>
      <c r="BL112" s="42"/>
      <c r="BM112" s="42"/>
      <c r="BN112" s="42"/>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row>
    <row r="113" spans="1:100" x14ac:dyDescent="0.2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row>
    <row r="114" spans="1:100" x14ac:dyDescent="0.2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row>
    <row r="115" spans="1:100" x14ac:dyDescent="0.2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row>
    <row r="116" spans="1:100" x14ac:dyDescent="0.25">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row>
    <row r="117" spans="1:100" x14ac:dyDescent="0.25">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row>
    <row r="118" spans="1:100" x14ac:dyDescent="0.25">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row>
    <row r="119" spans="1:100" x14ac:dyDescent="0.2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row>
    <row r="120" spans="1:100" x14ac:dyDescent="0.25">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row>
    <row r="121" spans="1:100" x14ac:dyDescent="0.25">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row>
    <row r="122" spans="1:100" x14ac:dyDescent="0.25">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row>
    <row r="123" spans="1:100" x14ac:dyDescent="0.25">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row>
    <row r="124" spans="1:100" x14ac:dyDescent="0.25">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row>
    <row r="125" spans="1:100" x14ac:dyDescent="0.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row>
    <row r="126" spans="1:100" x14ac:dyDescent="0.25">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row>
    <row r="127" spans="1:100" x14ac:dyDescent="0.25">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row>
    <row r="128" spans="1:100" x14ac:dyDescent="0.25">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row>
    <row r="129" spans="1:83" x14ac:dyDescent="0.25">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row>
    <row r="130" spans="1:83" x14ac:dyDescent="0.25">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row>
    <row r="131" spans="1:83" x14ac:dyDescent="0.25">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row>
    <row r="132" spans="1:83" x14ac:dyDescent="0.25">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row>
    <row r="133" spans="1:83" x14ac:dyDescent="0.25">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row>
    <row r="134" spans="1:83" x14ac:dyDescent="0.25">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row>
    <row r="135" spans="1:83" x14ac:dyDescent="0.2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row>
    <row r="136" spans="1:83" x14ac:dyDescent="0.25">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row>
    <row r="137" spans="1:83" x14ac:dyDescent="0.25">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row>
    <row r="138" spans="1:83" x14ac:dyDescent="0.25">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row>
    <row r="139" spans="1:83" x14ac:dyDescent="0.25">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row>
    <row r="140" spans="1:83" x14ac:dyDescent="0.25">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row>
    <row r="141" spans="1:83" x14ac:dyDescent="0.25">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row>
    <row r="142" spans="1:83" x14ac:dyDescent="0.25">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row>
    <row r="143" spans="1:83" x14ac:dyDescent="0.25">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row>
    <row r="144" spans="1:83" x14ac:dyDescent="0.25">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row>
    <row r="145" spans="1:83" x14ac:dyDescent="0.2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row>
    <row r="146" spans="1:83" x14ac:dyDescent="0.25">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row>
    <row r="147" spans="1:83" x14ac:dyDescent="0.25">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row>
    <row r="148" spans="1:83" x14ac:dyDescent="0.25">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row>
    <row r="149" spans="1:83" x14ac:dyDescent="0.25">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row>
    <row r="150" spans="1:83" x14ac:dyDescent="0.25">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row>
    <row r="151" spans="1:83" x14ac:dyDescent="0.25">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row>
    <row r="152" spans="1:83" x14ac:dyDescent="0.25">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row>
    <row r="153" spans="1:83" x14ac:dyDescent="0.25">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row>
    <row r="154" spans="1:83" x14ac:dyDescent="0.25">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row>
    <row r="155" spans="1:83" x14ac:dyDescent="0.2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row>
    <row r="156" spans="1:83" x14ac:dyDescent="0.25">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row>
    <row r="157" spans="1:83" x14ac:dyDescent="0.25">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row>
    <row r="158" spans="1:83" x14ac:dyDescent="0.25">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row>
    <row r="159" spans="1:83" x14ac:dyDescent="0.25">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row>
    <row r="160" spans="1:83" x14ac:dyDescent="0.25">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row>
    <row r="161" spans="1:83" x14ac:dyDescent="0.25">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row>
    <row r="162" spans="1:83" x14ac:dyDescent="0.25">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row>
    <row r="163" spans="1:83" x14ac:dyDescent="0.25">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row>
    <row r="164" spans="1:83" x14ac:dyDescent="0.25">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row>
    <row r="165" spans="1:83" x14ac:dyDescent="0.2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row>
    <row r="166" spans="1:83" x14ac:dyDescent="0.25">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row>
    <row r="167" spans="1:83" x14ac:dyDescent="0.25">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row>
    <row r="168" spans="1:83" x14ac:dyDescent="0.25">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row>
    <row r="169" spans="1:83" x14ac:dyDescent="0.25">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row>
    <row r="170" spans="1:83" x14ac:dyDescent="0.25">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row>
    <row r="171" spans="1:83" x14ac:dyDescent="0.25">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row>
    <row r="172" spans="1:83" x14ac:dyDescent="0.2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row>
    <row r="173" spans="1:83" x14ac:dyDescent="0.25">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row>
    <row r="174" spans="1:83" x14ac:dyDescent="0.25">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row>
    <row r="175" spans="1:83" x14ac:dyDescent="0.25">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row>
    <row r="176" spans="1:83" x14ac:dyDescent="0.25">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row>
    <row r="177" spans="2:83" x14ac:dyDescent="0.25">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row>
    <row r="178" spans="2:83" x14ac:dyDescent="0.25">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row>
    <row r="179" spans="2:83" x14ac:dyDescent="0.25">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row>
    <row r="180" spans="2:83" x14ac:dyDescent="0.25">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row>
    <row r="181" spans="2:83" x14ac:dyDescent="0.25">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row>
    <row r="182" spans="2:83" x14ac:dyDescent="0.25">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row>
    <row r="183" spans="2:83" x14ac:dyDescent="0.25">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row>
    <row r="184" spans="2:83" x14ac:dyDescent="0.25">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row>
    <row r="185" spans="2:83" x14ac:dyDescent="0.25">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row>
    <row r="186" spans="2:83" x14ac:dyDescent="0.25">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row>
    <row r="187" spans="2:83" x14ac:dyDescent="0.25">
      <c r="B187" s="38"/>
      <c r="C187" s="38"/>
      <c r="D187" s="38"/>
      <c r="E187" s="38"/>
      <c r="F187" s="38"/>
      <c r="G187" s="38"/>
      <c r="H187" s="38"/>
      <c r="I187" s="38"/>
      <c r="BI187" s="38"/>
      <c r="BJ187" s="38"/>
      <c r="BK187" s="38"/>
      <c r="BL187" s="38"/>
      <c r="BM187" s="38"/>
      <c r="BN187" s="38"/>
    </row>
    <row r="188" spans="2:83" x14ac:dyDescent="0.25">
      <c r="B188" s="38"/>
      <c r="C188" s="38"/>
      <c r="D188" s="38"/>
      <c r="E188" s="38"/>
      <c r="F188" s="38"/>
      <c r="G188" s="38"/>
      <c r="H188" s="38"/>
      <c r="I188" s="38"/>
      <c r="BI188" s="38"/>
      <c r="BJ188" s="38"/>
      <c r="BK188" s="38"/>
      <c r="BL188" s="38"/>
      <c r="BM188" s="38"/>
      <c r="BN188" s="38"/>
    </row>
    <row r="189" spans="2:83" x14ac:dyDescent="0.25">
      <c r="B189" s="38"/>
      <c r="C189" s="38"/>
      <c r="D189" s="38"/>
      <c r="E189" s="38"/>
      <c r="F189" s="38"/>
      <c r="G189" s="38"/>
      <c r="H189" s="38"/>
      <c r="I189" s="38"/>
      <c r="BI189" s="38"/>
      <c r="BJ189" s="38"/>
      <c r="BK189" s="38"/>
      <c r="BL189" s="38"/>
      <c r="BM189" s="38"/>
      <c r="BN189" s="38"/>
    </row>
    <row r="190" spans="2:83" x14ac:dyDescent="0.25">
      <c r="B190" s="38"/>
      <c r="C190" s="38"/>
      <c r="D190" s="38"/>
      <c r="E190" s="38"/>
      <c r="F190" s="38"/>
      <c r="G190" s="38"/>
      <c r="H190" s="38"/>
      <c r="I190" s="38"/>
      <c r="BI190" s="38"/>
      <c r="BJ190" s="38"/>
      <c r="BK190" s="38"/>
      <c r="BL190" s="38"/>
      <c r="BM190" s="38"/>
      <c r="BN190" s="38"/>
    </row>
    <row r="191" spans="2:83" x14ac:dyDescent="0.25">
      <c r="BI191" s="38"/>
      <c r="BJ191" s="38"/>
      <c r="BK191" s="38"/>
      <c r="BL191" s="38"/>
      <c r="BM191" s="38"/>
      <c r="BN191" s="38"/>
    </row>
    <row r="192" spans="2:83" x14ac:dyDescent="0.25">
      <c r="BI192" s="38"/>
      <c r="BJ192" s="38"/>
      <c r="BK192" s="38"/>
      <c r="BL192" s="38"/>
      <c r="BM192" s="38"/>
      <c r="BN192" s="38"/>
    </row>
    <row r="193" spans="61:66" x14ac:dyDescent="0.25">
      <c r="BI193" s="38"/>
      <c r="BJ193" s="38"/>
      <c r="BK193" s="38"/>
      <c r="BL193" s="38"/>
      <c r="BM193" s="38"/>
      <c r="BN193" s="38"/>
    </row>
    <row r="194" spans="61:66" x14ac:dyDescent="0.25">
      <c r="BI194" s="38"/>
      <c r="BJ194" s="38"/>
      <c r="BK194" s="38"/>
      <c r="BL194" s="38"/>
      <c r="BM194" s="38"/>
      <c r="BN194" s="38"/>
    </row>
  </sheetData>
  <mergeCells count="1142">
    <mergeCell ref="AL90:AM91"/>
    <mergeCell ref="AD80:AE81"/>
    <mergeCell ref="AF80:AG81"/>
    <mergeCell ref="AH80:AI81"/>
    <mergeCell ref="AJ80:AK81"/>
    <mergeCell ref="AD92:AE93"/>
    <mergeCell ref="AJ92:AK93"/>
    <mergeCell ref="AL92:AM93"/>
    <mergeCell ref="AD76:AE77"/>
    <mergeCell ref="AD86:AE87"/>
    <mergeCell ref="AF86:AG87"/>
    <mergeCell ref="AF90:AG91"/>
    <mergeCell ref="AH82:AI83"/>
    <mergeCell ref="AJ82:AK83"/>
    <mergeCell ref="X78:Y79"/>
    <mergeCell ref="V78:W79"/>
    <mergeCell ref="V80:W81"/>
    <mergeCell ref="X80:Y81"/>
    <mergeCell ref="V82:W83"/>
    <mergeCell ref="V90:W91"/>
    <mergeCell ref="V92:W93"/>
    <mergeCell ref="X82:Y83"/>
    <mergeCell ref="X90:Y91"/>
    <mergeCell ref="X92:Y93"/>
    <mergeCell ref="AB92:AC93"/>
    <mergeCell ref="AB90:AC91"/>
    <mergeCell ref="AB82:AC83"/>
    <mergeCell ref="AB80:AC81"/>
    <mergeCell ref="AB78:AC79"/>
    <mergeCell ref="AF92:AG93"/>
    <mergeCell ref="AH92:AI93"/>
    <mergeCell ref="AH90:AI91"/>
    <mergeCell ref="T78:U79"/>
    <mergeCell ref="J74:K75"/>
    <mergeCell ref="L74:M75"/>
    <mergeCell ref="J60:K61"/>
    <mergeCell ref="L60:M61"/>
    <mergeCell ref="J62:K63"/>
    <mergeCell ref="J64:K65"/>
    <mergeCell ref="J66:K67"/>
    <mergeCell ref="J56:K57"/>
    <mergeCell ref="L56:M57"/>
    <mergeCell ref="J2:BG4"/>
    <mergeCell ref="T74:U75"/>
    <mergeCell ref="Z74:AA75"/>
    <mergeCell ref="AB74:AC75"/>
    <mergeCell ref="R50:S51"/>
    <mergeCell ref="R42:S43"/>
    <mergeCell ref="Z56:AA57"/>
    <mergeCell ref="AF76:AG77"/>
    <mergeCell ref="AL76:AM77"/>
    <mergeCell ref="V72:W73"/>
    <mergeCell ref="X62:Y63"/>
    <mergeCell ref="AF70:AG71"/>
    <mergeCell ref="T64:U65"/>
    <mergeCell ref="T66:U67"/>
    <mergeCell ref="AB66:AC67"/>
    <mergeCell ref="AX64:AY65"/>
    <mergeCell ref="AB60:AC61"/>
    <mergeCell ref="T62:U63"/>
    <mergeCell ref="AZ64:BA65"/>
    <mergeCell ref="BB64:BC65"/>
    <mergeCell ref="BD64:BE65"/>
    <mergeCell ref="BF64:BG65"/>
    <mergeCell ref="AJ90:AK91"/>
    <mergeCell ref="E24:I41"/>
    <mergeCell ref="J6:K7"/>
    <mergeCell ref="T26:U27"/>
    <mergeCell ref="Z26:AA27"/>
    <mergeCell ref="AB26:AC27"/>
    <mergeCell ref="T34:U35"/>
    <mergeCell ref="T30:U31"/>
    <mergeCell ref="T28:U29"/>
    <mergeCell ref="J50:K51"/>
    <mergeCell ref="AJ62:AK63"/>
    <mergeCell ref="AJ64:AK65"/>
    <mergeCell ref="AF72:AG73"/>
    <mergeCell ref="AL48:AM49"/>
    <mergeCell ref="AF50:AG51"/>
    <mergeCell ref="AJ68:AK69"/>
    <mergeCell ref="AL68:AM69"/>
    <mergeCell ref="AD70:AE71"/>
    <mergeCell ref="J14:K15"/>
    <mergeCell ref="L50:M51"/>
    <mergeCell ref="P66:Q67"/>
    <mergeCell ref="P30:Q31"/>
    <mergeCell ref="P32:Q33"/>
    <mergeCell ref="P34:Q35"/>
    <mergeCell ref="N50:O51"/>
    <mergeCell ref="P48:Q49"/>
    <mergeCell ref="P50:Q51"/>
    <mergeCell ref="N56:O57"/>
    <mergeCell ref="P56:Q57"/>
    <mergeCell ref="P60:Q61"/>
    <mergeCell ref="R60:S61"/>
    <mergeCell ref="R56:S57"/>
    <mergeCell ref="B2:I4"/>
    <mergeCell ref="B6:D95"/>
    <mergeCell ref="L10:M11"/>
    <mergeCell ref="L12:M13"/>
    <mergeCell ref="T76:U77"/>
    <mergeCell ref="T80:U81"/>
    <mergeCell ref="T60:U61"/>
    <mergeCell ref="Z60:AA61"/>
    <mergeCell ref="T82:U83"/>
    <mergeCell ref="T90:U91"/>
    <mergeCell ref="AJ54:AK55"/>
    <mergeCell ref="AD78:AE79"/>
    <mergeCell ref="AJ78:AK79"/>
    <mergeCell ref="AL78:AM79"/>
    <mergeCell ref="AF78:AG79"/>
    <mergeCell ref="AH78:AI79"/>
    <mergeCell ref="AD62:AE63"/>
    <mergeCell ref="AF62:AG63"/>
    <mergeCell ref="AD64:AE65"/>
    <mergeCell ref="AD66:AE67"/>
    <mergeCell ref="AL62:AM63"/>
    <mergeCell ref="AL64:AM65"/>
    <mergeCell ref="AL66:AM67"/>
    <mergeCell ref="AF64:AG65"/>
    <mergeCell ref="AJ70:AK71"/>
    <mergeCell ref="AL70:AM71"/>
    <mergeCell ref="AD72:AE73"/>
    <mergeCell ref="AD90:AE91"/>
    <mergeCell ref="X84:Y85"/>
    <mergeCell ref="Z84:AA85"/>
    <mergeCell ref="AB84:AC85"/>
    <mergeCell ref="V86:W87"/>
    <mergeCell ref="BB94:BC95"/>
    <mergeCell ref="BD80:BE81"/>
    <mergeCell ref="BF80:BG81"/>
    <mergeCell ref="AX86:AY87"/>
    <mergeCell ref="AX80:AY81"/>
    <mergeCell ref="AZ80:BA81"/>
    <mergeCell ref="BB80:BC81"/>
    <mergeCell ref="AX94:AY95"/>
    <mergeCell ref="AZ94:BA95"/>
    <mergeCell ref="AL82:AM83"/>
    <mergeCell ref="L30:M31"/>
    <mergeCell ref="T32:U33"/>
    <mergeCell ref="Z32:AA33"/>
    <mergeCell ref="J32:K33"/>
    <mergeCell ref="L32:M33"/>
    <mergeCell ref="J30:K31"/>
    <mergeCell ref="J34:K35"/>
    <mergeCell ref="R30:S31"/>
    <mergeCell ref="R32:S33"/>
    <mergeCell ref="R34:S35"/>
    <mergeCell ref="T50:U51"/>
    <mergeCell ref="AB62:AC63"/>
    <mergeCell ref="V62:W63"/>
    <mergeCell ref="AB50:AC51"/>
    <mergeCell ref="T46:U47"/>
    <mergeCell ref="T48:U49"/>
    <mergeCell ref="AB48:AC49"/>
    <mergeCell ref="AB46:AC47"/>
    <mergeCell ref="V44:W45"/>
    <mergeCell ref="N30:O31"/>
    <mergeCell ref="N32:O33"/>
    <mergeCell ref="N34:O35"/>
    <mergeCell ref="BF50:BG51"/>
    <mergeCell ref="AX58:AY59"/>
    <mergeCell ref="AZ58:BA59"/>
    <mergeCell ref="BD58:BE59"/>
    <mergeCell ref="BF58:BG59"/>
    <mergeCell ref="BD92:BE93"/>
    <mergeCell ref="BF92:BG93"/>
    <mergeCell ref="BF78:BG79"/>
    <mergeCell ref="AX90:AY91"/>
    <mergeCell ref="BD90:BE91"/>
    <mergeCell ref="BF90:BG91"/>
    <mergeCell ref="AX82:AY83"/>
    <mergeCell ref="AZ82:BA83"/>
    <mergeCell ref="BB82:BC83"/>
    <mergeCell ref="BD82:BE83"/>
    <mergeCell ref="BF82:BG83"/>
    <mergeCell ref="AZ90:BA91"/>
    <mergeCell ref="BB90:BC91"/>
    <mergeCell ref="AZ92:BA93"/>
    <mergeCell ref="BB92:BC93"/>
    <mergeCell ref="AX92:AY93"/>
    <mergeCell ref="BF68:BG69"/>
    <mergeCell ref="BD70:BE71"/>
    <mergeCell ref="BF70:BG71"/>
    <mergeCell ref="AX72:AY73"/>
    <mergeCell ref="AZ72:BA73"/>
    <mergeCell ref="BB72:BC73"/>
    <mergeCell ref="BB76:BC77"/>
    <mergeCell ref="AX74:AY75"/>
    <mergeCell ref="BF34:BG35"/>
    <mergeCell ref="AX20:AY21"/>
    <mergeCell ref="AZ20:BA21"/>
    <mergeCell ref="BD76:BE77"/>
    <mergeCell ref="BF76:BG77"/>
    <mergeCell ref="BD72:BE73"/>
    <mergeCell ref="BF72:BG73"/>
    <mergeCell ref="AZ86:BA87"/>
    <mergeCell ref="BB86:BC87"/>
    <mergeCell ref="BD38:BE39"/>
    <mergeCell ref="BF38:BG39"/>
    <mergeCell ref="AX40:AY41"/>
    <mergeCell ref="AZ40:BA41"/>
    <mergeCell ref="BB40:BC41"/>
    <mergeCell ref="BD40:BE41"/>
    <mergeCell ref="BD46:BE47"/>
    <mergeCell ref="BF46:BG47"/>
    <mergeCell ref="AX48:AY49"/>
    <mergeCell ref="AZ48:BA49"/>
    <mergeCell ref="AZ60:BA61"/>
    <mergeCell ref="BB60:BC61"/>
    <mergeCell ref="BD42:BE43"/>
    <mergeCell ref="BF42:BG43"/>
    <mergeCell ref="BF40:BG41"/>
    <mergeCell ref="BD52:BE53"/>
    <mergeCell ref="BF52:BG53"/>
    <mergeCell ref="BD54:BE55"/>
    <mergeCell ref="BF54:BG55"/>
    <mergeCell ref="AZ62:BA63"/>
    <mergeCell ref="BB62:BC63"/>
    <mergeCell ref="BD62:BE63"/>
    <mergeCell ref="BF62:BG63"/>
    <mergeCell ref="AZ8:BA9"/>
    <mergeCell ref="AZ10:BA11"/>
    <mergeCell ref="AZ12:BA13"/>
    <mergeCell ref="AZ14:BA15"/>
    <mergeCell ref="BB24:BC25"/>
    <mergeCell ref="BD18:BE19"/>
    <mergeCell ref="BF18:BG19"/>
    <mergeCell ref="BD20:BE21"/>
    <mergeCell ref="BF20:BG21"/>
    <mergeCell ref="BD22:BE23"/>
    <mergeCell ref="BF22:BG23"/>
    <mergeCell ref="AZ16:BA17"/>
    <mergeCell ref="BB16:BC17"/>
    <mergeCell ref="AZ44:BA45"/>
    <mergeCell ref="AX44:AY45"/>
    <mergeCell ref="BD32:BE33"/>
    <mergeCell ref="BF32:BG33"/>
    <mergeCell ref="AX26:AY27"/>
    <mergeCell ref="BD26:BE27"/>
    <mergeCell ref="BF26:BG27"/>
    <mergeCell ref="AX28:AY29"/>
    <mergeCell ref="AZ28:BA29"/>
    <mergeCell ref="BB28:BC29"/>
    <mergeCell ref="BD28:BE29"/>
    <mergeCell ref="BF28:BG29"/>
    <mergeCell ref="AX30:AY31"/>
    <mergeCell ref="AZ30:BA31"/>
    <mergeCell ref="BB30:BC31"/>
    <mergeCell ref="BD30:BE31"/>
    <mergeCell ref="BF30:BG31"/>
    <mergeCell ref="AZ32:BA33"/>
    <mergeCell ref="BB26:BC27"/>
    <mergeCell ref="AV90:AW91"/>
    <mergeCell ref="AT80:AU81"/>
    <mergeCell ref="AV80:AW81"/>
    <mergeCell ref="AN82:AO83"/>
    <mergeCell ref="AP82:AQ83"/>
    <mergeCell ref="AR82:AS83"/>
    <mergeCell ref="AT82:AU83"/>
    <mergeCell ref="AV82:AW83"/>
    <mergeCell ref="AP92:AQ93"/>
    <mergeCell ref="AR92:AS93"/>
    <mergeCell ref="AR94:AS95"/>
    <mergeCell ref="AT94:AU95"/>
    <mergeCell ref="AV94:AW95"/>
    <mergeCell ref="BD24:BE25"/>
    <mergeCell ref="BF24:BG25"/>
    <mergeCell ref="AX6:AY7"/>
    <mergeCell ref="BD6:BE7"/>
    <mergeCell ref="BF6:BG7"/>
    <mergeCell ref="AX8:AY9"/>
    <mergeCell ref="BD8:BE9"/>
    <mergeCell ref="BF8:BG9"/>
    <mergeCell ref="BD16:BE17"/>
    <mergeCell ref="BD14:BE15"/>
    <mergeCell ref="BD12:BE13"/>
    <mergeCell ref="BD10:BE11"/>
    <mergeCell ref="BF16:BG17"/>
    <mergeCell ref="BF14:BG15"/>
    <mergeCell ref="BF12:BG13"/>
    <mergeCell ref="BF10:BG11"/>
    <mergeCell ref="AZ6:BA7"/>
    <mergeCell ref="BB6:BC7"/>
    <mergeCell ref="BB8:BC9"/>
    <mergeCell ref="AT92:AU93"/>
    <mergeCell ref="AV92:AW93"/>
    <mergeCell ref="AP78:AQ79"/>
    <mergeCell ref="AR78:AS79"/>
    <mergeCell ref="AN80:AO81"/>
    <mergeCell ref="AP80:AQ81"/>
    <mergeCell ref="AR80:AS81"/>
    <mergeCell ref="AN74:AO75"/>
    <mergeCell ref="AP90:AQ91"/>
    <mergeCell ref="AR90:AS91"/>
    <mergeCell ref="AP62:AQ63"/>
    <mergeCell ref="AR62:AS63"/>
    <mergeCell ref="AT62:AU63"/>
    <mergeCell ref="AV62:AW63"/>
    <mergeCell ref="AV84:AW85"/>
    <mergeCell ref="AN86:AO87"/>
    <mergeCell ref="AP86:AQ87"/>
    <mergeCell ref="AR86:AS87"/>
    <mergeCell ref="AN88:AO89"/>
    <mergeCell ref="AP88:AQ89"/>
    <mergeCell ref="AR88:AS89"/>
    <mergeCell ref="AP84:AQ85"/>
    <mergeCell ref="AR84:AS85"/>
    <mergeCell ref="AT84:AU85"/>
    <mergeCell ref="AV78:AW79"/>
    <mergeCell ref="AT88:AU89"/>
    <mergeCell ref="AV88:AW89"/>
    <mergeCell ref="AV68:AW69"/>
    <mergeCell ref="AN78:AO79"/>
    <mergeCell ref="AT78:AU79"/>
    <mergeCell ref="AN90:AO91"/>
    <mergeCell ref="AT90:AU91"/>
    <mergeCell ref="L6:M7"/>
    <mergeCell ref="L8:M9"/>
    <mergeCell ref="J8:K9"/>
    <mergeCell ref="E60:I77"/>
    <mergeCell ref="T8:U9"/>
    <mergeCell ref="Z8:AA9"/>
    <mergeCell ref="AB8:AC9"/>
    <mergeCell ref="AV6:AW7"/>
    <mergeCell ref="AN8:AO9"/>
    <mergeCell ref="AT8:AU9"/>
    <mergeCell ref="AV8:AW9"/>
    <mergeCell ref="AF6:AG7"/>
    <mergeCell ref="AH6:AI7"/>
    <mergeCell ref="AF8:AG9"/>
    <mergeCell ref="AH8:AI9"/>
    <mergeCell ref="AD10:AE11"/>
    <mergeCell ref="AF10:AG11"/>
    <mergeCell ref="AH10:AI11"/>
    <mergeCell ref="AJ10:AK11"/>
    <mergeCell ref="R6:S7"/>
    <mergeCell ref="P6:Q7"/>
    <mergeCell ref="J10:K11"/>
    <mergeCell ref="J12:K13"/>
    <mergeCell ref="AJ26:AK27"/>
    <mergeCell ref="AL26:AM27"/>
    <mergeCell ref="AT16:AU17"/>
    <mergeCell ref="AV16:AW17"/>
    <mergeCell ref="AF24:AG25"/>
    <mergeCell ref="AH24:AI25"/>
    <mergeCell ref="AF26:AG27"/>
    <mergeCell ref="AH26:AI27"/>
    <mergeCell ref="E6:I23"/>
    <mergeCell ref="BI14:BN31"/>
    <mergeCell ref="BI32:BN49"/>
    <mergeCell ref="BI50:BN67"/>
    <mergeCell ref="BI68:BN89"/>
    <mergeCell ref="E42:I59"/>
    <mergeCell ref="E78:I95"/>
    <mergeCell ref="J96:S101"/>
    <mergeCell ref="T96:AC101"/>
    <mergeCell ref="AD96:AM101"/>
    <mergeCell ref="Z24:AA25"/>
    <mergeCell ref="AB24:AC25"/>
    <mergeCell ref="AD6:AE7"/>
    <mergeCell ref="AJ6:AK7"/>
    <mergeCell ref="AL6:AM7"/>
    <mergeCell ref="AD8:AE9"/>
    <mergeCell ref="AJ8:AK9"/>
    <mergeCell ref="AL8:AM9"/>
    <mergeCell ref="Z6:AA7"/>
    <mergeCell ref="AB6:AC7"/>
    <mergeCell ref="AN6:AO7"/>
    <mergeCell ref="AT6:AU7"/>
    <mergeCell ref="AN24:AO25"/>
    <mergeCell ref="AL10:AM11"/>
    <mergeCell ref="AD12:AE13"/>
    <mergeCell ref="AF12:AG13"/>
    <mergeCell ref="AH12:AI13"/>
    <mergeCell ref="AJ12:AK13"/>
    <mergeCell ref="AL12:AM13"/>
    <mergeCell ref="N6:O7"/>
    <mergeCell ref="AN96:AW101"/>
    <mergeCell ref="AX96:BG101"/>
    <mergeCell ref="T6:U7"/>
    <mergeCell ref="J22:K23"/>
    <mergeCell ref="L22:M23"/>
    <mergeCell ref="N8:O9"/>
    <mergeCell ref="N10:O11"/>
    <mergeCell ref="N12:O13"/>
    <mergeCell ref="N14:O15"/>
    <mergeCell ref="P8:Q9"/>
    <mergeCell ref="P10:Q11"/>
    <mergeCell ref="P12:Q13"/>
    <mergeCell ref="P14:Q15"/>
    <mergeCell ref="R14:S15"/>
    <mergeCell ref="R12:S13"/>
    <mergeCell ref="R10:S11"/>
    <mergeCell ref="R8:S9"/>
    <mergeCell ref="P38:Q39"/>
    <mergeCell ref="R38:S39"/>
    <mergeCell ref="J40:K41"/>
    <mergeCell ref="L40:M41"/>
    <mergeCell ref="N40:O41"/>
    <mergeCell ref="P40:Q41"/>
    <mergeCell ref="R40:S41"/>
    <mergeCell ref="L14:M15"/>
    <mergeCell ref="N20:O21"/>
    <mergeCell ref="P20:Q21"/>
    <mergeCell ref="R20:S21"/>
    <mergeCell ref="L34:M35"/>
    <mergeCell ref="L20:M21"/>
    <mergeCell ref="J36:K37"/>
    <mergeCell ref="J84:K85"/>
    <mergeCell ref="L84:M85"/>
    <mergeCell ref="J16:K17"/>
    <mergeCell ref="L16:M17"/>
    <mergeCell ref="N16:O17"/>
    <mergeCell ref="P16:Q17"/>
    <mergeCell ref="R16:S17"/>
    <mergeCell ref="N24:O25"/>
    <mergeCell ref="P24:Q25"/>
    <mergeCell ref="R24:S25"/>
    <mergeCell ref="J28:K29"/>
    <mergeCell ref="L28:M29"/>
    <mergeCell ref="J24:K25"/>
    <mergeCell ref="L24:M25"/>
    <mergeCell ref="J26:K27"/>
    <mergeCell ref="L26:M27"/>
    <mergeCell ref="R26:S27"/>
    <mergeCell ref="P26:Q27"/>
    <mergeCell ref="N26:O27"/>
    <mergeCell ref="N28:O29"/>
    <mergeCell ref="P28:Q29"/>
    <mergeCell ref="R28:S29"/>
    <mergeCell ref="J18:K19"/>
    <mergeCell ref="L18:M19"/>
    <mergeCell ref="N18:O19"/>
    <mergeCell ref="P18:Q19"/>
    <mergeCell ref="N22:O23"/>
    <mergeCell ref="P22:Q23"/>
    <mergeCell ref="R22:S23"/>
    <mergeCell ref="R52:S53"/>
    <mergeCell ref="R18:S19"/>
    <mergeCell ref="J20:K21"/>
    <mergeCell ref="R92:S93"/>
    <mergeCell ref="P64:Q65"/>
    <mergeCell ref="R64:S65"/>
    <mergeCell ref="J80:K81"/>
    <mergeCell ref="J82:K83"/>
    <mergeCell ref="L80:M81"/>
    <mergeCell ref="L82:M83"/>
    <mergeCell ref="N80:O81"/>
    <mergeCell ref="N82:O83"/>
    <mergeCell ref="P78:Q79"/>
    <mergeCell ref="R78:S79"/>
    <mergeCell ref="N74:O75"/>
    <mergeCell ref="P74:Q75"/>
    <mergeCell ref="R74:S75"/>
    <mergeCell ref="R66:S67"/>
    <mergeCell ref="N78:O79"/>
    <mergeCell ref="L66:M67"/>
    <mergeCell ref="L64:M65"/>
    <mergeCell ref="N64:O65"/>
    <mergeCell ref="N90:O91"/>
    <mergeCell ref="N92:O93"/>
    <mergeCell ref="J76:K77"/>
    <mergeCell ref="L76:M77"/>
    <mergeCell ref="N76:O77"/>
    <mergeCell ref="J86:K87"/>
    <mergeCell ref="L90:M91"/>
    <mergeCell ref="L78:M79"/>
    <mergeCell ref="J90:K91"/>
    <mergeCell ref="J92:K93"/>
    <mergeCell ref="L92:M93"/>
    <mergeCell ref="J78:K79"/>
    <mergeCell ref="P80:Q81"/>
    <mergeCell ref="P82:Q83"/>
    <mergeCell ref="P90:Q91"/>
    <mergeCell ref="L62:M63"/>
    <mergeCell ref="N62:O63"/>
    <mergeCell ref="P62:Q63"/>
    <mergeCell ref="R62:S63"/>
    <mergeCell ref="L86:M87"/>
    <mergeCell ref="N86:O87"/>
    <mergeCell ref="N36:O37"/>
    <mergeCell ref="P36:Q37"/>
    <mergeCell ref="R36:S37"/>
    <mergeCell ref="P76:Q77"/>
    <mergeCell ref="R76:S77"/>
    <mergeCell ref="N60:O61"/>
    <mergeCell ref="N72:O73"/>
    <mergeCell ref="P72:Q73"/>
    <mergeCell ref="R72:S73"/>
    <mergeCell ref="R48:S49"/>
    <mergeCell ref="R80:S81"/>
    <mergeCell ref="R82:S83"/>
    <mergeCell ref="R90:S91"/>
    <mergeCell ref="N84:O85"/>
    <mergeCell ref="P84:Q85"/>
    <mergeCell ref="L44:M45"/>
    <mergeCell ref="L46:M47"/>
    <mergeCell ref="L48:M49"/>
    <mergeCell ref="N44:O45"/>
    <mergeCell ref="N46:O47"/>
    <mergeCell ref="P46:Q47"/>
    <mergeCell ref="N48:O49"/>
    <mergeCell ref="L36:M37"/>
    <mergeCell ref="N54:O55"/>
    <mergeCell ref="V6:W7"/>
    <mergeCell ref="X6:Y7"/>
    <mergeCell ref="V24:W25"/>
    <mergeCell ref="X24:Y25"/>
    <mergeCell ref="AB28:AC29"/>
    <mergeCell ref="T10:U11"/>
    <mergeCell ref="T12:U13"/>
    <mergeCell ref="T14:U15"/>
    <mergeCell ref="T16:U17"/>
    <mergeCell ref="AB10:AC11"/>
    <mergeCell ref="AB12:AC13"/>
    <mergeCell ref="AB14:AC15"/>
    <mergeCell ref="AB16:AC17"/>
    <mergeCell ref="V8:W9"/>
    <mergeCell ref="V10:W11"/>
    <mergeCell ref="V12:W13"/>
    <mergeCell ref="V14:W15"/>
    <mergeCell ref="V16:W17"/>
    <mergeCell ref="X8:Y9"/>
    <mergeCell ref="X10:Y11"/>
    <mergeCell ref="X12:Y13"/>
    <mergeCell ref="X14:Y15"/>
    <mergeCell ref="X16:Y17"/>
    <mergeCell ref="Z10:AA11"/>
    <mergeCell ref="Z12:AA13"/>
    <mergeCell ref="T18:U19"/>
    <mergeCell ref="Z14:AA15"/>
    <mergeCell ref="Z16:AA17"/>
    <mergeCell ref="Z28:AA29"/>
    <mergeCell ref="X20:Y21"/>
    <mergeCell ref="T20:U21"/>
    <mergeCell ref="T24:U25"/>
    <mergeCell ref="AR12:AS13"/>
    <mergeCell ref="AT12:AU13"/>
    <mergeCell ref="AV12:AW13"/>
    <mergeCell ref="AN14:AO15"/>
    <mergeCell ref="AP14:AQ15"/>
    <mergeCell ref="AR14:AS15"/>
    <mergeCell ref="AT14:AU15"/>
    <mergeCell ref="AV14:AW15"/>
    <mergeCell ref="AH30:AI31"/>
    <mergeCell ref="AJ30:AK31"/>
    <mergeCell ref="AL30:AM31"/>
    <mergeCell ref="AF32:AG33"/>
    <mergeCell ref="AH32:AI33"/>
    <mergeCell ref="AH14:AI15"/>
    <mergeCell ref="AJ14:AK15"/>
    <mergeCell ref="AL14:AM15"/>
    <mergeCell ref="AP22:AQ23"/>
    <mergeCell ref="AR22:AS23"/>
    <mergeCell ref="AF14:AG15"/>
    <mergeCell ref="AF18:AG19"/>
    <mergeCell ref="AH18:AI19"/>
    <mergeCell ref="AP20:AQ21"/>
    <mergeCell ref="AR20:AS21"/>
    <mergeCell ref="AT18:AU19"/>
    <mergeCell ref="AV18:AW19"/>
    <mergeCell ref="AF20:AG21"/>
    <mergeCell ref="AH20:AI21"/>
    <mergeCell ref="AJ20:AK21"/>
    <mergeCell ref="AT22:AU23"/>
    <mergeCell ref="AT24:AU25"/>
    <mergeCell ref="AP12:AQ13"/>
    <mergeCell ref="AN32:AO33"/>
    <mergeCell ref="Z78:AA79"/>
    <mergeCell ref="Z80:AA81"/>
    <mergeCell ref="Z82:AA83"/>
    <mergeCell ref="Z90:AA91"/>
    <mergeCell ref="Z92:AA93"/>
    <mergeCell ref="Z20:AA21"/>
    <mergeCell ref="AB20:AC21"/>
    <mergeCell ref="V84:W85"/>
    <mergeCell ref="AB18:AC19"/>
    <mergeCell ref="V18:W19"/>
    <mergeCell ref="X18:Y19"/>
    <mergeCell ref="Z18:AA19"/>
    <mergeCell ref="AN92:AO93"/>
    <mergeCell ref="AL80:AM81"/>
    <mergeCell ref="AD82:AE83"/>
    <mergeCell ref="AF82:AG83"/>
    <mergeCell ref="AZ36:BA37"/>
    <mergeCell ref="AX62:AY63"/>
    <mergeCell ref="AH36:AI37"/>
    <mergeCell ref="AJ36:AK37"/>
    <mergeCell ref="AT38:AU39"/>
    <mergeCell ref="AV38:AW39"/>
    <mergeCell ref="AT42:AU43"/>
    <mergeCell ref="AT58:AU59"/>
    <mergeCell ref="AV58:AW59"/>
    <mergeCell ref="AV76:AW77"/>
    <mergeCell ref="AD68:AE69"/>
    <mergeCell ref="AF36:AG37"/>
    <mergeCell ref="X48:Y49"/>
    <mergeCell ref="V66:W67"/>
    <mergeCell ref="V74:W75"/>
    <mergeCell ref="X64:Y65"/>
    <mergeCell ref="BB32:BC33"/>
    <mergeCell ref="AP6:AQ7"/>
    <mergeCell ref="AR6:AS7"/>
    <mergeCell ref="AP8:AQ9"/>
    <mergeCell ref="AR8:AS9"/>
    <mergeCell ref="AN10:AO11"/>
    <mergeCell ref="AP10:AQ11"/>
    <mergeCell ref="AR10:AS11"/>
    <mergeCell ref="AD16:AE17"/>
    <mergeCell ref="AF16:AG17"/>
    <mergeCell ref="AH16:AI17"/>
    <mergeCell ref="AJ16:AK17"/>
    <mergeCell ref="AL16:AM17"/>
    <mergeCell ref="AN16:AO17"/>
    <mergeCell ref="AP16:AQ17"/>
    <mergeCell ref="AR16:AS17"/>
    <mergeCell ref="AL18:AM19"/>
    <mergeCell ref="AN18:AO19"/>
    <mergeCell ref="AD18:AE19"/>
    <mergeCell ref="AD14:AE15"/>
    <mergeCell ref="AP18:AQ19"/>
    <mergeCell ref="AR18:AS19"/>
    <mergeCell ref="AJ18:AK19"/>
    <mergeCell ref="AJ24:AK25"/>
    <mergeCell ref="AL24:AM25"/>
    <mergeCell ref="AT10:AU11"/>
    <mergeCell ref="AV10:AW11"/>
    <mergeCell ref="AN12:AO13"/>
    <mergeCell ref="BB10:BC11"/>
    <mergeCell ref="BB12:BC13"/>
    <mergeCell ref="BB14:BC15"/>
    <mergeCell ref="AX10:AY11"/>
    <mergeCell ref="AX12:AY13"/>
    <mergeCell ref="AX14:AY15"/>
    <mergeCell ref="AX16:AY17"/>
    <mergeCell ref="AX24:AY25"/>
    <mergeCell ref="AX32:AY33"/>
    <mergeCell ref="BB18:BC19"/>
    <mergeCell ref="AZ78:BA79"/>
    <mergeCell ref="BB78:BC79"/>
    <mergeCell ref="BB66:BC67"/>
    <mergeCell ref="BB20:BC21"/>
    <mergeCell ref="AX22:AY23"/>
    <mergeCell ref="AZ22:BA23"/>
    <mergeCell ref="BB22:BC23"/>
    <mergeCell ref="AX42:AY43"/>
    <mergeCell ref="AZ42:BA43"/>
    <mergeCell ref="BB42:BC43"/>
    <mergeCell ref="AX52:AY53"/>
    <mergeCell ref="AZ52:BA53"/>
    <mergeCell ref="BB52:BC53"/>
    <mergeCell ref="AX54:AY55"/>
    <mergeCell ref="AZ54:BA55"/>
    <mergeCell ref="BB54:BC55"/>
    <mergeCell ref="AX38:AY39"/>
    <mergeCell ref="AZ38:BA39"/>
    <mergeCell ref="BB38:BC39"/>
    <mergeCell ref="AX66:AY67"/>
    <mergeCell ref="BB36:BC37"/>
    <mergeCell ref="AX18:AY19"/>
    <mergeCell ref="AZ18:BA19"/>
    <mergeCell ref="AX70:AY71"/>
    <mergeCell ref="AZ70:BA71"/>
    <mergeCell ref="BB70:BC71"/>
    <mergeCell ref="BD36:BE37"/>
    <mergeCell ref="BF36:BG37"/>
    <mergeCell ref="AX56:AY57"/>
    <mergeCell ref="BD56:BE57"/>
    <mergeCell ref="BF56:BG57"/>
    <mergeCell ref="AX60:AY61"/>
    <mergeCell ref="BD60:BE61"/>
    <mergeCell ref="BF60:BG61"/>
    <mergeCell ref="AX50:AY51"/>
    <mergeCell ref="AP34:AQ35"/>
    <mergeCell ref="AR34:AS35"/>
    <mergeCell ref="BB44:BC45"/>
    <mergeCell ref="BD44:BE45"/>
    <mergeCell ref="BF44:BG45"/>
    <mergeCell ref="AX46:AY47"/>
    <mergeCell ref="AZ46:BA47"/>
    <mergeCell ref="BB46:BC47"/>
    <mergeCell ref="AX34:AY35"/>
    <mergeCell ref="AZ34:BA35"/>
    <mergeCell ref="BB34:BC35"/>
    <mergeCell ref="AT46:AU47"/>
    <mergeCell ref="AV46:AW47"/>
    <mergeCell ref="AV54:AW55"/>
    <mergeCell ref="BB58:BC59"/>
    <mergeCell ref="BB48:BC49"/>
    <mergeCell ref="BD48:BE49"/>
    <mergeCell ref="BF48:BG49"/>
    <mergeCell ref="AV52:AW53"/>
    <mergeCell ref="AP56:AQ57"/>
    <mergeCell ref="AP60:AQ61"/>
    <mergeCell ref="AR60:AS61"/>
    <mergeCell ref="AX36:AY37"/>
    <mergeCell ref="AJ94:AK95"/>
    <mergeCell ref="AL94:AM95"/>
    <mergeCell ref="AN94:AO95"/>
    <mergeCell ref="AP94:AQ95"/>
    <mergeCell ref="BD34:BE35"/>
    <mergeCell ref="AP48:AQ49"/>
    <mergeCell ref="AR48:AS49"/>
    <mergeCell ref="AT48:AU49"/>
    <mergeCell ref="AV48:AW49"/>
    <mergeCell ref="AP50:AQ51"/>
    <mergeCell ref="AN64:AO65"/>
    <mergeCell ref="AP64:AQ65"/>
    <mergeCell ref="AR64:AS65"/>
    <mergeCell ref="AT64:AU65"/>
    <mergeCell ref="AV64:AW65"/>
    <mergeCell ref="AN66:AO67"/>
    <mergeCell ref="AX78:AY79"/>
    <mergeCell ref="AP66:AQ67"/>
    <mergeCell ref="AR66:AS67"/>
    <mergeCell ref="AT66:AU67"/>
    <mergeCell ref="BD78:BE79"/>
    <mergeCell ref="AJ38:AK39"/>
    <mergeCell ref="AL38:AM39"/>
    <mergeCell ref="AJ34:AK35"/>
    <mergeCell ref="AL34:AM35"/>
    <mergeCell ref="AR36:AS37"/>
    <mergeCell ref="AV66:AW67"/>
    <mergeCell ref="AN62:AO63"/>
    <mergeCell ref="AP58:AQ59"/>
    <mergeCell ref="AR58:AS59"/>
    <mergeCell ref="BD94:BE95"/>
    <mergeCell ref="AV70:AW71"/>
    <mergeCell ref="N94:O95"/>
    <mergeCell ref="P94:Q95"/>
    <mergeCell ref="R94:S95"/>
    <mergeCell ref="T94:U95"/>
    <mergeCell ref="V94:W95"/>
    <mergeCell ref="X94:Y95"/>
    <mergeCell ref="Z94:AA95"/>
    <mergeCell ref="AB94:AC95"/>
    <mergeCell ref="AD94:AE95"/>
    <mergeCell ref="AF94:AG95"/>
    <mergeCell ref="AH94:AI95"/>
    <mergeCell ref="AH38:AI39"/>
    <mergeCell ref="P92:Q93"/>
    <mergeCell ref="AH48:AI49"/>
    <mergeCell ref="AH54:AI55"/>
    <mergeCell ref="V76:W77"/>
    <mergeCell ref="X76:Y77"/>
    <mergeCell ref="Z76:AA77"/>
    <mergeCell ref="N66:O67"/>
    <mergeCell ref="AH76:AI77"/>
    <mergeCell ref="Z64:AA65"/>
    <mergeCell ref="V60:W61"/>
    <mergeCell ref="X60:Y61"/>
    <mergeCell ref="X72:Y73"/>
    <mergeCell ref="Z72:AA73"/>
    <mergeCell ref="AB72:AC73"/>
    <mergeCell ref="AB76:AC77"/>
    <mergeCell ref="T92:U93"/>
    <mergeCell ref="Z50:AA51"/>
    <mergeCell ref="R46:S47"/>
    <mergeCell ref="T86:U87"/>
    <mergeCell ref="T84:U85"/>
    <mergeCell ref="BF94:BG95"/>
    <mergeCell ref="J58:K59"/>
    <mergeCell ref="L58:M59"/>
    <mergeCell ref="N58:O59"/>
    <mergeCell ref="P58:Q59"/>
    <mergeCell ref="R58:S59"/>
    <mergeCell ref="T58:U59"/>
    <mergeCell ref="V58:W59"/>
    <mergeCell ref="X58:Y59"/>
    <mergeCell ref="Z58:AA59"/>
    <mergeCell ref="AB58:AC59"/>
    <mergeCell ref="AD58:AE59"/>
    <mergeCell ref="AF58:AG59"/>
    <mergeCell ref="AH58:AI59"/>
    <mergeCell ref="AJ58:AK59"/>
    <mergeCell ref="AL58:AM59"/>
    <mergeCell ref="AN58:AO59"/>
    <mergeCell ref="J94:K95"/>
    <mergeCell ref="AJ76:AK77"/>
    <mergeCell ref="L94:M95"/>
    <mergeCell ref="BD66:BE67"/>
    <mergeCell ref="BF66:BG67"/>
    <mergeCell ref="AZ74:BA75"/>
    <mergeCell ref="BB74:BC75"/>
    <mergeCell ref="AZ66:BA67"/>
    <mergeCell ref="BD74:BE75"/>
    <mergeCell ref="BF74:BG75"/>
    <mergeCell ref="AZ76:BA77"/>
    <mergeCell ref="AN70:AO71"/>
    <mergeCell ref="AP70:AQ71"/>
    <mergeCell ref="AR70:AS71"/>
    <mergeCell ref="AT70:AU71"/>
    <mergeCell ref="AN76:AO77"/>
    <mergeCell ref="AP76:AQ77"/>
    <mergeCell ref="AR76:AS77"/>
    <mergeCell ref="AT76:AU77"/>
    <mergeCell ref="AN72:AO73"/>
    <mergeCell ref="AX76:AY77"/>
    <mergeCell ref="AP72:AQ73"/>
    <mergeCell ref="X66:Y67"/>
    <mergeCell ref="X74:Y75"/>
    <mergeCell ref="Z66:AA67"/>
    <mergeCell ref="AD74:AE75"/>
    <mergeCell ref="AJ74:AK75"/>
    <mergeCell ref="X70:Y71"/>
    <mergeCell ref="Z70:AA71"/>
    <mergeCell ref="AB70:AC71"/>
    <mergeCell ref="X68:Y69"/>
    <mergeCell ref="Z68:AA69"/>
    <mergeCell ref="AB68:AC69"/>
    <mergeCell ref="AH72:AI73"/>
    <mergeCell ref="AJ72:AK73"/>
    <mergeCell ref="AH68:AI69"/>
    <mergeCell ref="AF66:AG67"/>
    <mergeCell ref="AF74:AG75"/>
    <mergeCell ref="AH74:AI75"/>
    <mergeCell ref="AP74:AQ75"/>
    <mergeCell ref="AR74:AS75"/>
    <mergeCell ref="AT74:AU75"/>
    <mergeCell ref="AV74:AW75"/>
    <mergeCell ref="AL74:AM75"/>
    <mergeCell ref="AL72:AM73"/>
    <mergeCell ref="V64:W65"/>
    <mergeCell ref="V70:W71"/>
    <mergeCell ref="AB64:AC65"/>
    <mergeCell ref="AF46:AG47"/>
    <mergeCell ref="AH46:AI47"/>
    <mergeCell ref="AJ46:AK47"/>
    <mergeCell ref="Z62:AA63"/>
    <mergeCell ref="BD68:BE69"/>
    <mergeCell ref="AZ50:BA51"/>
    <mergeCell ref="BB50:BC51"/>
    <mergeCell ref="AZ56:BA57"/>
    <mergeCell ref="BB56:BC57"/>
    <mergeCell ref="BD50:BE51"/>
    <mergeCell ref="AL46:AM47"/>
    <mergeCell ref="AD48:AE49"/>
    <mergeCell ref="AF48:AG49"/>
    <mergeCell ref="AT54:AU55"/>
    <mergeCell ref="AL52:AM53"/>
    <mergeCell ref="AJ48:AK49"/>
    <mergeCell ref="AX68:AY69"/>
    <mergeCell ref="AZ68:BA69"/>
    <mergeCell ref="BB68:BC69"/>
    <mergeCell ref="AD56:AE57"/>
    <mergeCell ref="AL56:AM57"/>
    <mergeCell ref="AD60:AE61"/>
    <mergeCell ref="AJ60:AK61"/>
    <mergeCell ref="AL60:AM61"/>
    <mergeCell ref="AF60:AG61"/>
    <mergeCell ref="AH60:AI61"/>
    <mergeCell ref="AN56:AO57"/>
    <mergeCell ref="AT56:AU57"/>
    <mergeCell ref="AV56:AW57"/>
    <mergeCell ref="AH62:AI63"/>
    <mergeCell ref="AJ66:AK67"/>
    <mergeCell ref="AH70:AI71"/>
    <mergeCell ref="AF68:AG69"/>
    <mergeCell ref="AH64:AI65"/>
    <mergeCell ref="AH66:AI67"/>
    <mergeCell ref="AR72:AS73"/>
    <mergeCell ref="AT72:AU73"/>
    <mergeCell ref="AV72:AW73"/>
    <mergeCell ref="AL20:AM21"/>
    <mergeCell ref="AD22:AE23"/>
    <mergeCell ref="AF22:AG23"/>
    <mergeCell ref="AH22:AI23"/>
    <mergeCell ref="AJ22:AK23"/>
    <mergeCell ref="AL22:AM23"/>
    <mergeCell ref="AD30:AE31"/>
    <mergeCell ref="AF30:AG31"/>
    <mergeCell ref="AD24:AE25"/>
    <mergeCell ref="AD26:AE27"/>
    <mergeCell ref="AV44:AW45"/>
    <mergeCell ref="AV28:AW29"/>
    <mergeCell ref="AT32:AU33"/>
    <mergeCell ref="AV32:AW33"/>
    <mergeCell ref="AP38:AQ39"/>
    <mergeCell ref="AR38:AS39"/>
    <mergeCell ref="AN54:AO55"/>
    <mergeCell ref="AR46:AS47"/>
    <mergeCell ref="AP54:AQ55"/>
    <mergeCell ref="AR54:AS55"/>
    <mergeCell ref="AT20:AU21"/>
    <mergeCell ref="AV20:AW21"/>
    <mergeCell ref="AV22:AW23"/>
    <mergeCell ref="AV42:AW43"/>
    <mergeCell ref="AT40:AU41"/>
    <mergeCell ref="AV50:AW51"/>
    <mergeCell ref="AN46:AO47"/>
    <mergeCell ref="AP46:AQ47"/>
    <mergeCell ref="AH52:AI53"/>
    <mergeCell ref="AJ52:AK53"/>
    <mergeCell ref="AP40:AQ41"/>
    <mergeCell ref="AP36:AQ37"/>
    <mergeCell ref="X30:Y31"/>
    <mergeCell ref="Z30:AA31"/>
    <mergeCell ref="Z34:AA35"/>
    <mergeCell ref="AB30:AC31"/>
    <mergeCell ref="Z38:AA39"/>
    <mergeCell ref="AB38:AC39"/>
    <mergeCell ref="T40:U41"/>
    <mergeCell ref="V40:W41"/>
    <mergeCell ref="AL32:AM33"/>
    <mergeCell ref="T36:U37"/>
    <mergeCell ref="V36:W37"/>
    <mergeCell ref="X36:Y37"/>
    <mergeCell ref="V34:W35"/>
    <mergeCell ref="AD40:AE41"/>
    <mergeCell ref="AF40:AG41"/>
    <mergeCell ref="AH40:AI41"/>
    <mergeCell ref="AJ40:AK41"/>
    <mergeCell ref="V32:W33"/>
    <mergeCell ref="Z36:AA37"/>
    <mergeCell ref="X32:Y33"/>
    <mergeCell ref="X34:Y35"/>
    <mergeCell ref="AD34:AE35"/>
    <mergeCell ref="AR30:AS31"/>
    <mergeCell ref="J52:K53"/>
    <mergeCell ref="L52:M53"/>
    <mergeCell ref="N52:O53"/>
    <mergeCell ref="P52:Q53"/>
    <mergeCell ref="V46:W47"/>
    <mergeCell ref="Z40:AA41"/>
    <mergeCell ref="Z48:AA49"/>
    <mergeCell ref="J44:K45"/>
    <mergeCell ref="J46:K47"/>
    <mergeCell ref="J48:K49"/>
    <mergeCell ref="J38:K39"/>
    <mergeCell ref="L38:M39"/>
    <mergeCell ref="N38:O39"/>
    <mergeCell ref="L42:M43"/>
    <mergeCell ref="N42:O43"/>
    <mergeCell ref="P42:Q43"/>
    <mergeCell ref="AB44:AC45"/>
    <mergeCell ref="P54:Q55"/>
    <mergeCell ref="R54:S55"/>
    <mergeCell ref="T52:U53"/>
    <mergeCell ref="V52:W53"/>
    <mergeCell ref="X52:Y53"/>
    <mergeCell ref="Z52:AA53"/>
    <mergeCell ref="T42:U43"/>
    <mergeCell ref="V42:W43"/>
    <mergeCell ref="X42:Y43"/>
    <mergeCell ref="Z42:AA43"/>
    <mergeCell ref="X40:Y41"/>
    <mergeCell ref="R44:S45"/>
    <mergeCell ref="P44:Q45"/>
    <mergeCell ref="J54:K55"/>
    <mergeCell ref="L54:M55"/>
    <mergeCell ref="J42:K43"/>
    <mergeCell ref="AZ24:BA25"/>
    <mergeCell ref="AT30:AU31"/>
    <mergeCell ref="AV30:AW31"/>
    <mergeCell ref="AP32:AQ33"/>
    <mergeCell ref="AR32:AS33"/>
    <mergeCell ref="AT34:AU35"/>
    <mergeCell ref="AV34:AW35"/>
    <mergeCell ref="AP24:AQ25"/>
    <mergeCell ref="AR24:AS25"/>
    <mergeCell ref="AP26:AQ27"/>
    <mergeCell ref="AR26:AS27"/>
    <mergeCell ref="AN28:AO29"/>
    <mergeCell ref="AP28:AQ29"/>
    <mergeCell ref="AR28:AS29"/>
    <mergeCell ref="AN30:AO31"/>
    <mergeCell ref="AP30:AQ31"/>
    <mergeCell ref="AT28:AU29"/>
    <mergeCell ref="AV24:AW25"/>
    <mergeCell ref="AZ26:BA27"/>
    <mergeCell ref="AT26:AU27"/>
    <mergeCell ref="AV26:AW27"/>
    <mergeCell ref="AN26:AO27"/>
    <mergeCell ref="AN34:AO35"/>
    <mergeCell ref="AR42:AS43"/>
    <mergeCell ref="AN22:AO23"/>
    <mergeCell ref="AN20:AO21"/>
    <mergeCell ref="AB40:AC41"/>
    <mergeCell ref="AD20:AE21"/>
    <mergeCell ref="AD28:AE29"/>
    <mergeCell ref="AF28:AG29"/>
    <mergeCell ref="AH28:AI29"/>
    <mergeCell ref="AJ28:AK29"/>
    <mergeCell ref="AL28:AM29"/>
    <mergeCell ref="AD32:AE33"/>
    <mergeCell ref="AJ32:AK33"/>
    <mergeCell ref="AR40:AS41"/>
    <mergeCell ref="AB42:AC43"/>
    <mergeCell ref="AV40:AW41"/>
    <mergeCell ref="AT36:AU37"/>
    <mergeCell ref="AV36:AW37"/>
    <mergeCell ref="AF34:AG35"/>
    <mergeCell ref="AH34:AI35"/>
    <mergeCell ref="AB32:AC33"/>
    <mergeCell ref="AD38:AE39"/>
    <mergeCell ref="AF38:AG39"/>
    <mergeCell ref="AB36:AC37"/>
    <mergeCell ref="AD36:AE37"/>
    <mergeCell ref="AN42:AO43"/>
    <mergeCell ref="T22:U23"/>
    <mergeCell ref="V22:W23"/>
    <mergeCell ref="X22:Y23"/>
    <mergeCell ref="Z22:AA23"/>
    <mergeCell ref="AB22:AC23"/>
    <mergeCell ref="AL36:AM37"/>
    <mergeCell ref="AN36:AO37"/>
    <mergeCell ref="AN38:AO39"/>
    <mergeCell ref="X26:Y27"/>
    <mergeCell ref="X28:Y29"/>
    <mergeCell ref="V20:W21"/>
    <mergeCell ref="T38:U39"/>
    <mergeCell ref="V38:W39"/>
    <mergeCell ref="X38:Y39"/>
    <mergeCell ref="AB34:AC35"/>
    <mergeCell ref="V26:W27"/>
    <mergeCell ref="V28:W29"/>
    <mergeCell ref="V30:W31"/>
    <mergeCell ref="AP42:AQ43"/>
    <mergeCell ref="AN44:AO45"/>
    <mergeCell ref="AN60:AO61"/>
    <mergeCell ref="AT60:AU61"/>
    <mergeCell ref="AV60:AW61"/>
    <mergeCell ref="AN48:AO49"/>
    <mergeCell ref="AR50:AS51"/>
    <mergeCell ref="AT52:AU53"/>
    <mergeCell ref="AB52:AC53"/>
    <mergeCell ref="V54:W55"/>
    <mergeCell ref="X44:Y45"/>
    <mergeCell ref="AR44:AS45"/>
    <mergeCell ref="AN40:AO41"/>
    <mergeCell ref="AL40:AM41"/>
    <mergeCell ref="AD42:AE43"/>
    <mergeCell ref="AF42:AG43"/>
    <mergeCell ref="AH42:AI43"/>
    <mergeCell ref="AJ42:AK43"/>
    <mergeCell ref="AL42:AM43"/>
    <mergeCell ref="AB56:AC57"/>
    <mergeCell ref="AD52:AE53"/>
    <mergeCell ref="AF52:AG53"/>
    <mergeCell ref="AD54:AE55"/>
    <mergeCell ref="AD44:AE45"/>
    <mergeCell ref="AF44:AG45"/>
    <mergeCell ref="X46:Y47"/>
    <mergeCell ref="AT50:AU51"/>
    <mergeCell ref="AT44:AU45"/>
    <mergeCell ref="AR56:AS57"/>
    <mergeCell ref="Z44:AA45"/>
    <mergeCell ref="AJ56:AK57"/>
    <mergeCell ref="AL54:AM55"/>
    <mergeCell ref="AN52:AO53"/>
    <mergeCell ref="AP52:AQ53"/>
    <mergeCell ref="AR52:AS53"/>
    <mergeCell ref="AN50:AO51"/>
    <mergeCell ref="T44:U45"/>
    <mergeCell ref="X50:Y51"/>
    <mergeCell ref="X56:Y57"/>
    <mergeCell ref="Z46:AA47"/>
    <mergeCell ref="V48:W49"/>
    <mergeCell ref="V50:W51"/>
    <mergeCell ref="T56:U57"/>
    <mergeCell ref="V56:W57"/>
    <mergeCell ref="AD50:AE51"/>
    <mergeCell ref="AJ50:AK51"/>
    <mergeCell ref="AL50:AM51"/>
    <mergeCell ref="AH50:AI51"/>
    <mergeCell ref="AF56:AG57"/>
    <mergeCell ref="AH56:AI57"/>
    <mergeCell ref="AH44:AI45"/>
    <mergeCell ref="AJ44:AK45"/>
    <mergeCell ref="AL44:AM45"/>
    <mergeCell ref="T54:U55"/>
    <mergeCell ref="X54:Y55"/>
    <mergeCell ref="Z54:AA55"/>
    <mergeCell ref="AB54:AC55"/>
    <mergeCell ref="AP44:AQ45"/>
    <mergeCell ref="AD46:AE47"/>
    <mergeCell ref="AF54:AG55"/>
    <mergeCell ref="R84:S85"/>
    <mergeCell ref="AD84:AE85"/>
    <mergeCell ref="AF84:AG85"/>
    <mergeCell ref="AH84:AI85"/>
    <mergeCell ref="AJ84:AK85"/>
    <mergeCell ref="AL84:AM85"/>
    <mergeCell ref="AX84:AY85"/>
    <mergeCell ref="AZ84:BA85"/>
    <mergeCell ref="BB84:BC85"/>
    <mergeCell ref="BD84:BE85"/>
    <mergeCell ref="BF84:BG85"/>
    <mergeCell ref="AN68:AO69"/>
    <mergeCell ref="AP68:AQ69"/>
    <mergeCell ref="AR68:AS69"/>
    <mergeCell ref="AT68:AU69"/>
    <mergeCell ref="AN84:AO85"/>
    <mergeCell ref="J68:K69"/>
    <mergeCell ref="L68:M69"/>
    <mergeCell ref="N68:O69"/>
    <mergeCell ref="P68:Q69"/>
    <mergeCell ref="R68:S69"/>
    <mergeCell ref="J70:K71"/>
    <mergeCell ref="L70:M71"/>
    <mergeCell ref="N70:O71"/>
    <mergeCell ref="P70:Q71"/>
    <mergeCell ref="R70:S71"/>
    <mergeCell ref="J72:K73"/>
    <mergeCell ref="L72:M73"/>
    <mergeCell ref="T68:U69"/>
    <mergeCell ref="V68:W69"/>
    <mergeCell ref="T72:U73"/>
    <mergeCell ref="T70:U71"/>
    <mergeCell ref="J88:K89"/>
    <mergeCell ref="L88:M89"/>
    <mergeCell ref="N88:O89"/>
    <mergeCell ref="P88:Q89"/>
    <mergeCell ref="R88:S89"/>
    <mergeCell ref="X86:Y87"/>
    <mergeCell ref="Z86:AA87"/>
    <mergeCell ref="AB86:AC87"/>
    <mergeCell ref="T88:U89"/>
    <mergeCell ref="V88:W89"/>
    <mergeCell ref="X88:Y89"/>
    <mergeCell ref="Z88:AA89"/>
    <mergeCell ref="AB88:AC89"/>
    <mergeCell ref="P86:Q87"/>
    <mergeCell ref="R86:S87"/>
    <mergeCell ref="BD86:BE87"/>
    <mergeCell ref="BF86:BG87"/>
    <mergeCell ref="AX88:AY89"/>
    <mergeCell ref="AZ88:BA89"/>
    <mergeCell ref="BB88:BC89"/>
    <mergeCell ref="BD88:BE89"/>
    <mergeCell ref="BF88:BG89"/>
    <mergeCell ref="AH86:AI87"/>
    <mergeCell ref="AJ86:AK87"/>
    <mergeCell ref="AL86:AM87"/>
    <mergeCell ref="AD88:AE89"/>
    <mergeCell ref="AF88:AG89"/>
    <mergeCell ref="AH88:AI89"/>
    <mergeCell ref="AJ88:AK89"/>
    <mergeCell ref="AL88:AM89"/>
    <mergeCell ref="AT86:AU87"/>
    <mergeCell ref="AV86:AW8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55"/>
  <sheetViews>
    <sheetView zoomScale="90" zoomScaleNormal="90" workbookViewId="0">
      <selection activeCell="C6" sqref="C6"/>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38"/>
      <c r="B1" s="607" t="s">
        <v>49</v>
      </c>
      <c r="C1" s="607"/>
      <c r="D1" s="607"/>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7" x14ac:dyDescent="0.2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row>
    <row r="3" spans="1:37" ht="25.5" x14ac:dyDescent="0.25">
      <c r="A3" s="38"/>
      <c r="B3" s="7"/>
      <c r="C3" s="8" t="s">
        <v>46</v>
      </c>
      <c r="D3" s="8" t="s">
        <v>4</v>
      </c>
      <c r="E3" s="38"/>
      <c r="F3" s="38"/>
      <c r="G3" s="38"/>
      <c r="H3" s="38"/>
      <c r="I3" s="38"/>
      <c r="J3" s="38"/>
      <c r="K3" s="38"/>
      <c r="L3" s="38"/>
      <c r="M3" s="38"/>
      <c r="N3" s="38"/>
      <c r="O3" s="38"/>
      <c r="P3" s="38"/>
      <c r="Q3" s="38"/>
      <c r="R3" s="38"/>
      <c r="S3" s="38"/>
      <c r="T3" s="38"/>
      <c r="U3" s="38"/>
      <c r="V3" s="38"/>
      <c r="W3" s="38"/>
      <c r="X3" s="38"/>
      <c r="Y3" s="38"/>
      <c r="Z3" s="38"/>
      <c r="AA3" s="38"/>
      <c r="AB3" s="38"/>
      <c r="AC3" s="38"/>
      <c r="AD3" s="38"/>
      <c r="AE3" s="38"/>
    </row>
    <row r="4" spans="1:37" ht="51" x14ac:dyDescent="0.25">
      <c r="A4" s="38"/>
      <c r="B4" s="9" t="s">
        <v>45</v>
      </c>
      <c r="C4" s="10" t="s">
        <v>93</v>
      </c>
      <c r="D4" s="11">
        <v>0.2</v>
      </c>
      <c r="E4" s="38"/>
      <c r="F4" s="38"/>
      <c r="G4" s="38"/>
      <c r="H4" s="38"/>
      <c r="I4" s="38"/>
      <c r="J4" s="38"/>
      <c r="K4" s="38"/>
      <c r="L4" s="38"/>
      <c r="M4" s="38"/>
      <c r="N4" s="38"/>
      <c r="O4" s="38"/>
      <c r="P4" s="38"/>
      <c r="Q4" s="38"/>
      <c r="R4" s="38"/>
      <c r="S4" s="38"/>
      <c r="T4" s="38"/>
      <c r="U4" s="38"/>
      <c r="V4" s="38"/>
      <c r="W4" s="38"/>
      <c r="X4" s="38"/>
      <c r="Y4" s="38"/>
      <c r="Z4" s="38"/>
      <c r="AA4" s="38"/>
      <c r="AB4" s="38"/>
      <c r="AC4" s="38"/>
      <c r="AD4" s="38"/>
      <c r="AE4" s="38"/>
    </row>
    <row r="5" spans="1:37" ht="51" x14ac:dyDescent="0.25">
      <c r="A5" s="38"/>
      <c r="B5" s="12" t="s">
        <v>47</v>
      </c>
      <c r="C5" s="13" t="s">
        <v>94</v>
      </c>
      <c r="D5" s="14">
        <v>0.4</v>
      </c>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37" ht="51" x14ac:dyDescent="0.25">
      <c r="A6" s="38"/>
      <c r="B6" s="15" t="s">
        <v>98</v>
      </c>
      <c r="C6" s="13" t="s">
        <v>95</v>
      </c>
      <c r="D6" s="14">
        <v>0.6</v>
      </c>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7" ht="76.5" x14ac:dyDescent="0.25">
      <c r="A7" s="38"/>
      <c r="B7" s="16" t="s">
        <v>6</v>
      </c>
      <c r="C7" s="13" t="s">
        <v>96</v>
      </c>
      <c r="D7" s="14">
        <v>0.8</v>
      </c>
      <c r="E7" s="38"/>
      <c r="F7" s="38"/>
      <c r="G7" s="38"/>
      <c r="H7" s="38"/>
      <c r="I7" s="38"/>
      <c r="J7" s="38"/>
      <c r="K7" s="38"/>
      <c r="L7" s="38"/>
      <c r="M7" s="38"/>
      <c r="N7" s="38"/>
      <c r="O7" s="38"/>
      <c r="P7" s="38"/>
      <c r="Q7" s="38"/>
      <c r="R7" s="38"/>
      <c r="S7" s="38"/>
      <c r="T7" s="38"/>
      <c r="U7" s="38"/>
      <c r="V7" s="38"/>
      <c r="W7" s="38"/>
      <c r="X7" s="38"/>
      <c r="Y7" s="38"/>
      <c r="Z7" s="38"/>
      <c r="AA7" s="38"/>
      <c r="AB7" s="38"/>
      <c r="AC7" s="38"/>
      <c r="AD7" s="38"/>
      <c r="AE7" s="38"/>
    </row>
    <row r="8" spans="1:37" ht="51" x14ac:dyDescent="0.25">
      <c r="A8" s="38"/>
      <c r="B8" s="17" t="s">
        <v>48</v>
      </c>
      <c r="C8" s="13" t="s">
        <v>97</v>
      </c>
      <c r="D8" s="14">
        <v>1</v>
      </c>
      <c r="E8" s="38"/>
      <c r="F8" s="38"/>
      <c r="G8" s="38"/>
      <c r="H8" s="38"/>
      <c r="I8" s="38"/>
      <c r="J8" s="38"/>
      <c r="K8" s="38"/>
      <c r="L8" s="38"/>
      <c r="M8" s="38"/>
      <c r="N8" s="38"/>
      <c r="O8" s="38"/>
      <c r="P8" s="38"/>
      <c r="Q8" s="38"/>
      <c r="R8" s="38"/>
      <c r="S8" s="38"/>
      <c r="T8" s="38"/>
      <c r="U8" s="38"/>
      <c r="V8" s="38"/>
      <c r="W8" s="38"/>
      <c r="X8" s="38"/>
      <c r="Y8" s="38"/>
      <c r="Z8" s="38"/>
      <c r="AA8" s="38"/>
      <c r="AB8" s="38"/>
      <c r="AC8" s="38"/>
      <c r="AD8" s="38"/>
      <c r="AE8" s="38"/>
    </row>
    <row r="9" spans="1:37" x14ac:dyDescent="0.25">
      <c r="A9" s="38"/>
      <c r="B9" s="62"/>
      <c r="C9" s="62"/>
      <c r="D9" s="62"/>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row>
    <row r="10" spans="1:37" ht="16.5" x14ac:dyDescent="0.25">
      <c r="A10" s="38"/>
      <c r="B10" s="63"/>
      <c r="C10" s="62"/>
      <c r="D10" s="62"/>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row>
    <row r="11" spans="1:37" x14ac:dyDescent="0.25">
      <c r="A11" s="38"/>
      <c r="B11" s="62"/>
      <c r="C11" s="62"/>
      <c r="D11" s="62"/>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row>
    <row r="12" spans="1:37" x14ac:dyDescent="0.25">
      <c r="A12" s="38"/>
      <c r="B12" s="62"/>
      <c r="C12" s="62"/>
      <c r="D12" s="62"/>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row>
    <row r="13" spans="1:37" x14ac:dyDescent="0.25">
      <c r="A13" s="38"/>
      <c r="B13" s="62"/>
      <c r="C13" s="62"/>
      <c r="D13" s="62"/>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row>
    <row r="14" spans="1:37" x14ac:dyDescent="0.25">
      <c r="A14" s="38"/>
      <c r="B14" s="62"/>
      <c r="C14" s="62"/>
      <c r="D14" s="62"/>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row>
    <row r="15" spans="1:37" x14ac:dyDescent="0.25">
      <c r="A15" s="38"/>
      <c r="B15" s="62"/>
      <c r="C15" s="62"/>
      <c r="D15" s="62"/>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row>
    <row r="16" spans="1:37" x14ac:dyDescent="0.25">
      <c r="A16" s="38"/>
      <c r="B16" s="62"/>
      <c r="C16" s="62"/>
      <c r="D16" s="62"/>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row>
    <row r="17" spans="1:37" x14ac:dyDescent="0.25">
      <c r="A17" s="38"/>
      <c r="B17" s="62"/>
      <c r="C17" s="62"/>
      <c r="D17" s="62"/>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row>
    <row r="18" spans="1:37" x14ac:dyDescent="0.25">
      <c r="A18" s="38"/>
      <c r="B18" s="62"/>
      <c r="C18" s="62"/>
      <c r="D18" s="62"/>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row>
    <row r="19" spans="1:37" x14ac:dyDescent="0.25">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row>
    <row r="20" spans="1:37" x14ac:dyDescent="0.25">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row>
    <row r="21" spans="1:37"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row>
    <row r="22" spans="1:37" x14ac:dyDescent="0.25">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row>
    <row r="23" spans="1:37" x14ac:dyDescent="0.25">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row>
    <row r="24" spans="1:37" x14ac:dyDescent="0.25">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row>
    <row r="25" spans="1:37" x14ac:dyDescent="0.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row>
    <row r="26" spans="1:37" x14ac:dyDescent="0.25">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25">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row>
    <row r="28" spans="1:37" x14ac:dyDescent="0.25">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row>
    <row r="29" spans="1:37" x14ac:dyDescent="0.25">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row>
    <row r="30" spans="1:37" x14ac:dyDescent="0.2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row>
    <row r="31" spans="1:37" x14ac:dyDescent="0.25">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row>
    <row r="32" spans="1:37"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row>
    <row r="33" spans="1:31" x14ac:dyDescent="0.25">
      <c r="A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x14ac:dyDescent="0.25">
      <c r="A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row>
    <row r="35" spans="1:31" x14ac:dyDescent="0.25">
      <c r="A35" s="38"/>
    </row>
    <row r="36" spans="1:31" x14ac:dyDescent="0.25">
      <c r="A36" s="38"/>
    </row>
    <row r="37" spans="1:31" x14ac:dyDescent="0.25">
      <c r="A37" s="38"/>
    </row>
    <row r="38" spans="1:31" x14ac:dyDescent="0.25">
      <c r="A38" s="38"/>
    </row>
    <row r="39" spans="1:31" x14ac:dyDescent="0.25">
      <c r="A39" s="38"/>
    </row>
    <row r="40" spans="1:31" x14ac:dyDescent="0.25">
      <c r="A40" s="38"/>
    </row>
    <row r="41" spans="1:31" x14ac:dyDescent="0.25">
      <c r="A41" s="38"/>
    </row>
    <row r="42" spans="1:31" x14ac:dyDescent="0.25">
      <c r="A42" s="38"/>
    </row>
    <row r="43" spans="1:31" x14ac:dyDescent="0.25">
      <c r="A43" s="38"/>
    </row>
    <row r="44" spans="1:31" x14ac:dyDescent="0.25">
      <c r="A44" s="38"/>
    </row>
    <row r="45" spans="1:31" x14ac:dyDescent="0.25">
      <c r="A45" s="38"/>
    </row>
    <row r="46" spans="1:31" x14ac:dyDescent="0.25">
      <c r="A46" s="38"/>
    </row>
    <row r="47" spans="1:31" x14ac:dyDescent="0.25">
      <c r="A47" s="38"/>
    </row>
    <row r="48" spans="1:31" x14ac:dyDescent="0.25">
      <c r="A48" s="38"/>
    </row>
    <row r="49" spans="1:1" x14ac:dyDescent="0.25">
      <c r="A49" s="38"/>
    </row>
    <row r="50" spans="1:1" x14ac:dyDescent="0.25">
      <c r="A50" s="38"/>
    </row>
    <row r="51" spans="1:1" x14ac:dyDescent="0.25">
      <c r="A51" s="38"/>
    </row>
    <row r="52" spans="1:1" x14ac:dyDescent="0.25">
      <c r="A52" s="38"/>
    </row>
    <row r="53" spans="1:1" x14ac:dyDescent="0.25">
      <c r="A53" s="38"/>
    </row>
    <row r="54" spans="1:1" x14ac:dyDescent="0.25">
      <c r="A54" s="38"/>
    </row>
    <row r="55" spans="1:1" x14ac:dyDescent="0.25">
      <c r="A55" s="38"/>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U232"/>
  <sheetViews>
    <sheetView topLeftCell="A7" zoomScale="70" zoomScaleNormal="70" workbookViewId="0">
      <selection activeCell="D15" sqref="D15"/>
    </sheetView>
  </sheetViews>
  <sheetFormatPr baseColWidth="10" defaultRowHeight="15" x14ac:dyDescent="0.25"/>
  <cols>
    <col min="2" max="2" width="40.42578125" customWidth="1"/>
    <col min="3" max="3" width="74.85546875" customWidth="1"/>
    <col min="4" max="4" width="135" bestFit="1" customWidth="1"/>
    <col min="5" max="5" width="144.5703125" bestFit="1" customWidth="1"/>
  </cols>
  <sheetData>
    <row r="1" spans="1:21" ht="33.75" x14ac:dyDescent="0.25">
      <c r="A1" s="38"/>
      <c r="B1" s="608" t="s">
        <v>57</v>
      </c>
      <c r="C1" s="608"/>
      <c r="D1" s="608"/>
      <c r="E1" s="38"/>
      <c r="F1" s="38"/>
      <c r="G1" s="38"/>
      <c r="H1" s="38"/>
      <c r="I1" s="38"/>
      <c r="J1" s="38"/>
      <c r="K1" s="38"/>
      <c r="L1" s="38"/>
      <c r="M1" s="38"/>
      <c r="N1" s="38"/>
      <c r="O1" s="38"/>
      <c r="P1" s="38"/>
      <c r="Q1" s="38"/>
      <c r="R1" s="38"/>
      <c r="S1" s="38"/>
      <c r="T1" s="38"/>
      <c r="U1" s="38"/>
    </row>
    <row r="2" spans="1:21" x14ac:dyDescent="0.25">
      <c r="A2" s="38"/>
      <c r="B2" s="38"/>
      <c r="C2" s="38"/>
      <c r="D2" s="38"/>
      <c r="E2" s="38"/>
      <c r="F2" s="38"/>
      <c r="G2" s="38"/>
      <c r="H2" s="38"/>
      <c r="I2" s="38"/>
      <c r="J2" s="38"/>
      <c r="K2" s="38"/>
      <c r="L2" s="38"/>
      <c r="M2" s="38"/>
      <c r="N2" s="38"/>
      <c r="O2" s="38"/>
      <c r="P2" s="38"/>
      <c r="Q2" s="38"/>
      <c r="R2" s="38"/>
      <c r="S2" s="38"/>
      <c r="T2" s="38"/>
      <c r="U2" s="38"/>
    </row>
    <row r="3" spans="1:21" ht="30" x14ac:dyDescent="0.25">
      <c r="A3" s="38"/>
      <c r="B3" s="59"/>
      <c r="C3" s="28" t="s">
        <v>50</v>
      </c>
      <c r="D3" s="28" t="s">
        <v>51</v>
      </c>
      <c r="E3" s="38"/>
      <c r="F3" s="38"/>
      <c r="G3" s="38"/>
      <c r="H3" s="38"/>
      <c r="I3" s="38"/>
      <c r="J3" s="38"/>
      <c r="K3" s="38"/>
      <c r="L3" s="38"/>
      <c r="M3" s="38"/>
      <c r="N3" s="38"/>
      <c r="O3" s="38"/>
      <c r="P3" s="38"/>
      <c r="Q3" s="38"/>
      <c r="R3" s="38"/>
      <c r="S3" s="38"/>
      <c r="T3" s="38"/>
      <c r="U3" s="38"/>
    </row>
    <row r="4" spans="1:21" ht="33.75" x14ac:dyDescent="0.25">
      <c r="A4" s="58" t="s">
        <v>77</v>
      </c>
      <c r="B4" s="31" t="s">
        <v>92</v>
      </c>
      <c r="C4" s="36" t="s">
        <v>132</v>
      </c>
      <c r="D4" s="29" t="s">
        <v>90</v>
      </c>
      <c r="E4" s="38"/>
      <c r="F4" s="38"/>
      <c r="G4" s="38"/>
      <c r="H4" s="38"/>
      <c r="I4" s="38"/>
      <c r="J4" s="38"/>
      <c r="K4" s="38"/>
      <c r="L4" s="38"/>
      <c r="M4" s="38"/>
      <c r="N4" s="38"/>
      <c r="O4" s="38"/>
      <c r="P4" s="38"/>
      <c r="Q4" s="38"/>
      <c r="R4" s="38"/>
      <c r="S4" s="38"/>
      <c r="T4" s="38"/>
      <c r="U4" s="38"/>
    </row>
    <row r="5" spans="1:21" ht="101.25" x14ac:dyDescent="0.25">
      <c r="A5" s="58" t="s">
        <v>78</v>
      </c>
      <c r="B5" s="32" t="s">
        <v>53</v>
      </c>
      <c r="C5" s="37" t="s">
        <v>86</v>
      </c>
      <c r="D5" s="30" t="s">
        <v>254</v>
      </c>
      <c r="E5" s="38"/>
      <c r="F5" s="38"/>
      <c r="G5" s="38"/>
      <c r="H5" s="38"/>
      <c r="I5" s="38"/>
      <c r="J5" s="38"/>
      <c r="K5" s="38"/>
      <c r="L5" s="38"/>
      <c r="M5" s="38"/>
      <c r="N5" s="38"/>
      <c r="O5" s="38"/>
      <c r="P5" s="38"/>
      <c r="Q5" s="38"/>
      <c r="R5" s="38"/>
      <c r="S5" s="38"/>
      <c r="T5" s="38"/>
      <c r="U5" s="38"/>
    </row>
    <row r="6" spans="1:21" ht="67.5" x14ac:dyDescent="0.25">
      <c r="A6" s="58" t="s">
        <v>75</v>
      </c>
      <c r="B6" s="33" t="s">
        <v>54</v>
      </c>
      <c r="C6" s="37" t="s">
        <v>87</v>
      </c>
      <c r="D6" s="30" t="s">
        <v>91</v>
      </c>
      <c r="E6" s="38"/>
      <c r="F6" s="38"/>
      <c r="G6" s="38"/>
      <c r="H6" s="38"/>
      <c r="I6" s="38"/>
      <c r="J6" s="38"/>
      <c r="K6" s="38"/>
      <c r="L6" s="38"/>
      <c r="M6" s="38"/>
      <c r="N6" s="38"/>
      <c r="O6" s="38"/>
      <c r="P6" s="38"/>
      <c r="Q6" s="38"/>
      <c r="R6" s="38"/>
      <c r="S6" s="38"/>
      <c r="T6" s="38"/>
      <c r="U6" s="38"/>
    </row>
    <row r="7" spans="1:21" ht="101.25" x14ac:dyDescent="0.25">
      <c r="A7" s="58" t="s">
        <v>7</v>
      </c>
      <c r="B7" s="34" t="s">
        <v>55</v>
      </c>
      <c r="C7" s="37" t="s">
        <v>88</v>
      </c>
      <c r="D7" s="30" t="s">
        <v>256</v>
      </c>
      <c r="E7" s="38"/>
      <c r="F7" s="38"/>
      <c r="G7" s="38"/>
      <c r="H7" s="38"/>
      <c r="I7" s="38"/>
      <c r="J7" s="38"/>
      <c r="K7" s="38"/>
      <c r="L7" s="38"/>
      <c r="M7" s="38"/>
      <c r="N7" s="38"/>
      <c r="O7" s="38"/>
      <c r="P7" s="38"/>
      <c r="Q7" s="38"/>
      <c r="R7" s="38"/>
      <c r="S7" s="38"/>
      <c r="T7" s="38"/>
      <c r="U7" s="38"/>
    </row>
    <row r="8" spans="1:21" ht="67.5" x14ac:dyDescent="0.25">
      <c r="A8" s="58" t="s">
        <v>79</v>
      </c>
      <c r="B8" s="35" t="s">
        <v>56</v>
      </c>
      <c r="C8" s="37" t="s">
        <v>89</v>
      </c>
      <c r="D8" s="30" t="s">
        <v>109</v>
      </c>
      <c r="E8" s="38"/>
      <c r="F8" s="38"/>
      <c r="G8" s="38"/>
      <c r="H8" s="38"/>
      <c r="I8" s="38"/>
      <c r="J8" s="38"/>
      <c r="K8" s="38"/>
      <c r="L8" s="38"/>
      <c r="M8" s="38"/>
      <c r="N8" s="38"/>
      <c r="O8" s="38"/>
      <c r="P8" s="38"/>
      <c r="Q8" s="38"/>
      <c r="R8" s="38"/>
      <c r="S8" s="38"/>
      <c r="T8" s="38"/>
      <c r="U8" s="38"/>
    </row>
    <row r="9" spans="1:21" ht="20.25" x14ac:dyDescent="0.25">
      <c r="A9" s="58"/>
      <c r="B9" s="58"/>
      <c r="C9" s="200"/>
      <c r="D9" s="60"/>
      <c r="E9" s="38"/>
      <c r="F9" s="38"/>
      <c r="G9" s="38"/>
      <c r="H9" s="38"/>
      <c r="I9" s="38"/>
      <c r="J9" s="38"/>
      <c r="K9" s="38"/>
      <c r="L9" s="38"/>
      <c r="M9" s="38"/>
      <c r="N9" s="38"/>
      <c r="O9" s="38"/>
      <c r="P9" s="38"/>
      <c r="Q9" s="38"/>
      <c r="R9" s="38"/>
      <c r="S9" s="38"/>
      <c r="T9" s="38"/>
      <c r="U9" s="38"/>
    </row>
    <row r="10" spans="1:21" ht="16.5" x14ac:dyDescent="0.25">
      <c r="A10" s="58"/>
      <c r="B10" s="61"/>
      <c r="C10" s="201"/>
      <c r="D10" s="61"/>
      <c r="E10" s="38"/>
      <c r="F10" s="38"/>
      <c r="G10" s="38"/>
      <c r="H10" s="38"/>
      <c r="I10" s="38"/>
      <c r="J10" s="38"/>
      <c r="K10" s="38"/>
      <c r="L10" s="38"/>
      <c r="M10" s="38"/>
      <c r="N10" s="38"/>
      <c r="O10" s="38"/>
      <c r="P10" s="38"/>
      <c r="Q10" s="38"/>
      <c r="R10" s="38"/>
      <c r="S10" s="38"/>
      <c r="T10" s="38"/>
      <c r="U10" s="38"/>
    </row>
    <row r="11" spans="1:21" x14ac:dyDescent="0.25">
      <c r="A11" s="58"/>
      <c r="B11" s="58" t="s">
        <v>84</v>
      </c>
      <c r="C11" s="202" t="s">
        <v>246</v>
      </c>
      <c r="D11" s="202" t="s">
        <v>247</v>
      </c>
      <c r="E11" s="202"/>
      <c r="F11" s="202"/>
      <c r="G11" s="202"/>
      <c r="H11" s="38"/>
      <c r="I11" s="38"/>
      <c r="J11" s="38"/>
      <c r="K11" s="38"/>
      <c r="L11" s="38"/>
      <c r="M11" s="38"/>
      <c r="N11" s="38"/>
      <c r="O11" s="38"/>
      <c r="P11" s="38"/>
      <c r="Q11" s="38"/>
      <c r="R11" s="38"/>
      <c r="S11" s="38"/>
      <c r="T11" s="38"/>
      <c r="U11" s="38"/>
    </row>
    <row r="12" spans="1:21" x14ac:dyDescent="0.25">
      <c r="A12" s="58"/>
      <c r="B12" s="58" t="s">
        <v>82</v>
      </c>
      <c r="C12" s="202" t="s">
        <v>248</v>
      </c>
      <c r="D12" s="202" t="s">
        <v>255</v>
      </c>
      <c r="E12" s="202"/>
      <c r="F12" s="202"/>
      <c r="G12" s="202"/>
      <c r="H12" s="38"/>
      <c r="I12" s="38"/>
      <c r="J12" s="38"/>
      <c r="K12" s="38"/>
      <c r="L12" s="38"/>
      <c r="M12" s="38"/>
      <c r="N12" s="38"/>
      <c r="O12" s="38"/>
      <c r="P12" s="38"/>
      <c r="Q12" s="38"/>
      <c r="R12" s="38"/>
      <c r="S12" s="38"/>
      <c r="T12" s="38"/>
      <c r="U12" s="38"/>
    </row>
    <row r="13" spans="1:21" x14ac:dyDescent="0.25">
      <c r="A13" s="58"/>
      <c r="B13" s="58"/>
      <c r="C13" s="202" t="s">
        <v>249</v>
      </c>
      <c r="D13" s="202" t="s">
        <v>250</v>
      </c>
      <c r="E13" s="202"/>
      <c r="F13" s="202"/>
      <c r="G13" s="202"/>
      <c r="H13" s="38"/>
      <c r="I13" s="38"/>
      <c r="J13" s="38"/>
      <c r="K13" s="38"/>
      <c r="L13" s="38"/>
      <c r="M13" s="38"/>
      <c r="N13" s="38"/>
      <c r="O13" s="38"/>
      <c r="P13" s="38"/>
      <c r="Q13" s="38"/>
      <c r="R13" s="38"/>
      <c r="S13" s="38"/>
      <c r="T13" s="38"/>
      <c r="U13" s="38"/>
    </row>
    <row r="14" spans="1:21" x14ac:dyDescent="0.25">
      <c r="A14" s="58"/>
      <c r="B14" s="58"/>
      <c r="C14" s="202" t="s">
        <v>251</v>
      </c>
      <c r="D14" s="202" t="s">
        <v>257</v>
      </c>
      <c r="E14" s="202"/>
      <c r="F14" s="202"/>
      <c r="G14" s="202"/>
      <c r="H14" s="38"/>
      <c r="I14" s="38"/>
      <c r="J14" s="38"/>
      <c r="K14" s="38"/>
      <c r="L14" s="38"/>
      <c r="M14" s="38"/>
      <c r="N14" s="38"/>
      <c r="O14" s="38"/>
      <c r="P14" s="38"/>
      <c r="Q14" s="38"/>
      <c r="R14" s="38"/>
      <c r="S14" s="38"/>
      <c r="T14" s="38"/>
      <c r="U14" s="38"/>
    </row>
    <row r="15" spans="1:21" x14ac:dyDescent="0.25">
      <c r="A15" s="58"/>
      <c r="B15" s="58"/>
      <c r="C15" s="202" t="s">
        <v>252</v>
      </c>
      <c r="D15" s="202" t="s">
        <v>253</v>
      </c>
      <c r="E15" s="38"/>
      <c r="F15" s="38"/>
      <c r="G15" s="38"/>
      <c r="H15" s="38"/>
      <c r="I15" s="38"/>
      <c r="J15" s="38"/>
      <c r="K15" s="38"/>
      <c r="L15" s="38"/>
      <c r="M15" s="38"/>
      <c r="N15" s="38"/>
      <c r="O15" s="38"/>
      <c r="P15" s="38"/>
      <c r="Q15" s="38"/>
      <c r="R15" s="38"/>
      <c r="S15" s="38"/>
      <c r="T15" s="38"/>
      <c r="U15" s="38"/>
    </row>
    <row r="16" spans="1:21" x14ac:dyDescent="0.25">
      <c r="A16" s="58"/>
      <c r="B16" s="58"/>
      <c r="C16" s="202"/>
      <c r="D16" s="58"/>
      <c r="E16" s="38"/>
      <c r="F16" s="38"/>
      <c r="G16" s="38"/>
      <c r="H16" s="38"/>
      <c r="I16" s="38"/>
      <c r="J16" s="38"/>
      <c r="K16" s="38"/>
      <c r="L16" s="38"/>
      <c r="M16" s="38"/>
      <c r="N16" s="38"/>
      <c r="O16" s="38"/>
    </row>
    <row r="17" spans="1:15" x14ac:dyDescent="0.25">
      <c r="A17" s="58"/>
      <c r="B17" s="58"/>
      <c r="C17" s="202"/>
      <c r="D17" s="58"/>
      <c r="E17" s="38"/>
      <c r="F17" s="38"/>
      <c r="G17" s="38"/>
      <c r="H17" s="38"/>
      <c r="I17" s="38"/>
      <c r="J17" s="38"/>
      <c r="K17" s="38"/>
      <c r="L17" s="38"/>
      <c r="M17" s="38"/>
      <c r="N17" s="38"/>
      <c r="O17" s="38"/>
    </row>
    <row r="18" spans="1:15" x14ac:dyDescent="0.25">
      <c r="A18" s="58"/>
      <c r="B18" s="62"/>
      <c r="C18" s="202"/>
      <c r="D18" s="62"/>
      <c r="E18" s="38"/>
      <c r="F18" s="38"/>
      <c r="G18" s="38"/>
      <c r="H18" s="38"/>
      <c r="I18" s="38"/>
      <c r="J18" s="38"/>
      <c r="K18" s="38"/>
      <c r="L18" s="38"/>
      <c r="M18" s="38"/>
      <c r="N18" s="38"/>
      <c r="O18" s="38"/>
    </row>
    <row r="19" spans="1:15" x14ac:dyDescent="0.25">
      <c r="A19" s="58"/>
      <c r="B19" s="62"/>
      <c r="C19" s="202"/>
      <c r="D19" s="62"/>
      <c r="E19" s="38"/>
      <c r="F19" s="38"/>
      <c r="G19" s="38"/>
      <c r="H19" s="38"/>
      <c r="I19" s="38"/>
      <c r="J19" s="38"/>
      <c r="K19" s="38"/>
      <c r="L19" s="38"/>
      <c r="M19" s="38"/>
      <c r="N19" s="38"/>
      <c r="O19" s="38"/>
    </row>
    <row r="20" spans="1:15" x14ac:dyDescent="0.25">
      <c r="A20" s="58"/>
      <c r="B20" s="62"/>
      <c r="C20" s="202"/>
      <c r="D20" s="62"/>
      <c r="E20" s="38"/>
      <c r="F20" s="38"/>
      <c r="G20" s="38"/>
      <c r="H20" s="38"/>
      <c r="I20" s="38"/>
      <c r="J20" s="38"/>
      <c r="K20" s="38"/>
      <c r="L20" s="38"/>
      <c r="M20" s="38"/>
      <c r="N20" s="38"/>
      <c r="O20" s="38"/>
    </row>
    <row r="21" spans="1:15" x14ac:dyDescent="0.25">
      <c r="A21" s="58"/>
      <c r="B21" s="62"/>
      <c r="C21" s="202"/>
      <c r="D21" s="62"/>
      <c r="E21" s="38"/>
      <c r="F21" s="38"/>
      <c r="G21" s="38"/>
      <c r="H21" s="38"/>
      <c r="I21" s="38"/>
      <c r="J21" s="38"/>
      <c r="K21" s="38"/>
      <c r="L21" s="38"/>
      <c r="M21" s="38"/>
      <c r="N21" s="38"/>
      <c r="O21" s="38"/>
    </row>
    <row r="22" spans="1:15" ht="20.25" x14ac:dyDescent="0.25">
      <c r="A22" s="58"/>
      <c r="B22" s="58"/>
      <c r="C22" s="200"/>
      <c r="D22" s="60"/>
      <c r="E22" s="38"/>
      <c r="F22" s="38"/>
      <c r="G22" s="38"/>
      <c r="H22" s="38"/>
      <c r="I22" s="38"/>
      <c r="J22" s="38"/>
      <c r="K22" s="38"/>
      <c r="L22" s="38"/>
      <c r="M22" s="38"/>
      <c r="N22" s="38"/>
      <c r="O22" s="38"/>
    </row>
    <row r="23" spans="1:15" ht="20.25" x14ac:dyDescent="0.25">
      <c r="A23" s="58"/>
      <c r="B23" s="58"/>
      <c r="C23" s="200"/>
      <c r="D23" s="60"/>
      <c r="E23" s="38"/>
      <c r="F23" s="38"/>
      <c r="G23" s="38"/>
      <c r="H23" s="38"/>
      <c r="I23" s="38"/>
      <c r="J23" s="38"/>
      <c r="K23" s="38"/>
      <c r="L23" s="38"/>
      <c r="M23" s="38"/>
      <c r="N23" s="38"/>
      <c r="O23" s="38"/>
    </row>
    <row r="24" spans="1:15" ht="20.25" x14ac:dyDescent="0.25">
      <c r="A24" s="58"/>
      <c r="B24" s="58"/>
      <c r="C24" s="200"/>
      <c r="D24" s="60"/>
      <c r="E24" s="38"/>
      <c r="F24" s="38"/>
      <c r="G24" s="38"/>
      <c r="H24" s="38"/>
      <c r="I24" s="38"/>
      <c r="J24" s="38"/>
      <c r="K24" s="38"/>
      <c r="L24" s="38"/>
      <c r="M24" s="38"/>
      <c r="N24" s="38"/>
      <c r="O24" s="38"/>
    </row>
    <row r="25" spans="1:15" ht="20.25" x14ac:dyDescent="0.25">
      <c r="A25" s="58"/>
      <c r="B25" s="58"/>
      <c r="C25" s="200"/>
      <c r="D25" s="60"/>
      <c r="E25" s="38"/>
      <c r="F25" s="38"/>
      <c r="G25" s="38"/>
      <c r="H25" s="38"/>
      <c r="I25" s="38"/>
      <c r="J25" s="38"/>
      <c r="K25" s="38"/>
      <c r="L25" s="38"/>
      <c r="M25" s="38"/>
      <c r="N25" s="38"/>
      <c r="O25" s="38"/>
    </row>
    <row r="26" spans="1:15" ht="20.25" x14ac:dyDescent="0.25">
      <c r="A26" s="58"/>
      <c r="B26" s="58"/>
      <c r="C26" s="200"/>
      <c r="D26" s="60"/>
      <c r="E26" s="38"/>
      <c r="F26" s="38"/>
      <c r="G26" s="38"/>
      <c r="H26" s="38"/>
      <c r="I26" s="38"/>
      <c r="J26" s="38"/>
      <c r="K26" s="38"/>
      <c r="L26" s="38"/>
      <c r="M26" s="38"/>
      <c r="N26" s="38"/>
      <c r="O26" s="38"/>
    </row>
    <row r="27" spans="1:15" ht="20.25" x14ac:dyDescent="0.25">
      <c r="A27" s="58"/>
      <c r="B27" s="58"/>
      <c r="C27" s="200"/>
      <c r="D27" s="60"/>
      <c r="E27" s="38"/>
      <c r="F27" s="38"/>
      <c r="G27" s="38"/>
      <c r="H27" s="38"/>
      <c r="I27" s="38"/>
      <c r="J27" s="38"/>
      <c r="K27" s="38"/>
      <c r="L27" s="38"/>
      <c r="M27" s="38"/>
      <c r="N27" s="38"/>
      <c r="O27" s="38"/>
    </row>
    <row r="28" spans="1:15" ht="20.25" x14ac:dyDescent="0.25">
      <c r="A28" s="58"/>
      <c r="B28" s="58"/>
      <c r="C28" s="200"/>
      <c r="D28" s="60"/>
      <c r="E28" s="38"/>
      <c r="F28" s="38"/>
      <c r="G28" s="38"/>
      <c r="H28" s="38"/>
      <c r="I28" s="38"/>
      <c r="J28" s="38"/>
      <c r="K28" s="38"/>
      <c r="L28" s="38"/>
      <c r="M28" s="38"/>
      <c r="N28" s="38"/>
      <c r="O28" s="38"/>
    </row>
    <row r="29" spans="1:15" ht="20.25" x14ac:dyDescent="0.25">
      <c r="A29" s="58"/>
      <c r="B29" s="58"/>
      <c r="C29" s="60"/>
      <c r="D29" s="60"/>
      <c r="E29" s="38"/>
      <c r="F29" s="38"/>
      <c r="G29" s="38"/>
      <c r="H29" s="38"/>
      <c r="I29" s="38"/>
      <c r="J29" s="38"/>
      <c r="K29" s="38"/>
      <c r="L29" s="38"/>
      <c r="M29" s="38"/>
      <c r="N29" s="38"/>
      <c r="O29" s="38"/>
    </row>
    <row r="30" spans="1:15" ht="20.25" x14ac:dyDescent="0.25">
      <c r="A30" s="58"/>
      <c r="B30" s="58"/>
      <c r="C30" s="60"/>
      <c r="D30" s="60"/>
      <c r="E30" s="38"/>
      <c r="F30" s="38"/>
      <c r="G30" s="38"/>
      <c r="H30" s="38"/>
      <c r="I30" s="38"/>
      <c r="J30" s="38"/>
      <c r="K30" s="38"/>
      <c r="L30" s="38"/>
      <c r="M30" s="38"/>
      <c r="N30" s="38"/>
      <c r="O30" s="38"/>
    </row>
    <row r="31" spans="1:15" ht="20.25" x14ac:dyDescent="0.25">
      <c r="A31" s="58"/>
      <c r="B31" s="58"/>
      <c r="C31" s="60"/>
      <c r="D31" s="60"/>
      <c r="E31" s="38"/>
      <c r="F31" s="38"/>
      <c r="G31" s="38"/>
      <c r="H31" s="38"/>
      <c r="I31" s="38"/>
      <c r="J31" s="38"/>
      <c r="K31" s="38"/>
      <c r="L31" s="38"/>
      <c r="M31" s="38"/>
      <c r="N31" s="38"/>
      <c r="O31" s="38"/>
    </row>
    <row r="32" spans="1:15" ht="20.25" x14ac:dyDescent="0.25">
      <c r="A32" s="58"/>
      <c r="B32" s="58"/>
      <c r="C32" s="60"/>
      <c r="D32" s="60"/>
      <c r="E32" s="38"/>
      <c r="F32" s="38"/>
      <c r="G32" s="38"/>
      <c r="H32" s="38"/>
      <c r="I32" s="38"/>
      <c r="J32" s="38"/>
      <c r="K32" s="38"/>
      <c r="L32" s="38"/>
      <c r="M32" s="38"/>
      <c r="N32" s="38"/>
      <c r="O32" s="38"/>
    </row>
    <row r="33" spans="1:15" ht="20.25" x14ac:dyDescent="0.25">
      <c r="A33" s="58"/>
      <c r="B33" s="58"/>
      <c r="C33" s="60"/>
      <c r="D33" s="60"/>
      <c r="E33" s="38"/>
      <c r="F33" s="38"/>
      <c r="G33" s="38"/>
      <c r="H33" s="38"/>
      <c r="I33" s="38"/>
      <c r="J33" s="38"/>
      <c r="K33" s="38"/>
      <c r="L33" s="38"/>
      <c r="M33" s="38"/>
      <c r="N33" s="38"/>
      <c r="O33" s="38"/>
    </row>
    <row r="34" spans="1:15" ht="20.25" x14ac:dyDescent="0.25">
      <c r="A34" s="58"/>
      <c r="B34" s="58"/>
      <c r="C34" s="60"/>
      <c r="D34" s="60"/>
      <c r="E34" s="38"/>
      <c r="F34" s="38"/>
      <c r="G34" s="38"/>
      <c r="H34" s="38"/>
      <c r="I34" s="38"/>
      <c r="J34" s="38"/>
      <c r="K34" s="38"/>
      <c r="L34" s="38"/>
      <c r="M34" s="38"/>
      <c r="N34" s="38"/>
      <c r="O34" s="38"/>
    </row>
    <row r="35" spans="1:15" ht="20.25" x14ac:dyDescent="0.25">
      <c r="A35" s="58"/>
      <c r="B35" s="58"/>
      <c r="C35" s="60"/>
      <c r="D35" s="60"/>
      <c r="E35" s="38"/>
      <c r="F35" s="38"/>
      <c r="G35" s="38"/>
      <c r="H35" s="38"/>
      <c r="I35" s="38"/>
      <c r="J35" s="38"/>
      <c r="K35" s="38"/>
      <c r="L35" s="38"/>
      <c r="M35" s="38"/>
      <c r="N35" s="38"/>
      <c r="O35" s="38"/>
    </row>
    <row r="36" spans="1:15" ht="20.25" x14ac:dyDescent="0.25">
      <c r="A36" s="58"/>
      <c r="B36" s="58"/>
      <c r="C36" s="60"/>
      <c r="D36" s="60"/>
      <c r="E36" s="38"/>
      <c r="F36" s="38"/>
      <c r="G36" s="38"/>
      <c r="H36" s="38"/>
      <c r="I36" s="38"/>
      <c r="J36" s="38"/>
      <c r="K36" s="38"/>
      <c r="L36" s="38"/>
      <c r="M36" s="38"/>
      <c r="N36" s="38"/>
      <c r="O36" s="38"/>
    </row>
    <row r="37" spans="1:15" ht="20.25" x14ac:dyDescent="0.25">
      <c r="A37" s="58"/>
      <c r="B37" s="58"/>
      <c r="C37" s="60"/>
      <c r="D37" s="60"/>
      <c r="E37" s="38"/>
      <c r="F37" s="38"/>
      <c r="G37" s="38"/>
      <c r="H37" s="38"/>
      <c r="I37" s="38"/>
      <c r="J37" s="38"/>
      <c r="K37" s="38"/>
      <c r="L37" s="38"/>
      <c r="M37" s="38"/>
      <c r="N37" s="38"/>
      <c r="O37" s="38"/>
    </row>
    <row r="38" spans="1:15" ht="20.25" x14ac:dyDescent="0.25">
      <c r="A38" s="58"/>
      <c r="B38" s="58"/>
      <c r="C38" s="60"/>
      <c r="D38" s="60"/>
      <c r="E38" s="38"/>
      <c r="F38" s="38"/>
      <c r="G38" s="38"/>
      <c r="H38" s="38"/>
      <c r="I38" s="38"/>
      <c r="J38" s="38"/>
      <c r="K38" s="38"/>
      <c r="L38" s="38"/>
      <c r="M38" s="38"/>
      <c r="N38" s="38"/>
      <c r="O38" s="38"/>
    </row>
    <row r="39" spans="1:15" ht="20.25" x14ac:dyDescent="0.25">
      <c r="A39" s="58"/>
      <c r="B39" s="58"/>
      <c r="C39" s="60"/>
      <c r="D39" s="60"/>
      <c r="E39" s="38"/>
      <c r="F39" s="38"/>
      <c r="G39" s="38"/>
      <c r="H39" s="38"/>
      <c r="I39" s="38"/>
      <c r="J39" s="38"/>
      <c r="K39" s="38"/>
      <c r="L39" s="38"/>
      <c r="M39" s="38"/>
      <c r="N39" s="38"/>
      <c r="O39" s="38"/>
    </row>
    <row r="40" spans="1:15" ht="20.25" x14ac:dyDescent="0.25">
      <c r="A40" s="58"/>
      <c r="B40" s="58"/>
      <c r="C40" s="60"/>
      <c r="D40" s="60"/>
      <c r="E40" s="38"/>
      <c r="F40" s="38"/>
      <c r="G40" s="38"/>
      <c r="H40" s="38"/>
      <c r="I40" s="38"/>
      <c r="J40" s="38"/>
      <c r="K40" s="38"/>
      <c r="L40" s="38"/>
      <c r="M40" s="38"/>
      <c r="N40" s="38"/>
      <c r="O40" s="38"/>
    </row>
    <row r="41" spans="1:15" ht="20.25" x14ac:dyDescent="0.25">
      <c r="A41" s="58"/>
      <c r="B41" s="58"/>
      <c r="C41" s="60"/>
      <c r="D41" s="60"/>
      <c r="E41" s="38"/>
      <c r="F41" s="38"/>
      <c r="G41" s="38"/>
      <c r="H41" s="38"/>
      <c r="I41" s="38"/>
      <c r="J41" s="38"/>
      <c r="K41" s="38"/>
      <c r="L41" s="38"/>
      <c r="M41" s="38"/>
      <c r="N41" s="38"/>
      <c r="O41" s="38"/>
    </row>
    <row r="42" spans="1:15" ht="20.25" x14ac:dyDescent="0.25">
      <c r="A42" s="58"/>
      <c r="B42" s="58"/>
      <c r="C42" s="60"/>
      <c r="D42" s="60"/>
      <c r="E42" s="38"/>
      <c r="F42" s="38"/>
      <c r="G42" s="38"/>
      <c r="H42" s="38"/>
      <c r="I42" s="38"/>
      <c r="J42" s="38"/>
      <c r="K42" s="38"/>
      <c r="L42" s="38"/>
      <c r="M42" s="38"/>
      <c r="N42" s="38"/>
      <c r="O42" s="38"/>
    </row>
    <row r="43" spans="1:15" ht="20.25" x14ac:dyDescent="0.25">
      <c r="A43" s="58"/>
      <c r="B43" s="58"/>
      <c r="C43" s="60"/>
      <c r="D43" s="60"/>
      <c r="E43" s="38"/>
      <c r="F43" s="38"/>
      <c r="G43" s="38"/>
      <c r="H43" s="38"/>
      <c r="I43" s="38"/>
      <c r="J43" s="38"/>
      <c r="K43" s="38"/>
      <c r="L43" s="38"/>
      <c r="M43" s="38"/>
      <c r="N43" s="38"/>
      <c r="O43" s="38"/>
    </row>
    <row r="44" spans="1:15" ht="20.25" x14ac:dyDescent="0.25">
      <c r="A44" s="58"/>
      <c r="B44" s="58"/>
      <c r="C44" s="60"/>
      <c r="D44" s="60"/>
      <c r="E44" s="38"/>
      <c r="F44" s="38"/>
      <c r="G44" s="38"/>
      <c r="H44" s="38"/>
      <c r="I44" s="38"/>
      <c r="J44" s="38"/>
      <c r="K44" s="38"/>
      <c r="L44" s="38"/>
      <c r="M44" s="38"/>
      <c r="N44" s="38"/>
      <c r="O44" s="38"/>
    </row>
    <row r="45" spans="1:15" ht="20.25" x14ac:dyDescent="0.25">
      <c r="A45" s="58"/>
      <c r="B45" s="58"/>
      <c r="C45" s="60"/>
      <c r="D45" s="60"/>
      <c r="E45" s="38"/>
      <c r="F45" s="38"/>
      <c r="G45" s="38"/>
      <c r="H45" s="38"/>
      <c r="I45" s="38"/>
      <c r="J45" s="38"/>
      <c r="K45" s="38"/>
      <c r="L45" s="38"/>
      <c r="M45" s="38"/>
      <c r="N45" s="38"/>
      <c r="O45" s="38"/>
    </row>
    <row r="46" spans="1:15" ht="20.25" x14ac:dyDescent="0.25">
      <c r="A46" s="58"/>
      <c r="B46" s="58"/>
      <c r="C46" s="60"/>
      <c r="D46" s="60"/>
      <c r="E46" s="38"/>
      <c r="F46" s="38"/>
      <c r="G46" s="38"/>
      <c r="H46" s="38"/>
      <c r="I46" s="38"/>
      <c r="J46" s="38"/>
      <c r="K46" s="38"/>
      <c r="L46" s="38"/>
      <c r="M46" s="38"/>
      <c r="N46" s="38"/>
      <c r="O46" s="38"/>
    </row>
    <row r="47" spans="1:15" ht="20.25" x14ac:dyDescent="0.25">
      <c r="A47" s="58"/>
      <c r="B47" s="58"/>
      <c r="C47" s="60"/>
      <c r="D47" s="60"/>
      <c r="E47" s="38"/>
      <c r="F47" s="38"/>
      <c r="G47" s="38"/>
      <c r="H47" s="38"/>
      <c r="I47" s="38"/>
      <c r="J47" s="38"/>
      <c r="K47" s="38"/>
      <c r="L47" s="38"/>
      <c r="M47" s="38"/>
      <c r="N47" s="38"/>
      <c r="O47" s="38"/>
    </row>
    <row r="48" spans="1:15" ht="20.25" x14ac:dyDescent="0.25">
      <c r="A48" s="58"/>
      <c r="B48" s="58"/>
      <c r="C48" s="60"/>
      <c r="D48" s="60"/>
      <c r="E48" s="38"/>
      <c r="F48" s="38"/>
      <c r="G48" s="38"/>
      <c r="H48" s="38"/>
      <c r="I48" s="38"/>
      <c r="J48" s="38"/>
      <c r="K48" s="38"/>
      <c r="L48" s="38"/>
      <c r="M48" s="38"/>
      <c r="N48" s="38"/>
      <c r="O48" s="38"/>
    </row>
    <row r="49" spans="1:15" ht="20.25" x14ac:dyDescent="0.25">
      <c r="A49" s="58"/>
      <c r="B49" s="58"/>
      <c r="C49" s="60"/>
      <c r="D49" s="60"/>
      <c r="E49" s="38"/>
      <c r="F49" s="38"/>
      <c r="G49" s="38"/>
      <c r="H49" s="38"/>
      <c r="I49" s="38"/>
      <c r="J49" s="38"/>
      <c r="K49" s="38"/>
      <c r="L49" s="38"/>
      <c r="M49" s="38"/>
      <c r="N49" s="38"/>
      <c r="O49" s="38"/>
    </row>
    <row r="50" spans="1:15" ht="20.25" x14ac:dyDescent="0.25">
      <c r="A50" s="58"/>
      <c r="B50" s="58"/>
      <c r="C50" s="60"/>
      <c r="D50" s="60"/>
      <c r="E50" s="38"/>
      <c r="F50" s="38"/>
      <c r="G50" s="38"/>
      <c r="H50" s="38"/>
      <c r="I50" s="38"/>
      <c r="J50" s="38"/>
      <c r="K50" s="38"/>
      <c r="L50" s="38"/>
      <c r="M50" s="38"/>
      <c r="N50" s="38"/>
      <c r="O50" s="38"/>
    </row>
    <row r="51" spans="1:15" ht="20.25" x14ac:dyDescent="0.25">
      <c r="A51" s="58"/>
      <c r="B51" s="58"/>
      <c r="C51" s="60"/>
      <c r="D51" s="60"/>
      <c r="E51" s="38"/>
      <c r="F51" s="38"/>
      <c r="G51" s="38"/>
      <c r="H51" s="38"/>
      <c r="I51" s="38"/>
      <c r="J51" s="38"/>
      <c r="K51" s="38"/>
      <c r="L51" s="38"/>
      <c r="M51" s="38"/>
      <c r="N51" s="38"/>
      <c r="O51" s="38"/>
    </row>
    <row r="52" spans="1:15" ht="20.25" x14ac:dyDescent="0.25">
      <c r="A52" s="58"/>
      <c r="B52" s="19"/>
      <c r="C52" s="26"/>
      <c r="D52" s="26"/>
    </row>
    <row r="53" spans="1:15" ht="20.25" x14ac:dyDescent="0.25">
      <c r="A53" s="58"/>
      <c r="B53" s="19"/>
      <c r="C53" s="26"/>
      <c r="D53" s="26"/>
    </row>
    <row r="54" spans="1:15" ht="20.25" x14ac:dyDescent="0.25">
      <c r="A54" s="58"/>
      <c r="B54" s="19"/>
      <c r="C54" s="26"/>
      <c r="D54" s="26"/>
    </row>
    <row r="55" spans="1:15" ht="20.25" x14ac:dyDescent="0.25">
      <c r="A55" s="58"/>
      <c r="B55" s="19"/>
      <c r="C55" s="26"/>
      <c r="D55" s="26"/>
    </row>
    <row r="56" spans="1:15" ht="20.25" x14ac:dyDescent="0.25">
      <c r="A56" s="58"/>
      <c r="B56" s="19"/>
      <c r="C56" s="26"/>
      <c r="D56" s="26"/>
    </row>
    <row r="57" spans="1:15" ht="20.25" x14ac:dyDescent="0.25">
      <c r="A57" s="58"/>
      <c r="B57" s="19"/>
      <c r="C57" s="26"/>
      <c r="D57" s="26"/>
    </row>
    <row r="58" spans="1:15" ht="20.25" x14ac:dyDescent="0.25">
      <c r="A58" s="58"/>
      <c r="B58" s="19"/>
      <c r="C58" s="26"/>
      <c r="D58" s="26"/>
    </row>
    <row r="59" spans="1:15" ht="20.25" x14ac:dyDescent="0.25">
      <c r="A59" s="58"/>
      <c r="B59" s="19"/>
      <c r="C59" s="26"/>
      <c r="D59" s="26"/>
    </row>
    <row r="60" spans="1:15" ht="20.25" x14ac:dyDescent="0.25">
      <c r="A60" s="58"/>
      <c r="B60" s="19"/>
      <c r="C60" s="26"/>
      <c r="D60" s="26"/>
    </row>
    <row r="61" spans="1:15" ht="20.25" x14ac:dyDescent="0.25">
      <c r="A61" s="58"/>
      <c r="B61" s="19"/>
      <c r="C61" s="26"/>
      <c r="D61" s="26"/>
    </row>
    <row r="62" spans="1:15" ht="20.25" x14ac:dyDescent="0.25">
      <c r="A62" s="58"/>
      <c r="B62" s="19"/>
      <c r="C62" s="26"/>
      <c r="D62" s="26"/>
    </row>
    <row r="63" spans="1:15" ht="20.25" x14ac:dyDescent="0.25">
      <c r="A63" s="58"/>
      <c r="B63" s="19"/>
      <c r="C63" s="26"/>
      <c r="D63" s="26"/>
    </row>
    <row r="64" spans="1:15" ht="20.25" x14ac:dyDescent="0.25">
      <c r="A64" s="58"/>
      <c r="B64" s="19"/>
      <c r="C64" s="26"/>
      <c r="D64" s="26"/>
    </row>
    <row r="65" spans="1:4" ht="20.25" x14ac:dyDescent="0.25">
      <c r="A65" s="58"/>
      <c r="B65" s="19"/>
      <c r="C65" s="26"/>
      <c r="D65" s="26"/>
    </row>
    <row r="66" spans="1:4" ht="20.25" x14ac:dyDescent="0.25">
      <c r="A66" s="58"/>
      <c r="B66" s="19"/>
      <c r="C66" s="26"/>
      <c r="D66" s="26"/>
    </row>
    <row r="67" spans="1:4" ht="20.25" x14ac:dyDescent="0.25">
      <c r="A67" s="58"/>
      <c r="B67" s="19"/>
      <c r="C67" s="26"/>
      <c r="D67" s="26"/>
    </row>
    <row r="68" spans="1:4" ht="20.25" x14ac:dyDescent="0.25">
      <c r="A68" s="58"/>
      <c r="B68" s="19"/>
      <c r="C68" s="26"/>
      <c r="D68" s="26"/>
    </row>
    <row r="69" spans="1:4" ht="20.25" x14ac:dyDescent="0.25">
      <c r="A69" s="58"/>
      <c r="B69" s="19"/>
      <c r="C69" s="26"/>
      <c r="D69" s="26"/>
    </row>
    <row r="70" spans="1:4" ht="20.25" x14ac:dyDescent="0.25">
      <c r="A70" s="58"/>
      <c r="B70" s="19"/>
      <c r="C70" s="26"/>
      <c r="D70" s="26"/>
    </row>
    <row r="71" spans="1:4" ht="20.25" x14ac:dyDescent="0.25">
      <c r="A71" s="58"/>
      <c r="B71" s="19"/>
      <c r="C71" s="26"/>
      <c r="D71" s="26"/>
    </row>
    <row r="72" spans="1:4" ht="20.25" x14ac:dyDescent="0.25">
      <c r="A72" s="58"/>
      <c r="B72" s="19"/>
      <c r="C72" s="26"/>
      <c r="D72" s="26"/>
    </row>
    <row r="73" spans="1:4" ht="20.25" x14ac:dyDescent="0.25">
      <c r="A73" s="58"/>
      <c r="B73" s="19"/>
      <c r="C73" s="26"/>
      <c r="D73" s="26"/>
    </row>
    <row r="74" spans="1:4" ht="20.25" x14ac:dyDescent="0.25">
      <c r="A74" s="58"/>
      <c r="B74" s="19"/>
      <c r="C74" s="26"/>
      <c r="D74" s="26"/>
    </row>
    <row r="75" spans="1:4" ht="20.25" x14ac:dyDescent="0.25">
      <c r="A75" s="58"/>
      <c r="B75" s="19"/>
      <c r="C75" s="26"/>
      <c r="D75" s="26"/>
    </row>
    <row r="76" spans="1:4" ht="20.25" x14ac:dyDescent="0.25">
      <c r="A76" s="58"/>
      <c r="B76" s="19"/>
      <c r="C76" s="26"/>
      <c r="D76" s="26"/>
    </row>
    <row r="77" spans="1:4" ht="20.25" x14ac:dyDescent="0.25">
      <c r="A77" s="58"/>
      <c r="B77" s="19"/>
      <c r="C77" s="26"/>
      <c r="D77" s="26"/>
    </row>
    <row r="78" spans="1:4" ht="20.25" x14ac:dyDescent="0.25">
      <c r="A78" s="58"/>
      <c r="B78" s="19"/>
      <c r="C78" s="26"/>
      <c r="D78" s="26"/>
    </row>
    <row r="79" spans="1:4" ht="20.25" x14ac:dyDescent="0.25">
      <c r="A79" s="58"/>
      <c r="B79" s="19"/>
      <c r="C79" s="26"/>
      <c r="D79" s="26"/>
    </row>
    <row r="80" spans="1:4" ht="20.25" x14ac:dyDescent="0.25">
      <c r="A80" s="58"/>
      <c r="B80" s="19"/>
      <c r="C80" s="26"/>
      <c r="D80" s="26"/>
    </row>
    <row r="81" spans="1:4" ht="20.25" x14ac:dyDescent="0.25">
      <c r="A81" s="58"/>
      <c r="B81" s="19"/>
      <c r="C81" s="26"/>
      <c r="D81" s="26"/>
    </row>
    <row r="82" spans="1:4" ht="20.25" x14ac:dyDescent="0.25">
      <c r="A82" s="58"/>
      <c r="B82" s="19"/>
      <c r="C82" s="26"/>
      <c r="D82" s="26"/>
    </row>
    <row r="83" spans="1:4" ht="20.25" x14ac:dyDescent="0.25">
      <c r="A83" s="58"/>
      <c r="B83" s="19"/>
      <c r="C83" s="26"/>
      <c r="D83" s="26"/>
    </row>
    <row r="84" spans="1:4" ht="20.25" x14ac:dyDescent="0.25">
      <c r="A84" s="58"/>
      <c r="B84" s="19"/>
      <c r="C84" s="26"/>
      <c r="D84" s="26"/>
    </row>
    <row r="85" spans="1:4" ht="20.25" x14ac:dyDescent="0.25">
      <c r="A85" s="58"/>
      <c r="B85" s="19"/>
      <c r="C85" s="26"/>
      <c r="D85" s="26"/>
    </row>
    <row r="86" spans="1:4" ht="20.25" x14ac:dyDescent="0.25">
      <c r="A86" s="58"/>
      <c r="B86" s="19"/>
      <c r="C86" s="26"/>
      <c r="D86" s="26"/>
    </row>
    <row r="87" spans="1:4" ht="20.25" x14ac:dyDescent="0.25">
      <c r="A87" s="58"/>
      <c r="B87" s="19"/>
      <c r="C87" s="26"/>
      <c r="D87" s="26"/>
    </row>
    <row r="88" spans="1:4" ht="20.25" x14ac:dyDescent="0.25">
      <c r="A88" s="58"/>
      <c r="B88" s="19"/>
      <c r="C88" s="26"/>
      <c r="D88" s="26"/>
    </row>
    <row r="89" spans="1:4" ht="20.25" x14ac:dyDescent="0.25">
      <c r="A89" s="58"/>
      <c r="B89" s="19"/>
      <c r="C89" s="26"/>
      <c r="D89" s="26"/>
    </row>
    <row r="90" spans="1:4" ht="20.25" x14ac:dyDescent="0.25">
      <c r="A90" s="58"/>
      <c r="B90" s="19"/>
      <c r="C90" s="26"/>
      <c r="D90" s="26"/>
    </row>
    <row r="91" spans="1:4" ht="20.25" x14ac:dyDescent="0.25">
      <c r="A91" s="58"/>
      <c r="B91" s="19"/>
      <c r="C91" s="26"/>
      <c r="D91" s="26"/>
    </row>
    <row r="92" spans="1:4" ht="20.25" x14ac:dyDescent="0.25">
      <c r="A92" s="58"/>
      <c r="B92" s="19"/>
      <c r="C92" s="26"/>
      <c r="D92" s="26"/>
    </row>
    <row r="93" spans="1:4" ht="20.25" x14ac:dyDescent="0.25">
      <c r="A93" s="58"/>
      <c r="B93" s="19"/>
      <c r="C93" s="26"/>
      <c r="D93" s="26"/>
    </row>
    <row r="94" spans="1:4" ht="20.25" x14ac:dyDescent="0.25">
      <c r="A94" s="58"/>
      <c r="B94" s="19"/>
      <c r="C94" s="26"/>
      <c r="D94" s="26"/>
    </row>
    <row r="95" spans="1:4" ht="20.25" x14ac:dyDescent="0.25">
      <c r="A95" s="58"/>
      <c r="B95" s="19"/>
      <c r="C95" s="26"/>
      <c r="D95" s="26"/>
    </row>
    <row r="96" spans="1:4" ht="20.25" x14ac:dyDescent="0.25">
      <c r="A96" s="58"/>
      <c r="B96" s="19"/>
      <c r="C96" s="26"/>
      <c r="D96" s="26"/>
    </row>
    <row r="97" spans="1:4" ht="20.25" x14ac:dyDescent="0.25">
      <c r="A97" s="58"/>
      <c r="B97" s="19"/>
      <c r="C97" s="26"/>
      <c r="D97" s="26"/>
    </row>
    <row r="98" spans="1:4" ht="20.25" x14ac:dyDescent="0.25">
      <c r="A98" s="58"/>
      <c r="B98" s="19"/>
      <c r="C98" s="26"/>
      <c r="D98" s="26"/>
    </row>
    <row r="99" spans="1:4" ht="20.25" x14ac:dyDescent="0.25">
      <c r="A99" s="58"/>
      <c r="B99" s="19"/>
      <c r="C99" s="26"/>
      <c r="D99" s="26"/>
    </row>
    <row r="100" spans="1:4" ht="20.25" x14ac:dyDescent="0.25">
      <c r="A100" s="58"/>
      <c r="B100" s="19"/>
      <c r="C100" s="26"/>
      <c r="D100" s="26"/>
    </row>
    <row r="101" spans="1:4" ht="20.25" x14ac:dyDescent="0.25">
      <c r="A101" s="58"/>
      <c r="B101" s="19"/>
      <c r="C101" s="26"/>
      <c r="D101" s="26"/>
    </row>
    <row r="102" spans="1:4" ht="20.25" x14ac:dyDescent="0.25">
      <c r="A102" s="58"/>
      <c r="B102" s="19"/>
      <c r="C102" s="26"/>
      <c r="D102" s="26"/>
    </row>
    <row r="103" spans="1:4" ht="20.25" x14ac:dyDescent="0.25">
      <c r="A103" s="58"/>
      <c r="B103" s="19"/>
      <c r="C103" s="26"/>
      <c r="D103" s="26"/>
    </row>
    <row r="104" spans="1:4" ht="20.25" x14ac:dyDescent="0.25">
      <c r="A104" s="58"/>
      <c r="B104" s="19"/>
      <c r="C104" s="26"/>
      <c r="D104" s="26"/>
    </row>
    <row r="105" spans="1:4" ht="20.25" x14ac:dyDescent="0.25">
      <c r="A105" s="58"/>
      <c r="B105" s="19"/>
      <c r="C105" s="26"/>
      <c r="D105" s="26"/>
    </row>
    <row r="106" spans="1:4" ht="20.25" x14ac:dyDescent="0.25">
      <c r="A106" s="58"/>
      <c r="B106" s="19"/>
      <c r="C106" s="26"/>
      <c r="D106" s="26"/>
    </row>
    <row r="107" spans="1:4" ht="20.25" x14ac:dyDescent="0.25">
      <c r="A107" s="58"/>
      <c r="B107" s="19"/>
      <c r="C107" s="26"/>
      <c r="D107" s="26"/>
    </row>
    <row r="108" spans="1:4" ht="20.25" x14ac:dyDescent="0.25">
      <c r="A108" s="58"/>
      <c r="B108" s="19"/>
      <c r="C108" s="26"/>
      <c r="D108" s="26"/>
    </row>
    <row r="109" spans="1:4" ht="20.25" x14ac:dyDescent="0.25">
      <c r="A109" s="58"/>
      <c r="B109" s="19"/>
      <c r="C109" s="26"/>
      <c r="D109" s="26"/>
    </row>
    <row r="110" spans="1:4" ht="20.25" x14ac:dyDescent="0.25">
      <c r="A110" s="58"/>
      <c r="B110" s="19"/>
      <c r="C110" s="26"/>
      <c r="D110" s="26"/>
    </row>
    <row r="111" spans="1:4" ht="20.25" x14ac:dyDescent="0.25">
      <c r="A111" s="58"/>
      <c r="B111" s="19"/>
      <c r="C111" s="26"/>
      <c r="D111" s="26"/>
    </row>
    <row r="112" spans="1:4" ht="20.25" x14ac:dyDescent="0.25">
      <c r="A112" s="58"/>
      <c r="B112" s="19"/>
      <c r="C112" s="26"/>
      <c r="D112" s="26"/>
    </row>
    <row r="113" spans="1:4" ht="20.25" x14ac:dyDescent="0.25">
      <c r="A113" s="58"/>
      <c r="B113" s="19"/>
      <c r="C113" s="26"/>
      <c r="D113" s="26"/>
    </row>
    <row r="114" spans="1:4" ht="20.25" x14ac:dyDescent="0.25">
      <c r="A114" s="58"/>
      <c r="B114" s="19"/>
      <c r="C114" s="26"/>
      <c r="D114" s="26"/>
    </row>
    <row r="115" spans="1:4" ht="20.25" x14ac:dyDescent="0.25">
      <c r="A115" s="58"/>
      <c r="B115" s="19"/>
      <c r="C115" s="26"/>
      <c r="D115" s="26"/>
    </row>
    <row r="116" spans="1:4" ht="20.25" x14ac:dyDescent="0.25">
      <c r="A116" s="58"/>
      <c r="B116" s="19"/>
      <c r="C116" s="26"/>
      <c r="D116" s="26"/>
    </row>
    <row r="117" spans="1:4" ht="20.25" x14ac:dyDescent="0.25">
      <c r="A117" s="58"/>
      <c r="B117" s="19"/>
      <c r="C117" s="26"/>
      <c r="D117" s="26"/>
    </row>
    <row r="118" spans="1:4" ht="20.25" x14ac:dyDescent="0.25">
      <c r="A118" s="58"/>
      <c r="B118" s="19"/>
      <c r="C118" s="26"/>
      <c r="D118" s="26"/>
    </row>
    <row r="119" spans="1:4" ht="20.25" x14ac:dyDescent="0.25">
      <c r="A119" s="58"/>
      <c r="B119" s="19"/>
      <c r="C119" s="26"/>
      <c r="D119" s="26"/>
    </row>
    <row r="120" spans="1:4" ht="20.25" x14ac:dyDescent="0.25">
      <c r="A120" s="58"/>
      <c r="B120" s="19"/>
      <c r="C120" s="26"/>
      <c r="D120" s="26"/>
    </row>
    <row r="121" spans="1:4" ht="20.25" x14ac:dyDescent="0.25">
      <c r="A121" s="58"/>
      <c r="B121" s="19"/>
      <c r="C121" s="26"/>
      <c r="D121" s="26"/>
    </row>
    <row r="122" spans="1:4" ht="20.25" x14ac:dyDescent="0.25">
      <c r="A122" s="58"/>
      <c r="B122" s="19"/>
      <c r="C122" s="26"/>
      <c r="D122" s="26"/>
    </row>
    <row r="123" spans="1:4" ht="20.25" x14ac:dyDescent="0.25">
      <c r="A123" s="58"/>
      <c r="B123" s="19"/>
      <c r="C123" s="26"/>
      <c r="D123" s="26"/>
    </row>
    <row r="124" spans="1:4" ht="20.25" x14ac:dyDescent="0.25">
      <c r="A124" s="58"/>
      <c r="B124" s="19"/>
      <c r="C124" s="26"/>
      <c r="D124" s="26"/>
    </row>
    <row r="125" spans="1:4" ht="20.25" x14ac:dyDescent="0.25">
      <c r="A125" s="58"/>
      <c r="B125" s="19"/>
      <c r="C125" s="26"/>
      <c r="D125" s="26"/>
    </row>
    <row r="126" spans="1:4" ht="20.25" x14ac:dyDescent="0.25">
      <c r="A126" s="58"/>
      <c r="B126" s="19"/>
      <c r="C126" s="26"/>
      <c r="D126" s="26"/>
    </row>
    <row r="127" spans="1:4" ht="20.25" x14ac:dyDescent="0.25">
      <c r="A127" s="58"/>
      <c r="B127" s="19"/>
      <c r="C127" s="26"/>
      <c r="D127" s="26"/>
    </row>
    <row r="128" spans="1:4" ht="20.25" x14ac:dyDescent="0.25">
      <c r="A128" s="58"/>
      <c r="B128" s="19"/>
      <c r="C128" s="26"/>
      <c r="D128" s="26"/>
    </row>
    <row r="129" spans="1:4" ht="20.25" x14ac:dyDescent="0.25">
      <c r="A129" s="58"/>
      <c r="B129" s="19"/>
      <c r="C129" s="26"/>
      <c r="D129" s="26"/>
    </row>
    <row r="130" spans="1:4" ht="20.25" x14ac:dyDescent="0.25">
      <c r="A130" s="58"/>
      <c r="B130" s="19"/>
      <c r="C130" s="26"/>
      <c r="D130" s="26"/>
    </row>
    <row r="131" spans="1:4" ht="20.25" x14ac:dyDescent="0.25">
      <c r="A131" s="58"/>
      <c r="B131" s="19"/>
      <c r="C131" s="26"/>
      <c r="D131" s="26"/>
    </row>
    <row r="132" spans="1:4" ht="20.25" x14ac:dyDescent="0.25">
      <c r="A132" s="58"/>
      <c r="B132" s="19"/>
      <c r="C132" s="26"/>
      <c r="D132" s="26"/>
    </row>
    <row r="133" spans="1:4" ht="20.25" x14ac:dyDescent="0.25">
      <c r="A133" s="58"/>
      <c r="B133" s="19"/>
      <c r="C133" s="26"/>
      <c r="D133" s="26"/>
    </row>
    <row r="134" spans="1:4" ht="20.25" x14ac:dyDescent="0.25">
      <c r="A134" s="58"/>
      <c r="B134" s="19"/>
      <c r="C134" s="26"/>
      <c r="D134" s="26"/>
    </row>
    <row r="135" spans="1:4" ht="20.25" x14ac:dyDescent="0.25">
      <c r="A135" s="58"/>
      <c r="B135" s="19"/>
      <c r="C135" s="26"/>
      <c r="D135" s="26"/>
    </row>
    <row r="136" spans="1:4" ht="20.25" x14ac:dyDescent="0.25">
      <c r="A136" s="58"/>
      <c r="B136" s="19"/>
      <c r="C136" s="26"/>
      <c r="D136" s="26"/>
    </row>
    <row r="137" spans="1:4" ht="20.25" x14ac:dyDescent="0.25">
      <c r="A137" s="58"/>
      <c r="B137" s="19"/>
      <c r="C137" s="26"/>
      <c r="D137" s="26"/>
    </row>
    <row r="138" spans="1:4" ht="20.25" x14ac:dyDescent="0.25">
      <c r="A138" s="58"/>
      <c r="B138" s="19"/>
      <c r="C138" s="26"/>
      <c r="D138" s="26"/>
    </row>
    <row r="139" spans="1:4" ht="20.25" x14ac:dyDescent="0.25">
      <c r="A139" s="58"/>
      <c r="B139" s="19"/>
      <c r="C139" s="26"/>
      <c r="D139" s="26"/>
    </row>
    <row r="140" spans="1:4" ht="20.25" x14ac:dyDescent="0.25">
      <c r="A140" s="58"/>
      <c r="B140" s="19"/>
      <c r="C140" s="26"/>
      <c r="D140" s="26"/>
    </row>
    <row r="141" spans="1:4" ht="20.25" x14ac:dyDescent="0.25">
      <c r="A141" s="58"/>
      <c r="B141" s="19"/>
      <c r="C141" s="26"/>
      <c r="D141" s="26"/>
    </row>
    <row r="142" spans="1:4" ht="20.25" x14ac:dyDescent="0.25">
      <c r="A142" s="58"/>
      <c r="B142" s="19"/>
      <c r="C142" s="26"/>
      <c r="D142" s="26"/>
    </row>
    <row r="143" spans="1:4" ht="20.25" x14ac:dyDescent="0.25">
      <c r="A143" s="58"/>
      <c r="B143" s="19"/>
      <c r="C143" s="26"/>
      <c r="D143" s="26"/>
    </row>
    <row r="144" spans="1:4" ht="20.25" x14ac:dyDescent="0.25">
      <c r="A144" s="58"/>
      <c r="B144" s="19"/>
      <c r="C144" s="26"/>
      <c r="D144" s="26"/>
    </row>
    <row r="145" spans="1:4" ht="20.25" x14ac:dyDescent="0.25">
      <c r="A145" s="58"/>
      <c r="B145" s="19"/>
      <c r="C145" s="26"/>
      <c r="D145" s="26"/>
    </row>
    <row r="146" spans="1:4" ht="20.25" x14ac:dyDescent="0.25">
      <c r="A146" s="58"/>
      <c r="B146" s="19"/>
      <c r="C146" s="26"/>
      <c r="D146" s="26"/>
    </row>
    <row r="147" spans="1:4" ht="20.25" x14ac:dyDescent="0.25">
      <c r="A147" s="58"/>
      <c r="B147" s="19"/>
      <c r="C147" s="26"/>
      <c r="D147" s="26"/>
    </row>
    <row r="148" spans="1:4" ht="20.25" x14ac:dyDescent="0.25">
      <c r="A148" s="58"/>
      <c r="B148" s="19"/>
      <c r="C148" s="26"/>
      <c r="D148" s="26"/>
    </row>
    <row r="149" spans="1:4" ht="20.25" x14ac:dyDescent="0.25">
      <c r="A149" s="58"/>
      <c r="B149" s="19"/>
      <c r="C149" s="26"/>
      <c r="D149" s="26"/>
    </row>
    <row r="150" spans="1:4" ht="20.25" x14ac:dyDescent="0.25">
      <c r="A150" s="58"/>
      <c r="B150" s="19"/>
      <c r="C150" s="26"/>
      <c r="D150" s="26"/>
    </row>
    <row r="151" spans="1:4" ht="20.25" x14ac:dyDescent="0.25">
      <c r="A151" s="58"/>
      <c r="B151" s="19"/>
      <c r="C151" s="26"/>
      <c r="D151" s="26"/>
    </row>
    <row r="152" spans="1:4" ht="20.25" x14ac:dyDescent="0.25">
      <c r="A152" s="58"/>
      <c r="B152" s="19"/>
      <c r="C152" s="26"/>
      <c r="D152" s="26"/>
    </row>
    <row r="153" spans="1:4" ht="20.25" x14ac:dyDescent="0.25">
      <c r="A153" s="58"/>
      <c r="B153" s="19"/>
      <c r="C153" s="26"/>
      <c r="D153" s="26"/>
    </row>
    <row r="154" spans="1:4" ht="20.25" x14ac:dyDescent="0.25">
      <c r="A154" s="58"/>
      <c r="B154" s="19"/>
      <c r="C154" s="26"/>
      <c r="D154" s="26"/>
    </row>
    <row r="155" spans="1:4" ht="20.25" x14ac:dyDescent="0.25">
      <c r="A155" s="58"/>
      <c r="B155" s="19"/>
      <c r="C155" s="26"/>
      <c r="D155" s="26"/>
    </row>
    <row r="156" spans="1:4" ht="20.25" x14ac:dyDescent="0.25">
      <c r="A156" s="58"/>
      <c r="B156" s="19"/>
      <c r="C156" s="26"/>
      <c r="D156" s="26"/>
    </row>
    <row r="157" spans="1:4" ht="20.25" x14ac:dyDescent="0.25">
      <c r="A157" s="58"/>
      <c r="B157" s="19"/>
      <c r="C157" s="26"/>
      <c r="D157" s="26"/>
    </row>
    <row r="158" spans="1:4" ht="20.25" x14ac:dyDescent="0.25">
      <c r="A158" s="58"/>
      <c r="B158" s="19"/>
      <c r="C158" s="26"/>
      <c r="D158" s="26"/>
    </row>
    <row r="159" spans="1:4" ht="20.25" x14ac:dyDescent="0.25">
      <c r="A159" s="58"/>
      <c r="B159" s="19"/>
      <c r="C159" s="26"/>
      <c r="D159" s="26"/>
    </row>
    <row r="160" spans="1:4" ht="20.25" x14ac:dyDescent="0.25">
      <c r="A160" s="58"/>
      <c r="B160" s="19"/>
      <c r="C160" s="26"/>
      <c r="D160" s="26"/>
    </row>
    <row r="161" spans="1:4" ht="20.25" x14ac:dyDescent="0.25">
      <c r="A161" s="58"/>
      <c r="B161" s="19"/>
      <c r="C161" s="26"/>
      <c r="D161" s="26"/>
    </row>
    <row r="162" spans="1:4" ht="20.25" x14ac:dyDescent="0.25">
      <c r="A162" s="58"/>
      <c r="B162" s="19"/>
      <c r="C162" s="26"/>
      <c r="D162" s="26"/>
    </row>
    <row r="163" spans="1:4" ht="20.25" x14ac:dyDescent="0.25">
      <c r="A163" s="58"/>
      <c r="B163" s="19"/>
      <c r="C163" s="26"/>
      <c r="D163" s="26"/>
    </row>
    <row r="164" spans="1:4" ht="20.25" x14ac:dyDescent="0.25">
      <c r="A164" s="58"/>
      <c r="B164" s="19"/>
      <c r="C164" s="26"/>
      <c r="D164" s="26"/>
    </row>
    <row r="165" spans="1:4" ht="20.25" x14ac:dyDescent="0.25">
      <c r="A165" s="58"/>
      <c r="B165" s="19"/>
      <c r="C165" s="26"/>
      <c r="D165" s="26"/>
    </row>
    <row r="166" spans="1:4" ht="20.25" x14ac:dyDescent="0.25">
      <c r="A166" s="58"/>
      <c r="B166" s="19"/>
      <c r="C166" s="26"/>
      <c r="D166" s="26"/>
    </row>
    <row r="167" spans="1:4" ht="20.25" x14ac:dyDescent="0.25">
      <c r="A167" s="58"/>
      <c r="B167" s="19"/>
      <c r="C167" s="26"/>
      <c r="D167" s="26"/>
    </row>
    <row r="168" spans="1:4" ht="20.25" x14ac:dyDescent="0.25">
      <c r="A168" s="58"/>
      <c r="B168" s="19"/>
      <c r="C168" s="26"/>
      <c r="D168" s="26"/>
    </row>
    <row r="169" spans="1:4" ht="20.25" x14ac:dyDescent="0.25">
      <c r="A169" s="58"/>
      <c r="B169" s="19"/>
      <c r="C169" s="26"/>
      <c r="D169" s="26"/>
    </row>
    <row r="170" spans="1:4" ht="20.25" x14ac:dyDescent="0.25">
      <c r="A170" s="58"/>
      <c r="B170" s="19"/>
      <c r="C170" s="26"/>
      <c r="D170" s="26"/>
    </row>
    <row r="171" spans="1:4" ht="20.25" x14ac:dyDescent="0.25">
      <c r="A171" s="58"/>
      <c r="B171" s="19"/>
      <c r="C171" s="26"/>
      <c r="D171" s="26"/>
    </row>
    <row r="172" spans="1:4" ht="20.25" x14ac:dyDescent="0.25">
      <c r="A172" s="58"/>
      <c r="B172" s="19"/>
      <c r="C172" s="26"/>
      <c r="D172" s="26"/>
    </row>
    <row r="173" spans="1:4" ht="20.25" x14ac:dyDescent="0.25">
      <c r="A173" s="58"/>
      <c r="B173" s="19"/>
      <c r="C173" s="26"/>
      <c r="D173" s="26"/>
    </row>
    <row r="174" spans="1:4" ht="20.25" x14ac:dyDescent="0.25">
      <c r="A174" s="58"/>
      <c r="B174" s="19"/>
      <c r="C174" s="26"/>
      <c r="D174" s="26"/>
    </row>
    <row r="175" spans="1:4" ht="20.25" x14ac:dyDescent="0.25">
      <c r="A175" s="58"/>
      <c r="B175" s="19"/>
      <c r="C175" s="26"/>
      <c r="D175" s="26"/>
    </row>
    <row r="176" spans="1:4" ht="20.25" x14ac:dyDescent="0.25">
      <c r="A176" s="58"/>
      <c r="B176" s="19"/>
      <c r="C176" s="26"/>
      <c r="D176" s="26"/>
    </row>
    <row r="177" spans="1:4" ht="20.25" x14ac:dyDescent="0.25">
      <c r="A177" s="58"/>
      <c r="B177" s="19"/>
      <c r="C177" s="26"/>
      <c r="D177" s="26"/>
    </row>
    <row r="178" spans="1:4" ht="20.25" x14ac:dyDescent="0.25">
      <c r="A178" s="58"/>
      <c r="B178" s="19"/>
      <c r="C178" s="26"/>
      <c r="D178" s="26"/>
    </row>
    <row r="179" spans="1:4" ht="20.25" x14ac:dyDescent="0.25">
      <c r="A179" s="58"/>
      <c r="B179" s="19"/>
      <c r="C179" s="26"/>
      <c r="D179" s="26"/>
    </row>
    <row r="180" spans="1:4" ht="20.25" x14ac:dyDescent="0.25">
      <c r="A180" s="58"/>
      <c r="B180" s="19"/>
      <c r="C180" s="26"/>
      <c r="D180" s="26"/>
    </row>
    <row r="181" spans="1:4" ht="20.25" x14ac:dyDescent="0.25">
      <c r="A181" s="58"/>
      <c r="B181" s="19"/>
      <c r="C181" s="26"/>
      <c r="D181" s="26"/>
    </row>
    <row r="182" spans="1:4" ht="20.25" x14ac:dyDescent="0.25">
      <c r="A182" s="58"/>
      <c r="B182" s="19"/>
      <c r="C182" s="26"/>
      <c r="D182" s="26"/>
    </row>
    <row r="183" spans="1:4" ht="20.25" x14ac:dyDescent="0.25">
      <c r="A183" s="58"/>
      <c r="B183" s="19"/>
      <c r="C183" s="26"/>
      <c r="D183" s="26"/>
    </row>
    <row r="184" spans="1:4" ht="20.25" x14ac:dyDescent="0.25">
      <c r="A184" s="58"/>
      <c r="B184" s="19"/>
      <c r="C184" s="26"/>
      <c r="D184" s="26"/>
    </row>
    <row r="185" spans="1:4" ht="20.25" x14ac:dyDescent="0.25">
      <c r="A185" s="58"/>
      <c r="B185" s="19"/>
      <c r="C185" s="26"/>
      <c r="D185" s="26"/>
    </row>
    <row r="186" spans="1:4" ht="20.25" x14ac:dyDescent="0.25">
      <c r="A186" s="58"/>
      <c r="B186" s="19"/>
      <c r="C186" s="26"/>
      <c r="D186" s="26"/>
    </row>
    <row r="187" spans="1:4" ht="20.25" x14ac:dyDescent="0.25">
      <c r="A187" s="58"/>
      <c r="B187" s="19"/>
      <c r="C187" s="26"/>
      <c r="D187" s="26"/>
    </row>
    <row r="188" spans="1:4" ht="20.25" x14ac:dyDescent="0.25">
      <c r="A188" s="58"/>
      <c r="B188" s="19"/>
      <c r="C188" s="26"/>
      <c r="D188" s="26"/>
    </row>
    <row r="189" spans="1:4" ht="20.25" x14ac:dyDescent="0.25">
      <c r="A189" s="58"/>
      <c r="B189" s="19"/>
      <c r="C189" s="26"/>
      <c r="D189" s="26"/>
    </row>
    <row r="190" spans="1:4" ht="20.25" x14ac:dyDescent="0.25">
      <c r="A190" s="58"/>
      <c r="B190" s="19"/>
      <c r="C190" s="26"/>
      <c r="D190" s="26"/>
    </row>
    <row r="191" spans="1:4" ht="20.25" x14ac:dyDescent="0.25">
      <c r="A191" s="58"/>
      <c r="B191" s="19"/>
      <c r="C191" s="26"/>
      <c r="D191" s="26"/>
    </row>
    <row r="192" spans="1:4" ht="20.25" x14ac:dyDescent="0.25">
      <c r="A192" s="58"/>
      <c r="B192" s="19"/>
      <c r="C192" s="26"/>
      <c r="D192" s="26"/>
    </row>
    <row r="193" spans="1:4" ht="20.25" x14ac:dyDescent="0.25">
      <c r="A193" s="58"/>
      <c r="B193" s="19"/>
      <c r="C193" s="26"/>
      <c r="D193" s="26"/>
    </row>
    <row r="194" spans="1:4" ht="20.25" x14ac:dyDescent="0.25">
      <c r="A194" s="58"/>
      <c r="B194" s="19"/>
      <c r="C194" s="26"/>
      <c r="D194" s="26"/>
    </row>
    <row r="195" spans="1:4" ht="20.25" x14ac:dyDescent="0.25">
      <c r="A195" s="58"/>
      <c r="B195" s="19"/>
      <c r="C195" s="26"/>
      <c r="D195" s="26"/>
    </row>
    <row r="196" spans="1:4" ht="20.25" x14ac:dyDescent="0.25">
      <c r="A196" s="58"/>
      <c r="B196" s="19"/>
      <c r="C196" s="26"/>
      <c r="D196" s="26"/>
    </row>
    <row r="197" spans="1:4" ht="20.25" x14ac:dyDescent="0.25">
      <c r="A197" s="58"/>
      <c r="B197" s="19"/>
      <c r="C197" s="26"/>
      <c r="D197" s="26"/>
    </row>
    <row r="198" spans="1:4" ht="20.25" x14ac:dyDescent="0.25">
      <c r="A198" s="58"/>
      <c r="B198" s="19"/>
      <c r="C198" s="26"/>
      <c r="D198" s="26"/>
    </row>
    <row r="199" spans="1:4" ht="20.25" x14ac:dyDescent="0.25">
      <c r="A199" s="58"/>
      <c r="B199" s="19"/>
      <c r="C199" s="26"/>
      <c r="D199" s="26"/>
    </row>
    <row r="200" spans="1:4" ht="20.25" x14ac:dyDescent="0.25">
      <c r="A200" s="58"/>
      <c r="B200" s="19"/>
      <c r="C200" s="26"/>
      <c r="D200" s="26"/>
    </row>
    <row r="201" spans="1:4" ht="20.25" x14ac:dyDescent="0.25">
      <c r="A201" s="58"/>
      <c r="B201" s="19"/>
      <c r="C201" s="26"/>
      <c r="D201" s="26"/>
    </row>
    <row r="202" spans="1:4" ht="20.25" x14ac:dyDescent="0.25">
      <c r="A202" s="58"/>
      <c r="B202" s="19"/>
      <c r="C202" s="26"/>
      <c r="D202" s="26"/>
    </row>
    <row r="203" spans="1:4" ht="20.25" x14ac:dyDescent="0.25">
      <c r="A203" s="58"/>
      <c r="B203" s="19"/>
      <c r="C203" s="26"/>
      <c r="D203" s="26"/>
    </row>
    <row r="204" spans="1:4" ht="20.25" x14ac:dyDescent="0.25">
      <c r="A204" s="58"/>
      <c r="B204" s="19"/>
      <c r="C204" s="26"/>
      <c r="D204" s="26"/>
    </row>
    <row r="205" spans="1:4" ht="20.25" x14ac:dyDescent="0.25">
      <c r="A205" s="58"/>
      <c r="B205" s="19"/>
      <c r="C205" s="26"/>
      <c r="D205" s="26"/>
    </row>
    <row r="206" spans="1:4" ht="20.25" x14ac:dyDescent="0.25">
      <c r="A206" s="58"/>
      <c r="B206" s="19"/>
      <c r="C206" s="26"/>
      <c r="D206" s="26"/>
    </row>
    <row r="207" spans="1:4" ht="20.25" x14ac:dyDescent="0.25">
      <c r="A207" s="58"/>
      <c r="B207" s="19"/>
      <c r="C207" s="26"/>
      <c r="D207" s="26"/>
    </row>
    <row r="208" spans="1:4" x14ac:dyDescent="0.25">
      <c r="A208" s="38"/>
      <c r="B208" s="19"/>
      <c r="C208" s="19"/>
      <c r="D208" s="19"/>
    </row>
    <row r="209" spans="1:8" ht="20.25" x14ac:dyDescent="0.25">
      <c r="A209" s="38"/>
      <c r="B209" s="22" t="s">
        <v>81</v>
      </c>
      <c r="C209" s="22" t="s">
        <v>129</v>
      </c>
      <c r="D209" s="25" t="s">
        <v>81</v>
      </c>
      <c r="E209" s="25" t="s">
        <v>129</v>
      </c>
    </row>
    <row r="210" spans="1:8" ht="21" x14ac:dyDescent="0.35">
      <c r="A210" s="38"/>
      <c r="B210" s="23" t="s">
        <v>83</v>
      </c>
      <c r="C210" s="23" t="s">
        <v>52</v>
      </c>
      <c r="D210" t="s">
        <v>83</v>
      </c>
      <c r="F210" t="str">
        <f t="shared" ref="F210:F221" si="0">IF(NOT(ISBLANK(D210)),D210,IF(NOT(ISBLANK(E210))," "&amp;E210,FALSE))</f>
        <v>Afectación Económica o presupuestal</v>
      </c>
      <c r="G210" t="s">
        <v>83</v>
      </c>
      <c r="H210" t="str">
        <f ca="1">IF(NOT(ISERROR(MATCH(G210,_xlfn.ANCHORARRAY(B221),0))),F223&amp;"Por favor no seleccionar los criterios de impacto",G210)</f>
        <v>Afectación Económica o presupuestal</v>
      </c>
    </row>
    <row r="211" spans="1:8" ht="21" x14ac:dyDescent="0.35">
      <c r="A211" s="38"/>
      <c r="B211" s="23" t="s">
        <v>83</v>
      </c>
      <c r="C211" s="23" t="s">
        <v>86</v>
      </c>
      <c r="E211" t="s">
        <v>52</v>
      </c>
      <c r="F211" t="str">
        <f t="shared" si="0"/>
        <v xml:space="preserve"> Afectación menor a 10 SMLMV .</v>
      </c>
    </row>
    <row r="212" spans="1:8" ht="21" x14ac:dyDescent="0.35">
      <c r="A212" s="38"/>
      <c r="B212" s="23" t="s">
        <v>83</v>
      </c>
      <c r="C212" s="23" t="s">
        <v>87</v>
      </c>
      <c r="E212" t="s">
        <v>86</v>
      </c>
      <c r="F212" t="str">
        <f t="shared" si="0"/>
        <v xml:space="preserve"> Entre 10 y 50 SMLMV </v>
      </c>
    </row>
    <row r="213" spans="1:8" ht="21" x14ac:dyDescent="0.35">
      <c r="A213" s="38"/>
      <c r="B213" s="23" t="s">
        <v>83</v>
      </c>
      <c r="C213" s="23" t="s">
        <v>88</v>
      </c>
      <c r="E213" t="s">
        <v>87</v>
      </c>
      <c r="F213" t="str">
        <f t="shared" si="0"/>
        <v xml:space="preserve"> Entre 50 y 100 SMLMV </v>
      </c>
    </row>
    <row r="214" spans="1:8" ht="21" x14ac:dyDescent="0.35">
      <c r="A214" s="38"/>
      <c r="B214" s="23" t="s">
        <v>83</v>
      </c>
      <c r="C214" s="23" t="s">
        <v>89</v>
      </c>
      <c r="E214" t="s">
        <v>88</v>
      </c>
      <c r="F214" t="str">
        <f t="shared" si="0"/>
        <v xml:space="preserve"> Entre 100 y 500 SMLMV </v>
      </c>
    </row>
    <row r="215" spans="1:8" ht="21" x14ac:dyDescent="0.35">
      <c r="A215" s="38"/>
      <c r="B215" s="23" t="s">
        <v>51</v>
      </c>
      <c r="C215" s="23" t="s">
        <v>90</v>
      </c>
      <c r="E215" t="s">
        <v>89</v>
      </c>
      <c r="F215" t="str">
        <f t="shared" si="0"/>
        <v xml:space="preserve"> Mayor a 500 SMLMV </v>
      </c>
    </row>
    <row r="216" spans="1:8" ht="21" x14ac:dyDescent="0.35">
      <c r="A216" s="38"/>
      <c r="B216" s="23" t="s">
        <v>51</v>
      </c>
      <c r="C216" s="23" t="s">
        <v>254</v>
      </c>
      <c r="D216" t="s">
        <v>51</v>
      </c>
      <c r="F216" t="str">
        <f t="shared" si="0"/>
        <v>Pérdida Reputacional</v>
      </c>
    </row>
    <row r="217" spans="1:8" ht="21" x14ac:dyDescent="0.35">
      <c r="A217" s="38"/>
      <c r="B217" s="23" t="s">
        <v>51</v>
      </c>
      <c r="C217" s="23" t="s">
        <v>91</v>
      </c>
      <c r="E217" t="s">
        <v>90</v>
      </c>
      <c r="F217" t="str">
        <f t="shared" si="0"/>
        <v xml:space="preserve"> El riesgo afecta la imagen de alguna área de la organización</v>
      </c>
    </row>
    <row r="218" spans="1:8" ht="21" x14ac:dyDescent="0.35">
      <c r="A218" s="38"/>
      <c r="B218" s="23" t="s">
        <v>51</v>
      </c>
      <c r="C218" s="23" t="s">
        <v>256</v>
      </c>
      <c r="E218" t="s">
        <v>254</v>
      </c>
      <c r="F218" t="str">
        <f t="shared" si="0"/>
        <v xml:space="preserve"> El riesgo afecta la imagen de la entidad internamente, de conocimiento general, nivel interno, de junta directiva y accionistas y/o de proveedores</v>
      </c>
    </row>
    <row r="219" spans="1:8" ht="21" x14ac:dyDescent="0.35">
      <c r="A219" s="38"/>
      <c r="B219" s="23" t="s">
        <v>51</v>
      </c>
      <c r="C219" s="23" t="s">
        <v>109</v>
      </c>
      <c r="E219" t="s">
        <v>91</v>
      </c>
      <c r="F219" t="str">
        <f t="shared" si="0"/>
        <v xml:space="preserve"> El riesgo afecta la imagen de la entidad con algunos usuarios de relevancia frente al logro de los objetivos</v>
      </c>
    </row>
    <row r="220" spans="1:8" x14ac:dyDescent="0.25">
      <c r="A220" s="38"/>
      <c r="B220" s="24"/>
      <c r="C220" s="24"/>
      <c r="E220" t="s">
        <v>256</v>
      </c>
      <c r="F220" t="str">
        <f t="shared" si="0"/>
        <v xml:space="preserve"> El riesgo afecta la imagen de la entidad con efecto publicitario sostenido a nivel de sector administrativo, nivel departamental o municipal</v>
      </c>
    </row>
    <row r="221" spans="1:8" x14ac:dyDescent="0.25">
      <c r="A221" s="38"/>
      <c r="B221" s="24" t="e">
        <f t="array" aca="1" ref="B221:B223" ca="1">_xlfn.UNIQUE(Tabla1[[#All],[Criterios]])</f>
        <v>#NAME?</v>
      </c>
      <c r="C221" s="24"/>
      <c r="E221" t="s">
        <v>109</v>
      </c>
      <c r="F221" t="str">
        <f t="shared" si="0"/>
        <v xml:space="preserve"> El riesgo afecta la imagen de la entidad a nivel nacional, con efecto publicitarios sostenible a nivel país</v>
      </c>
    </row>
    <row r="222" spans="1:8" x14ac:dyDescent="0.25">
      <c r="A222" s="38"/>
      <c r="B222" s="24" t="e">
        <f ca="1"/>
        <v>#NAME?</v>
      </c>
      <c r="C222" s="24"/>
    </row>
    <row r="223" spans="1:8" x14ac:dyDescent="0.25">
      <c r="B223" s="24" t="e">
        <f ca="1"/>
        <v>#NAME?</v>
      </c>
      <c r="C223" s="24"/>
      <c r="F223" s="27" t="s">
        <v>130</v>
      </c>
    </row>
    <row r="224" spans="1:8" x14ac:dyDescent="0.25">
      <c r="B224" s="18"/>
      <c r="C224" s="18"/>
      <c r="F224" s="27" t="s">
        <v>131</v>
      </c>
    </row>
    <row r="225" spans="2:4" x14ac:dyDescent="0.25">
      <c r="B225" s="18"/>
      <c r="C225" s="18"/>
    </row>
    <row r="226" spans="2:4" x14ac:dyDescent="0.25">
      <c r="B226" s="18"/>
      <c r="C226" s="18"/>
    </row>
    <row r="227" spans="2:4" x14ac:dyDescent="0.25">
      <c r="B227" s="18"/>
      <c r="C227" s="18"/>
      <c r="D227" s="18"/>
    </row>
    <row r="228" spans="2:4" x14ac:dyDescent="0.25">
      <c r="B228" s="18"/>
      <c r="C228" s="18"/>
      <c r="D228" s="18"/>
    </row>
    <row r="229" spans="2:4" x14ac:dyDescent="0.25">
      <c r="B229" s="18"/>
      <c r="C229" s="18"/>
      <c r="D229" s="18"/>
    </row>
    <row r="230" spans="2:4" x14ac:dyDescent="0.25">
      <c r="B230" s="18"/>
      <c r="C230" s="18"/>
      <c r="D230" s="18"/>
    </row>
    <row r="231" spans="2:4" x14ac:dyDescent="0.25">
      <c r="B231" s="18"/>
      <c r="C231" s="18"/>
      <c r="D231" s="18"/>
    </row>
    <row r="232" spans="2:4" x14ac:dyDescent="0.25">
      <c r="B232" s="18"/>
      <c r="C232" s="18"/>
      <c r="D232" s="18"/>
    </row>
  </sheetData>
  <mergeCells count="1">
    <mergeCell ref="B1:D1"/>
  </mergeCells>
  <dataValidations disablePrompts="1" count="1">
    <dataValidation type="list" allowBlank="1" showInputMessage="1" showErrorMessage="1" sqref="G21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1:F16"/>
  <sheetViews>
    <sheetView topLeftCell="A4" workbookViewId="0">
      <selection activeCell="C7" sqref="C7:C8"/>
    </sheetView>
  </sheetViews>
  <sheetFormatPr baseColWidth="10" defaultColWidth="14.42578125" defaultRowHeight="12.75" x14ac:dyDescent="0.2"/>
  <cols>
    <col min="1" max="2" width="14.42578125" style="43"/>
    <col min="3" max="3" width="17" style="43" customWidth="1"/>
    <col min="4" max="4" width="14.42578125" style="43"/>
    <col min="5" max="5" width="46" style="43" customWidth="1"/>
    <col min="6" max="16384" width="14.42578125" style="43"/>
  </cols>
  <sheetData>
    <row r="1" spans="2:6" ht="24" customHeight="1" thickBot="1" x14ac:dyDescent="0.25">
      <c r="B1" s="609" t="s">
        <v>72</v>
      </c>
      <c r="C1" s="610"/>
      <c r="D1" s="610"/>
      <c r="E1" s="610"/>
      <c r="F1" s="611"/>
    </row>
    <row r="2" spans="2:6" ht="16.5" thickBot="1" x14ac:dyDescent="0.3">
      <c r="B2" s="44"/>
      <c r="C2" s="44"/>
      <c r="D2" s="44"/>
      <c r="E2" s="44"/>
      <c r="F2" s="44"/>
    </row>
    <row r="3" spans="2:6" ht="16.5" thickBot="1" x14ac:dyDescent="0.25">
      <c r="B3" s="613" t="s">
        <v>58</v>
      </c>
      <c r="C3" s="614"/>
      <c r="D3" s="614"/>
      <c r="E3" s="56" t="s">
        <v>59</v>
      </c>
      <c r="F3" s="57" t="s">
        <v>60</v>
      </c>
    </row>
    <row r="4" spans="2:6" ht="31.5" x14ac:dyDescent="0.2">
      <c r="B4" s="615" t="s">
        <v>61</v>
      </c>
      <c r="C4" s="617" t="s">
        <v>13</v>
      </c>
      <c r="D4" s="45" t="s">
        <v>14</v>
      </c>
      <c r="E4" s="46" t="s">
        <v>62</v>
      </c>
      <c r="F4" s="47">
        <v>0.25</v>
      </c>
    </row>
    <row r="5" spans="2:6" ht="47.25" x14ac:dyDescent="0.2">
      <c r="B5" s="616"/>
      <c r="C5" s="618"/>
      <c r="D5" s="48" t="s">
        <v>15</v>
      </c>
      <c r="E5" s="49" t="s">
        <v>63</v>
      </c>
      <c r="F5" s="50">
        <v>0.15</v>
      </c>
    </row>
    <row r="6" spans="2:6" ht="47.25" x14ac:dyDescent="0.2">
      <c r="B6" s="616"/>
      <c r="C6" s="618"/>
      <c r="D6" s="48" t="s">
        <v>16</v>
      </c>
      <c r="E6" s="49" t="s">
        <v>64</v>
      </c>
      <c r="F6" s="50">
        <v>0.1</v>
      </c>
    </row>
    <row r="7" spans="2:6" ht="63" x14ac:dyDescent="0.2">
      <c r="B7" s="616"/>
      <c r="C7" s="618" t="s">
        <v>17</v>
      </c>
      <c r="D7" s="48" t="s">
        <v>10</v>
      </c>
      <c r="E7" s="49" t="s">
        <v>65</v>
      </c>
      <c r="F7" s="50">
        <v>0.25</v>
      </c>
    </row>
    <row r="8" spans="2:6" ht="31.5" x14ac:dyDescent="0.2">
      <c r="B8" s="616"/>
      <c r="C8" s="618"/>
      <c r="D8" s="48" t="s">
        <v>9</v>
      </c>
      <c r="E8" s="49" t="s">
        <v>66</v>
      </c>
      <c r="F8" s="50">
        <v>0.15</v>
      </c>
    </row>
    <row r="9" spans="2:6" ht="47.25" x14ac:dyDescent="0.2">
      <c r="B9" s="616" t="s">
        <v>136</v>
      </c>
      <c r="C9" s="618" t="s">
        <v>18</v>
      </c>
      <c r="D9" s="48" t="s">
        <v>19</v>
      </c>
      <c r="E9" s="49" t="s">
        <v>67</v>
      </c>
      <c r="F9" s="51" t="s">
        <v>68</v>
      </c>
    </row>
    <row r="10" spans="2:6" ht="63" x14ac:dyDescent="0.2">
      <c r="B10" s="616"/>
      <c r="C10" s="618"/>
      <c r="D10" s="48" t="s">
        <v>20</v>
      </c>
      <c r="E10" s="49" t="s">
        <v>69</v>
      </c>
      <c r="F10" s="51" t="s">
        <v>68</v>
      </c>
    </row>
    <row r="11" spans="2:6" ht="47.25" x14ac:dyDescent="0.2">
      <c r="B11" s="616"/>
      <c r="C11" s="618" t="s">
        <v>21</v>
      </c>
      <c r="D11" s="48" t="s">
        <v>22</v>
      </c>
      <c r="E11" s="49" t="s">
        <v>70</v>
      </c>
      <c r="F11" s="51" t="s">
        <v>68</v>
      </c>
    </row>
    <row r="12" spans="2:6" ht="47.25" x14ac:dyDescent="0.2">
      <c r="B12" s="616"/>
      <c r="C12" s="618"/>
      <c r="D12" s="48" t="s">
        <v>23</v>
      </c>
      <c r="E12" s="49" t="s">
        <v>71</v>
      </c>
      <c r="F12" s="51" t="s">
        <v>68</v>
      </c>
    </row>
    <row r="13" spans="2:6" ht="31.5" x14ac:dyDescent="0.2">
      <c r="B13" s="616"/>
      <c r="C13" s="618" t="s">
        <v>24</v>
      </c>
      <c r="D13" s="48" t="s">
        <v>110</v>
      </c>
      <c r="E13" s="49" t="s">
        <v>113</v>
      </c>
      <c r="F13" s="51" t="s">
        <v>68</v>
      </c>
    </row>
    <row r="14" spans="2:6" ht="32.25" thickBot="1" x14ac:dyDescent="0.25">
      <c r="B14" s="619"/>
      <c r="C14" s="620"/>
      <c r="D14" s="52" t="s">
        <v>111</v>
      </c>
      <c r="E14" s="53" t="s">
        <v>112</v>
      </c>
      <c r="F14" s="54" t="s">
        <v>68</v>
      </c>
    </row>
    <row r="15" spans="2:6" ht="49.5" customHeight="1" x14ac:dyDescent="0.2">
      <c r="B15" s="612" t="s">
        <v>133</v>
      </c>
      <c r="C15" s="612"/>
      <c r="D15" s="612"/>
      <c r="E15" s="612"/>
      <c r="F15" s="612"/>
    </row>
    <row r="16" spans="2:6" ht="27" customHeight="1" x14ac:dyDescent="0.25">
      <c r="B16" s="55"/>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9"/>
  <sheetViews>
    <sheetView workbookViewId="0">
      <selection activeCell="E3" sqref="E3"/>
    </sheetView>
  </sheetViews>
  <sheetFormatPr baseColWidth="10" defaultRowHeight="15" x14ac:dyDescent="0.25"/>
  <sheetData>
    <row r="2" spans="2:5" x14ac:dyDescent="0.25">
      <c r="B2" t="s">
        <v>31</v>
      </c>
      <c r="E2" t="s">
        <v>119</v>
      </c>
    </row>
    <row r="3" spans="2:5" x14ac:dyDescent="0.25">
      <c r="B3" t="s">
        <v>32</v>
      </c>
      <c r="E3" t="s">
        <v>118</v>
      </c>
    </row>
    <row r="4" spans="2:5" x14ac:dyDescent="0.25">
      <c r="B4" t="s">
        <v>123</v>
      </c>
      <c r="E4" t="s">
        <v>120</v>
      </c>
    </row>
    <row r="5" spans="2:5" x14ac:dyDescent="0.25">
      <c r="B5" t="s">
        <v>122</v>
      </c>
    </row>
    <row r="8" spans="2:5" x14ac:dyDescent="0.25">
      <c r="B8" t="s">
        <v>258</v>
      </c>
    </row>
    <row r="9" spans="2:5" x14ac:dyDescent="0.25">
      <c r="B9" t="s">
        <v>36</v>
      </c>
    </row>
    <row r="10" spans="2:5" x14ac:dyDescent="0.25">
      <c r="B10" t="s">
        <v>37</v>
      </c>
    </row>
    <row r="13" spans="2:5" x14ac:dyDescent="0.25">
      <c r="B13" t="s">
        <v>219</v>
      </c>
    </row>
    <row r="14" spans="2:5" x14ac:dyDescent="0.25">
      <c r="B14" t="s">
        <v>218</v>
      </c>
    </row>
    <row r="15" spans="2:5" x14ac:dyDescent="0.25">
      <c r="B15" t="s">
        <v>220</v>
      </c>
    </row>
    <row r="16" spans="2:5" x14ac:dyDescent="0.25">
      <c r="B16" t="s">
        <v>114</v>
      </c>
    </row>
    <row r="17" spans="2:2" x14ac:dyDescent="0.25">
      <c r="B17" t="s">
        <v>115</v>
      </c>
    </row>
    <row r="18" spans="2:2" x14ac:dyDescent="0.25">
      <c r="B18" t="s">
        <v>116</v>
      </c>
    </row>
    <row r="19" spans="2:2" x14ac:dyDescent="0.25">
      <c r="B19" t="s">
        <v>117</v>
      </c>
    </row>
  </sheetData>
  <sortState ref="B2:B5">
    <sortCondition ref="B2:B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21"/>
  <sheetViews>
    <sheetView workbookViewId="0">
      <selection activeCell="A4" sqref="A4"/>
    </sheetView>
  </sheetViews>
  <sheetFormatPr baseColWidth="10" defaultColWidth="11.42578125" defaultRowHeight="12.75" x14ac:dyDescent="0.2"/>
  <cols>
    <col min="1" max="1" width="32.85546875" style="5" customWidth="1"/>
    <col min="2" max="16384" width="11.42578125" style="5"/>
  </cols>
  <sheetData>
    <row r="3" spans="1:1" x14ac:dyDescent="0.2">
      <c r="A3" s="6" t="s">
        <v>14</v>
      </c>
    </row>
    <row r="4" spans="1:1" x14ac:dyDescent="0.2">
      <c r="A4" s="6" t="s">
        <v>15</v>
      </c>
    </row>
    <row r="5" spans="1:1" x14ac:dyDescent="0.2">
      <c r="A5" s="6" t="s">
        <v>16</v>
      </c>
    </row>
    <row r="6" spans="1:1" x14ac:dyDescent="0.2">
      <c r="A6" s="6" t="s">
        <v>10</v>
      </c>
    </row>
    <row r="7" spans="1:1" x14ac:dyDescent="0.2">
      <c r="A7" s="6" t="s">
        <v>9</v>
      </c>
    </row>
    <row r="8" spans="1:1" x14ac:dyDescent="0.2">
      <c r="A8" s="6" t="s">
        <v>19</v>
      </c>
    </row>
    <row r="9" spans="1:1" x14ac:dyDescent="0.2">
      <c r="A9" s="6" t="s">
        <v>20</v>
      </c>
    </row>
    <row r="10" spans="1:1" x14ac:dyDescent="0.2">
      <c r="A10" s="6" t="s">
        <v>22</v>
      </c>
    </row>
    <row r="11" spans="1:1" x14ac:dyDescent="0.2">
      <c r="A11" s="6" t="s">
        <v>23</v>
      </c>
    </row>
    <row r="12" spans="1:1" x14ac:dyDescent="0.2">
      <c r="A12" s="6" t="s">
        <v>25</v>
      </c>
    </row>
    <row r="13" spans="1:1" x14ac:dyDescent="0.2">
      <c r="A13" s="6" t="s">
        <v>26</v>
      </c>
    </row>
    <row r="14" spans="1:1" x14ac:dyDescent="0.2">
      <c r="A14" s="6" t="s">
        <v>27</v>
      </c>
    </row>
    <row r="16" spans="1:1" x14ac:dyDescent="0.2">
      <c r="A16" s="6" t="s">
        <v>30</v>
      </c>
    </row>
    <row r="17" spans="1:1" x14ac:dyDescent="0.2">
      <c r="A17" s="6" t="s">
        <v>31</v>
      </c>
    </row>
    <row r="18" spans="1:1" x14ac:dyDescent="0.2">
      <c r="A18" s="6" t="s">
        <v>32</v>
      </c>
    </row>
    <row r="20" spans="1:1" x14ac:dyDescent="0.2">
      <c r="A20" s="6" t="s">
        <v>36</v>
      </c>
    </row>
    <row r="21" spans="1:1" x14ac:dyDescent="0.2">
      <c r="A21" s="6"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Intructivo</vt:lpstr>
      <vt:lpstr>Matriz Calor Residual</vt:lpstr>
      <vt:lpstr>Mapa final</vt:lpstr>
      <vt:lpstr>Matriz Calor Inherente</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Javier Ricardo Rincon Carrasco</cp:lastModifiedBy>
  <cp:lastPrinted>2024-06-11T20:11:51Z</cp:lastPrinted>
  <dcterms:created xsi:type="dcterms:W3CDTF">2020-03-24T23:12:47Z</dcterms:created>
  <dcterms:modified xsi:type="dcterms:W3CDTF">2026-10-22T14:41:57Z</dcterms:modified>
</cp:coreProperties>
</file>